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8.xml" ContentType="application/vnd.openxmlformats-officedocument.spreadsheetml.table+xml"/>
  <Override PartName="/xl/slicers/slicer1.xml" ContentType="application/vnd.ms-excel.slicer+xml"/>
  <Override PartName="/xl/tables/table19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19230" windowHeight="11580" tabRatio="598" firstSheet="4" activeTab="4"/>
  </bookViews>
  <sheets>
    <sheet name="Vegetal" sheetId="7" r:id="rId1"/>
    <sheet name="Olfa" sheetId="8" state="hidden" r:id="rId2"/>
    <sheet name="Fellowes" sheetId="11" state="hidden" r:id="rId3"/>
    <sheet name="Fellowes-Consumíveis" sheetId="12" state="hidden" r:id="rId4"/>
    <sheet name="Fellowes - Componentes" sheetId="20" r:id="rId5"/>
    <sheet name="Rapid" sheetId="9" state="hidden" r:id="rId6"/>
    <sheet name="Rapid - Componente" sheetId="10" r:id="rId7"/>
    <sheet name="Esselte" sheetId="13" state="hidden" r:id="rId8"/>
    <sheet name="Youts" sheetId="15" state="hidden" r:id="rId9"/>
    <sheet name="Tarifold" sheetId="16" state="hidden" r:id="rId10"/>
    <sheet name="JK e Haubold" sheetId="17" state="hidden" r:id="rId11"/>
    <sheet name="Saldo" sheetId="2" state="hidden" r:id="rId12"/>
    <sheet name="Projeção" sheetId="4" state="hidden" r:id="rId13"/>
    <sheet name="Vendas" sheetId="3" state="hidden" r:id="rId14"/>
    <sheet name="Importação" sheetId="19" state="hidden" r:id="rId15"/>
    <sheet name="Consolidada" sheetId="18" state="hidden" r:id="rId16"/>
  </sheets>
  <definedNames>
    <definedName name="_xlnm._FilterDatabase" localSheetId="11" hidden="1">Saldo!$A$1:$C$1090</definedName>
    <definedName name="Consulta_de_Excel_Files" localSheetId="15" hidden="1">Consolidada!$A$1:$H$1848</definedName>
    <definedName name="Consulta_de_Excel_Files_1" localSheetId="15" hidden="1">Consolidada!#REF!</definedName>
    <definedName name="SegmentaçãodeDados_Previsão_de_Chegada">#N/A</definedName>
  </definedNames>
  <calcPr calcId="145621"/>
  <pivotCaches>
    <pivotCache cacheId="13" r:id="rId17"/>
  </pivotCaches>
  <extLst>
    <ext xmlns:x14="http://schemas.microsoft.com/office/spreadsheetml/2009/9/main" uri="{BBE1A952-AA13-448e-AADC-164F8A28A991}">
      <x14:slicerCaches>
        <x14:slicerCache r:id="rId1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F1090" i="2" l="1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476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47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11" i="2"/>
  <c r="F10" i="2"/>
  <c r="F9" i="2"/>
  <c r="F8" i="2"/>
  <c r="F7" i="2"/>
  <c r="F6" i="2"/>
  <c r="F5" i="2"/>
  <c r="F4" i="2"/>
  <c r="F3" i="2"/>
  <c r="F2" i="2"/>
  <c r="AA7" i="8" l="1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S171" i="8" l="1"/>
  <c r="S170" i="8"/>
  <c r="S169" i="8"/>
  <c r="S168" i="8"/>
  <c r="S167" i="8"/>
  <c r="S166" i="8"/>
  <c r="S165" i="8"/>
  <c r="S164" i="8"/>
  <c r="S163" i="8"/>
  <c r="S162" i="8"/>
  <c r="S161" i="8"/>
  <c r="S160" i="8"/>
  <c r="S159" i="8"/>
  <c r="S158" i="8"/>
  <c r="S157" i="8"/>
  <c r="S156" i="8"/>
  <c r="S155" i="8"/>
  <c r="S154" i="8"/>
  <c r="S153" i="8"/>
  <c r="S152" i="8"/>
  <c r="S151" i="8"/>
  <c r="S150" i="8"/>
  <c r="S149" i="8"/>
  <c r="S148" i="8"/>
  <c r="S147" i="8"/>
  <c r="S146" i="8"/>
  <c r="S145" i="8"/>
  <c r="S144" i="8"/>
  <c r="S143" i="8"/>
  <c r="S142" i="8"/>
  <c r="S141" i="8"/>
  <c r="S140" i="8"/>
  <c r="S139" i="8"/>
  <c r="S138" i="8"/>
  <c r="S137" i="8"/>
  <c r="S136" i="8"/>
  <c r="S135" i="8"/>
  <c r="S134" i="8"/>
  <c r="S133" i="8"/>
  <c r="S132" i="8"/>
  <c r="S131" i="8"/>
  <c r="S130" i="8"/>
  <c r="S129" i="8"/>
  <c r="S128" i="8"/>
  <c r="S127" i="8"/>
  <c r="S126" i="8"/>
  <c r="S125" i="8"/>
  <c r="S124" i="8"/>
  <c r="S123" i="8"/>
  <c r="S122" i="8"/>
  <c r="S121" i="8"/>
  <c r="S120" i="8"/>
  <c r="S119" i="8"/>
  <c r="S118" i="8"/>
  <c r="S117" i="8"/>
  <c r="S116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R2" i="8"/>
  <c r="Q2" i="8"/>
  <c r="AC9" i="8"/>
  <c r="O1315" i="4" l="1"/>
  <c r="O1316" i="4"/>
  <c r="Q103" i="20" s="1"/>
  <c r="O1317" i="4"/>
  <c r="Q104" i="20" s="1"/>
  <c r="O1318" i="4"/>
  <c r="Q105" i="20" s="1"/>
  <c r="O105" i="20" s="1"/>
  <c r="O1319" i="4"/>
  <c r="O1320" i="4"/>
  <c r="Q107" i="20" s="1"/>
  <c r="O1321" i="4"/>
  <c r="Q108" i="20" s="1"/>
  <c r="O1322" i="4"/>
  <c r="Q109" i="20" s="1"/>
  <c r="O109" i="20" s="1"/>
  <c r="O1323" i="4"/>
  <c r="O1324" i="4"/>
  <c r="Q111" i="20" s="1"/>
  <c r="O111" i="20" s="1"/>
  <c r="O1325" i="4"/>
  <c r="Q112" i="20" s="1"/>
  <c r="O112" i="20" s="1"/>
  <c r="B112" i="20"/>
  <c r="B108" i="20"/>
  <c r="A102" i="20"/>
  <c r="A103" i="20"/>
  <c r="B103" i="20" s="1"/>
  <c r="A104" i="20"/>
  <c r="B104" i="20" s="1"/>
  <c r="A105" i="20"/>
  <c r="A106" i="20"/>
  <c r="A107" i="20"/>
  <c r="B107" i="20" s="1"/>
  <c r="B102" i="20"/>
  <c r="B105" i="20"/>
  <c r="B106" i="20"/>
  <c r="B109" i="20"/>
  <c r="B110" i="20"/>
  <c r="B111" i="20"/>
  <c r="E102" i="20"/>
  <c r="E103" i="20"/>
  <c r="E104" i="20"/>
  <c r="E105" i="20"/>
  <c r="E106" i="20"/>
  <c r="E107" i="20"/>
  <c r="F102" i="20"/>
  <c r="F103" i="20"/>
  <c r="F104" i="20"/>
  <c r="F105" i="20"/>
  <c r="F106" i="20"/>
  <c r="F107" i="20"/>
  <c r="K102" i="20"/>
  <c r="K103" i="20"/>
  <c r="K104" i="20"/>
  <c r="K105" i="20"/>
  <c r="K106" i="20"/>
  <c r="K107" i="20"/>
  <c r="K108" i="20"/>
  <c r="K109" i="20"/>
  <c r="K110" i="20"/>
  <c r="K111" i="20"/>
  <c r="K112" i="20"/>
  <c r="L102" i="20"/>
  <c r="L103" i="20"/>
  <c r="L104" i="20"/>
  <c r="L105" i="20"/>
  <c r="L106" i="20"/>
  <c r="L107" i="20"/>
  <c r="L108" i="20"/>
  <c r="L109" i="20"/>
  <c r="L110" i="20"/>
  <c r="L111" i="20"/>
  <c r="L112" i="20"/>
  <c r="Q102" i="20"/>
  <c r="O102" i="20" s="1"/>
  <c r="Q106" i="20"/>
  <c r="O106" i="20" s="1"/>
  <c r="Q110" i="20"/>
  <c r="O110" i="20" s="1"/>
  <c r="R102" i="20"/>
  <c r="R103" i="20"/>
  <c r="R104" i="20"/>
  <c r="R105" i="20"/>
  <c r="R106" i="20"/>
  <c r="R107" i="20"/>
  <c r="T107" i="20" s="1"/>
  <c r="R108" i="20"/>
  <c r="R109" i="20"/>
  <c r="R110" i="20"/>
  <c r="R111" i="20"/>
  <c r="R112" i="20"/>
  <c r="S102" i="20"/>
  <c r="S103" i="20"/>
  <c r="S104" i="20"/>
  <c r="S105" i="20"/>
  <c r="S106" i="20"/>
  <c r="S107" i="20"/>
  <c r="S108" i="20"/>
  <c r="S109" i="20"/>
  <c r="S110" i="20"/>
  <c r="S111" i="20"/>
  <c r="S112" i="20"/>
  <c r="U102" i="20"/>
  <c r="U103" i="20"/>
  <c r="U104" i="20"/>
  <c r="U105" i="20"/>
  <c r="U106" i="20"/>
  <c r="U107" i="20"/>
  <c r="U108" i="20"/>
  <c r="U109" i="20"/>
  <c r="U110" i="20"/>
  <c r="U111" i="20"/>
  <c r="U112" i="20"/>
  <c r="V102" i="20"/>
  <c r="V103" i="20"/>
  <c r="V104" i="20"/>
  <c r="V105" i="20"/>
  <c r="V106" i="20"/>
  <c r="V107" i="20"/>
  <c r="V108" i="20"/>
  <c r="V109" i="20"/>
  <c r="V110" i="20"/>
  <c r="V111" i="20"/>
  <c r="V112" i="20"/>
  <c r="X102" i="20"/>
  <c r="X103" i="20"/>
  <c r="X104" i="20"/>
  <c r="X105" i="20"/>
  <c r="X106" i="20"/>
  <c r="X107" i="20"/>
  <c r="X108" i="20"/>
  <c r="X109" i="20"/>
  <c r="X110" i="20"/>
  <c r="X111" i="20"/>
  <c r="X112" i="20"/>
  <c r="Y102" i="20"/>
  <c r="Y103" i="20"/>
  <c r="Y104" i="20"/>
  <c r="Y105" i="20"/>
  <c r="Y106" i="20"/>
  <c r="Y107" i="20"/>
  <c r="Y108" i="20"/>
  <c r="Y109" i="20"/>
  <c r="Y110" i="20"/>
  <c r="Y111" i="20"/>
  <c r="Y112" i="20"/>
  <c r="O107" i="20" l="1"/>
  <c r="O103" i="20"/>
  <c r="O104" i="20"/>
  <c r="T102" i="20"/>
  <c r="W107" i="20"/>
  <c r="W103" i="20"/>
  <c r="Z104" i="20"/>
  <c r="W102" i="20"/>
  <c r="T105" i="20"/>
  <c r="Z102" i="20"/>
  <c r="W109" i="20"/>
  <c r="W105" i="20"/>
  <c r="T109" i="20"/>
  <c r="M108" i="20"/>
  <c r="N108" i="20" s="1"/>
  <c r="AD9" i="8"/>
  <c r="Q9" i="8" s="1"/>
  <c r="M104" i="20"/>
  <c r="P104" i="20" s="1"/>
  <c r="M107" i="20"/>
  <c r="P107" i="20" s="1"/>
  <c r="M103" i="20"/>
  <c r="N103" i="20" s="1"/>
  <c r="M111" i="20"/>
  <c r="P111" i="20" s="1"/>
  <c r="T106" i="20"/>
  <c r="Z105" i="20"/>
  <c r="Z103" i="20"/>
  <c r="W104" i="20"/>
  <c r="T104" i="20"/>
  <c r="Z110" i="20"/>
  <c r="Z106" i="20"/>
  <c r="W110" i="20"/>
  <c r="W106" i="20"/>
  <c r="T103" i="20"/>
  <c r="P103" i="20"/>
  <c r="T110" i="20"/>
  <c r="Z107" i="20"/>
  <c r="T112" i="20"/>
  <c r="T108" i="20"/>
  <c r="T111" i="20"/>
  <c r="M112" i="20"/>
  <c r="P112" i="20" s="1"/>
  <c r="M106" i="20"/>
  <c r="N106" i="20" s="1"/>
  <c r="M102" i="20"/>
  <c r="N102" i="20" s="1"/>
  <c r="Z109" i="20"/>
  <c r="Z108" i="20"/>
  <c r="M110" i="20"/>
  <c r="N110" i="20" s="1"/>
  <c r="M109" i="20"/>
  <c r="N109" i="20" s="1"/>
  <c r="M105" i="20"/>
  <c r="P105" i="20" s="1"/>
  <c r="W111" i="20"/>
  <c r="W108" i="20"/>
  <c r="Z112" i="20"/>
  <c r="Z111" i="20"/>
  <c r="W112" i="20"/>
  <c r="O108" i="20"/>
  <c r="P102" i="20" l="1"/>
  <c r="P108" i="20"/>
  <c r="N111" i="20"/>
  <c r="N107" i="20"/>
  <c r="N104" i="20"/>
  <c r="N112" i="20"/>
  <c r="P106" i="20"/>
  <c r="P110" i="20"/>
  <c r="N105" i="20"/>
  <c r="P109" i="20"/>
  <c r="F7" i="15"/>
  <c r="F8" i="15"/>
  <c r="F9" i="15"/>
  <c r="F14" i="15"/>
  <c r="F11" i="15"/>
  <c r="F12" i="15"/>
  <c r="F13" i="15"/>
  <c r="F16" i="15"/>
  <c r="F15" i="15"/>
  <c r="F10" i="15"/>
  <c r="F22" i="15"/>
  <c r="F23" i="15"/>
  <c r="F24" i="15"/>
  <c r="F25" i="15"/>
  <c r="F28" i="15"/>
  <c r="F30" i="15"/>
  <c r="F27" i="15"/>
  <c r="F31" i="15"/>
  <c r="F32" i="15"/>
  <c r="F33" i="15"/>
  <c r="F34" i="15"/>
  <c r="F35" i="15"/>
  <c r="F36" i="15"/>
  <c r="F42" i="15"/>
  <c r="F37" i="15"/>
  <c r="F38" i="15"/>
  <c r="F43" i="15"/>
  <c r="F39" i="15"/>
  <c r="F40" i="15"/>
  <c r="F41" i="15"/>
  <c r="F18" i="15"/>
  <c r="F44" i="15"/>
  <c r="F45" i="15"/>
  <c r="F46" i="15"/>
  <c r="F47" i="15"/>
  <c r="F48" i="15"/>
  <c r="F49" i="15"/>
  <c r="F17" i="15"/>
  <c r="F50" i="15"/>
  <c r="F20" i="15"/>
  <c r="F21" i="15"/>
  <c r="F51" i="15"/>
  <c r="F52" i="15"/>
  <c r="F53" i="15"/>
  <c r="F26" i="15"/>
  <c r="F29" i="15"/>
  <c r="F54" i="15"/>
  <c r="F55" i="15"/>
  <c r="F56" i="15"/>
  <c r="F57" i="15"/>
  <c r="F58" i="15"/>
  <c r="F59" i="15"/>
  <c r="F60" i="15"/>
  <c r="F61" i="15"/>
  <c r="F62" i="15"/>
  <c r="F19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15" i="15"/>
  <c r="F116" i="15"/>
  <c r="F104" i="15"/>
  <c r="F105" i="15"/>
  <c r="F106" i="15"/>
  <c r="F107" i="15"/>
  <c r="F108" i="15"/>
  <c r="F109" i="15"/>
  <c r="F110" i="15"/>
  <c r="F117" i="15"/>
  <c r="F118" i="15"/>
  <c r="F119" i="15"/>
  <c r="F111" i="15"/>
  <c r="F112" i="15"/>
  <c r="F113" i="15"/>
  <c r="F114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E7" i="15"/>
  <c r="E8" i="15"/>
  <c r="E9" i="15"/>
  <c r="E14" i="15"/>
  <c r="E11" i="15"/>
  <c r="E12" i="15"/>
  <c r="E13" i="15"/>
  <c r="E16" i="15"/>
  <c r="E15" i="15"/>
  <c r="E10" i="15"/>
  <c r="E22" i="15"/>
  <c r="E23" i="15"/>
  <c r="E24" i="15"/>
  <c r="E25" i="15"/>
  <c r="E28" i="15"/>
  <c r="E30" i="15"/>
  <c r="E27" i="15"/>
  <c r="E31" i="15"/>
  <c r="E32" i="15"/>
  <c r="E33" i="15"/>
  <c r="E34" i="15"/>
  <c r="E35" i="15"/>
  <c r="E36" i="15"/>
  <c r="E42" i="15"/>
  <c r="E37" i="15"/>
  <c r="E38" i="15"/>
  <c r="E43" i="15"/>
  <c r="E39" i="15"/>
  <c r="E40" i="15"/>
  <c r="E41" i="15"/>
  <c r="E18" i="15"/>
  <c r="E44" i="15"/>
  <c r="E45" i="15"/>
  <c r="E46" i="15"/>
  <c r="E47" i="15"/>
  <c r="E48" i="15"/>
  <c r="E49" i="15"/>
  <c r="E17" i="15"/>
  <c r="E50" i="15"/>
  <c r="E20" i="15"/>
  <c r="E21" i="15"/>
  <c r="E51" i="15"/>
  <c r="E52" i="15"/>
  <c r="E53" i="15"/>
  <c r="E26" i="15"/>
  <c r="E29" i="15"/>
  <c r="E54" i="15"/>
  <c r="E55" i="15"/>
  <c r="E56" i="15"/>
  <c r="E57" i="15"/>
  <c r="E58" i="15"/>
  <c r="E59" i="15"/>
  <c r="E60" i="15"/>
  <c r="E61" i="15"/>
  <c r="E62" i="15"/>
  <c r="E19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15" i="15"/>
  <c r="E116" i="15"/>
  <c r="E104" i="15"/>
  <c r="E105" i="15"/>
  <c r="E106" i="15"/>
  <c r="E107" i="15"/>
  <c r="E108" i="15"/>
  <c r="E109" i="15"/>
  <c r="E110" i="15"/>
  <c r="E117" i="15"/>
  <c r="E118" i="15"/>
  <c r="E119" i="15"/>
  <c r="E111" i="15"/>
  <c r="E112" i="15"/>
  <c r="E113" i="15"/>
  <c r="E114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F12" i="13"/>
  <c r="F13" i="13"/>
  <c r="F14" i="13"/>
  <c r="F32" i="13"/>
  <c r="F26" i="13"/>
  <c r="F41" i="13"/>
  <c r="F22" i="13"/>
  <c r="F31" i="13"/>
  <c r="F35" i="13"/>
  <c r="F49" i="13"/>
  <c r="F39" i="13"/>
  <c r="F38" i="13"/>
  <c r="F8" i="13"/>
  <c r="F45" i="13"/>
  <c r="F46" i="13"/>
  <c r="F10" i="13"/>
  <c r="F28" i="13"/>
  <c r="F11" i="13"/>
  <c r="F47" i="13"/>
  <c r="F50" i="13"/>
  <c r="F7" i="13"/>
  <c r="F48" i="13"/>
  <c r="F9" i="13"/>
  <c r="F19" i="13"/>
  <c r="F33" i="13"/>
  <c r="F52" i="13"/>
  <c r="F53" i="13"/>
  <c r="F30" i="13"/>
  <c r="F56" i="13"/>
  <c r="F62" i="13"/>
  <c r="F55" i="13"/>
  <c r="F51" i="13"/>
  <c r="F59" i="13"/>
  <c r="F34" i="13"/>
  <c r="F20" i="13"/>
  <c r="F60" i="13"/>
  <c r="F61" i="13"/>
  <c r="F54" i="13"/>
  <c r="F27" i="13"/>
  <c r="F63" i="13"/>
  <c r="F36" i="13"/>
  <c r="F37" i="13"/>
  <c r="F64" i="13"/>
  <c r="F65" i="13"/>
  <c r="F58" i="13"/>
  <c r="F57" i="13"/>
  <c r="F21" i="13"/>
  <c r="F66" i="13"/>
  <c r="F40" i="13"/>
  <c r="F68" i="13"/>
  <c r="F24" i="13"/>
  <c r="F15" i="13"/>
  <c r="F23" i="13"/>
  <c r="F16" i="13"/>
  <c r="F29" i="13"/>
  <c r="F67" i="13"/>
  <c r="F25" i="13"/>
  <c r="F69" i="13"/>
  <c r="F70" i="13"/>
  <c r="F71" i="13"/>
  <c r="F42" i="13"/>
  <c r="F18" i="13"/>
  <c r="F43" i="13"/>
  <c r="F17" i="13"/>
  <c r="F44" i="13"/>
  <c r="F73" i="13"/>
  <c r="F72" i="13"/>
  <c r="F75" i="13"/>
  <c r="F79" i="13"/>
  <c r="F76" i="13"/>
  <c r="F78" i="13"/>
  <c r="F74" i="13"/>
  <c r="F80" i="13"/>
  <c r="F82" i="13"/>
  <c r="F77" i="13"/>
  <c r="F84" i="13"/>
  <c r="F83" i="13"/>
  <c r="F81" i="13"/>
  <c r="F87" i="13"/>
  <c r="F85" i="13"/>
  <c r="F89" i="13"/>
  <c r="F92" i="13"/>
  <c r="F88" i="13"/>
  <c r="F86" i="13"/>
  <c r="F90" i="13"/>
  <c r="F95" i="13"/>
  <c r="F91" i="13"/>
  <c r="F93" i="13"/>
  <c r="F97" i="13"/>
  <c r="F94" i="13"/>
  <c r="F96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E12" i="13"/>
  <c r="E13" i="13"/>
  <c r="E14" i="13"/>
  <c r="E32" i="13"/>
  <c r="E26" i="13"/>
  <c r="E41" i="13"/>
  <c r="E22" i="13"/>
  <c r="E31" i="13"/>
  <c r="E35" i="13"/>
  <c r="E49" i="13"/>
  <c r="E39" i="13"/>
  <c r="E38" i="13"/>
  <c r="E8" i="13"/>
  <c r="E45" i="13"/>
  <c r="E46" i="13"/>
  <c r="E10" i="13"/>
  <c r="E28" i="13"/>
  <c r="E11" i="13"/>
  <c r="E47" i="13"/>
  <c r="E50" i="13"/>
  <c r="E7" i="13"/>
  <c r="E48" i="13"/>
  <c r="E9" i="13"/>
  <c r="E19" i="13"/>
  <c r="E33" i="13"/>
  <c r="E52" i="13"/>
  <c r="E53" i="13"/>
  <c r="E30" i="13"/>
  <c r="E56" i="13"/>
  <c r="E62" i="13"/>
  <c r="E55" i="13"/>
  <c r="E51" i="13"/>
  <c r="E59" i="13"/>
  <c r="E34" i="13"/>
  <c r="E20" i="13"/>
  <c r="E60" i="13"/>
  <c r="E61" i="13"/>
  <c r="E54" i="13"/>
  <c r="E27" i="13"/>
  <c r="E63" i="13"/>
  <c r="E36" i="13"/>
  <c r="E37" i="13"/>
  <c r="E64" i="13"/>
  <c r="E65" i="13"/>
  <c r="E58" i="13"/>
  <c r="E57" i="13"/>
  <c r="E21" i="13"/>
  <c r="E66" i="13"/>
  <c r="E40" i="13"/>
  <c r="E68" i="13"/>
  <c r="E24" i="13"/>
  <c r="E15" i="13"/>
  <c r="E23" i="13"/>
  <c r="E16" i="13"/>
  <c r="E29" i="13"/>
  <c r="E67" i="13"/>
  <c r="E25" i="13"/>
  <c r="E69" i="13"/>
  <c r="E70" i="13"/>
  <c r="E71" i="13"/>
  <c r="E42" i="13"/>
  <c r="E18" i="13"/>
  <c r="E43" i="13"/>
  <c r="E17" i="13"/>
  <c r="E44" i="13"/>
  <c r="E73" i="13"/>
  <c r="E72" i="13"/>
  <c r="E75" i="13"/>
  <c r="E79" i="13"/>
  <c r="E76" i="13"/>
  <c r="E78" i="13"/>
  <c r="E74" i="13"/>
  <c r="E80" i="13"/>
  <c r="E82" i="13"/>
  <c r="E77" i="13"/>
  <c r="E84" i="13"/>
  <c r="E83" i="13"/>
  <c r="E81" i="13"/>
  <c r="E87" i="13"/>
  <c r="E85" i="13"/>
  <c r="E89" i="13"/>
  <c r="E92" i="13"/>
  <c r="E88" i="13"/>
  <c r="E86" i="13"/>
  <c r="E90" i="13"/>
  <c r="E95" i="13"/>
  <c r="E91" i="13"/>
  <c r="E93" i="13"/>
  <c r="E97" i="13"/>
  <c r="E94" i="13"/>
  <c r="E96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F7" i="10"/>
  <c r="F8" i="10"/>
  <c r="F9" i="10"/>
  <c r="F10" i="10"/>
  <c r="F11" i="10"/>
  <c r="F25" i="10"/>
  <c r="F12" i="10"/>
  <c r="F13" i="10"/>
  <c r="F26" i="10"/>
  <c r="F14" i="10"/>
  <c r="F15" i="10"/>
  <c r="F27" i="10"/>
  <c r="F28" i="10"/>
  <c r="F18" i="10"/>
  <c r="F20" i="10"/>
  <c r="F29" i="10"/>
  <c r="F17" i="10"/>
  <c r="F30" i="10"/>
  <c r="F19" i="10"/>
  <c r="F31" i="10"/>
  <c r="F32" i="10"/>
  <c r="F33" i="10"/>
  <c r="F21" i="10"/>
  <c r="F22" i="10"/>
  <c r="F34" i="10"/>
  <c r="F23" i="10"/>
  <c r="F35" i="10"/>
  <c r="F24" i="10"/>
  <c r="F16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E7" i="10"/>
  <c r="E8" i="10"/>
  <c r="E9" i="10"/>
  <c r="E10" i="10"/>
  <c r="E11" i="10"/>
  <c r="E25" i="10"/>
  <c r="E12" i="10"/>
  <c r="E13" i="10"/>
  <c r="E26" i="10"/>
  <c r="E14" i="10"/>
  <c r="E15" i="10"/>
  <c r="E27" i="10"/>
  <c r="E28" i="10"/>
  <c r="E18" i="10"/>
  <c r="E20" i="10"/>
  <c r="E29" i="10"/>
  <c r="E17" i="10"/>
  <c r="E30" i="10"/>
  <c r="E19" i="10"/>
  <c r="E31" i="10"/>
  <c r="E32" i="10"/>
  <c r="E33" i="10"/>
  <c r="E21" i="10"/>
  <c r="E22" i="10"/>
  <c r="E34" i="10"/>
  <c r="E23" i="10"/>
  <c r="E35" i="10"/>
  <c r="E24" i="10"/>
  <c r="E16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F7" i="9"/>
  <c r="F9" i="9"/>
  <c r="F10" i="9"/>
  <c r="F11" i="9"/>
  <c r="F8" i="9"/>
  <c r="F13" i="9"/>
  <c r="F12" i="9"/>
  <c r="F14" i="9"/>
  <c r="F17" i="9"/>
  <c r="F18" i="9"/>
  <c r="F16" i="9"/>
  <c r="F15" i="9"/>
  <c r="F23" i="9"/>
  <c r="F21" i="9"/>
  <c r="F24" i="9"/>
  <c r="F22" i="9"/>
  <c r="F19" i="9"/>
  <c r="F27" i="9"/>
  <c r="F20" i="9"/>
  <c r="F29" i="9"/>
  <c r="F25" i="9"/>
  <c r="F28" i="9"/>
  <c r="F30" i="9"/>
  <c r="F31" i="9"/>
  <c r="F32" i="9"/>
  <c r="F33" i="9"/>
  <c r="F34" i="9"/>
  <c r="F35" i="9"/>
  <c r="F36" i="9"/>
  <c r="F37" i="9"/>
  <c r="F39" i="9"/>
  <c r="F38" i="9"/>
  <c r="F26" i="9"/>
  <c r="F40" i="9"/>
  <c r="F41" i="9"/>
  <c r="F42" i="9"/>
  <c r="F43" i="9"/>
  <c r="F44" i="9"/>
  <c r="F45" i="9"/>
  <c r="F46" i="9"/>
  <c r="F47" i="9"/>
  <c r="F139" i="9"/>
  <c r="F48" i="9"/>
  <c r="F51" i="9"/>
  <c r="F49" i="9"/>
  <c r="F50" i="9"/>
  <c r="F57" i="9"/>
  <c r="F56" i="9"/>
  <c r="F54" i="9"/>
  <c r="F53" i="9"/>
  <c r="F52" i="9"/>
  <c r="F59" i="9"/>
  <c r="F55" i="9"/>
  <c r="F60" i="9"/>
  <c r="F58" i="9"/>
  <c r="F62" i="9"/>
  <c r="F61" i="9"/>
  <c r="F65" i="9"/>
  <c r="F63" i="9"/>
  <c r="F64" i="9"/>
  <c r="F78" i="9"/>
  <c r="F69" i="9"/>
  <c r="F72" i="9"/>
  <c r="F66" i="9"/>
  <c r="F80" i="9"/>
  <c r="F73" i="9"/>
  <c r="F68" i="9"/>
  <c r="F75" i="9"/>
  <c r="F71" i="9"/>
  <c r="F76" i="9"/>
  <c r="F74" i="9"/>
  <c r="F77" i="9"/>
  <c r="F70" i="9"/>
  <c r="F79" i="9"/>
  <c r="F67" i="9"/>
  <c r="F87" i="9"/>
  <c r="F82" i="9"/>
  <c r="F81" i="9"/>
  <c r="F84" i="9"/>
  <c r="F83" i="9"/>
  <c r="F86" i="9"/>
  <c r="F85" i="9"/>
  <c r="F92" i="9"/>
  <c r="F88" i="9"/>
  <c r="F91" i="9"/>
  <c r="F94" i="9"/>
  <c r="F93" i="9"/>
  <c r="F90" i="9"/>
  <c r="F96" i="9"/>
  <c r="F89" i="9"/>
  <c r="F98" i="9"/>
  <c r="F100" i="9"/>
  <c r="F97" i="9"/>
  <c r="F95" i="9"/>
  <c r="F99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E7" i="9"/>
  <c r="E9" i="9"/>
  <c r="E10" i="9"/>
  <c r="E11" i="9"/>
  <c r="E8" i="9"/>
  <c r="E13" i="9"/>
  <c r="E12" i="9"/>
  <c r="E14" i="9"/>
  <c r="E17" i="9"/>
  <c r="E18" i="9"/>
  <c r="E16" i="9"/>
  <c r="E15" i="9"/>
  <c r="E23" i="9"/>
  <c r="E21" i="9"/>
  <c r="E24" i="9"/>
  <c r="E22" i="9"/>
  <c r="E19" i="9"/>
  <c r="E27" i="9"/>
  <c r="E20" i="9"/>
  <c r="E29" i="9"/>
  <c r="E25" i="9"/>
  <c r="E28" i="9"/>
  <c r="E30" i="9"/>
  <c r="E31" i="9"/>
  <c r="E32" i="9"/>
  <c r="E33" i="9"/>
  <c r="E34" i="9"/>
  <c r="E35" i="9"/>
  <c r="E36" i="9"/>
  <c r="E37" i="9"/>
  <c r="E39" i="9"/>
  <c r="E38" i="9"/>
  <c r="E26" i="9"/>
  <c r="E40" i="9"/>
  <c r="E41" i="9"/>
  <c r="E42" i="9"/>
  <c r="E43" i="9"/>
  <c r="E44" i="9"/>
  <c r="E45" i="9"/>
  <c r="E46" i="9"/>
  <c r="E47" i="9"/>
  <c r="E139" i="9"/>
  <c r="E48" i="9"/>
  <c r="E51" i="9"/>
  <c r="E49" i="9"/>
  <c r="E50" i="9"/>
  <c r="E57" i="9"/>
  <c r="E56" i="9"/>
  <c r="E54" i="9"/>
  <c r="E53" i="9"/>
  <c r="E52" i="9"/>
  <c r="E59" i="9"/>
  <c r="E55" i="9"/>
  <c r="E60" i="9"/>
  <c r="E58" i="9"/>
  <c r="E62" i="9"/>
  <c r="E61" i="9"/>
  <c r="E65" i="9"/>
  <c r="E63" i="9"/>
  <c r="E64" i="9"/>
  <c r="E78" i="9"/>
  <c r="E69" i="9"/>
  <c r="E72" i="9"/>
  <c r="E66" i="9"/>
  <c r="E80" i="9"/>
  <c r="E73" i="9"/>
  <c r="E68" i="9"/>
  <c r="E75" i="9"/>
  <c r="E71" i="9"/>
  <c r="E76" i="9"/>
  <c r="E74" i="9"/>
  <c r="E77" i="9"/>
  <c r="E70" i="9"/>
  <c r="E79" i="9"/>
  <c r="E67" i="9"/>
  <c r="E87" i="9"/>
  <c r="E82" i="9"/>
  <c r="E81" i="9"/>
  <c r="E84" i="9"/>
  <c r="E83" i="9"/>
  <c r="E86" i="9"/>
  <c r="E85" i="9"/>
  <c r="E92" i="9"/>
  <c r="E88" i="9"/>
  <c r="E91" i="9"/>
  <c r="E94" i="9"/>
  <c r="E93" i="9"/>
  <c r="E90" i="9"/>
  <c r="E96" i="9"/>
  <c r="E89" i="9"/>
  <c r="E98" i="9"/>
  <c r="E100" i="9"/>
  <c r="E97" i="9"/>
  <c r="E95" i="9"/>
  <c r="E99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F7" i="20"/>
  <c r="F8" i="20"/>
  <c r="F9" i="20"/>
  <c r="F12" i="20"/>
  <c r="F11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10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E7" i="20"/>
  <c r="E8" i="20"/>
  <c r="E9" i="20"/>
  <c r="E12" i="20"/>
  <c r="E11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10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F7" i="12"/>
  <c r="F8" i="12"/>
  <c r="F9" i="12"/>
  <c r="F10" i="12"/>
  <c r="F11" i="12"/>
  <c r="F12" i="12"/>
  <c r="F25" i="12"/>
  <c r="F61" i="12"/>
  <c r="F26" i="12"/>
  <c r="F27" i="12"/>
  <c r="F28" i="12"/>
  <c r="F62" i="12"/>
  <c r="F30" i="12"/>
  <c r="F31" i="12"/>
  <c r="F29" i="12"/>
  <c r="F33" i="12"/>
  <c r="F36" i="12"/>
  <c r="F32" i="12"/>
  <c r="F24" i="12"/>
  <c r="F34" i="12"/>
  <c r="F35" i="12"/>
  <c r="F63" i="12"/>
  <c r="F38" i="12"/>
  <c r="F37" i="12"/>
  <c r="F39" i="12"/>
  <c r="F40" i="12"/>
  <c r="F41" i="12"/>
  <c r="F42" i="12"/>
  <c r="F43" i="12"/>
  <c r="F44" i="12"/>
  <c r="F18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13" i="12"/>
  <c r="F57" i="12"/>
  <c r="F58" i="12"/>
  <c r="F59" i="12"/>
  <c r="F60" i="12"/>
  <c r="F21" i="12"/>
  <c r="F20" i="12"/>
  <c r="F17" i="12"/>
  <c r="F16" i="12"/>
  <c r="F14" i="12"/>
  <c r="F15" i="12"/>
  <c r="F22" i="12"/>
  <c r="F23" i="12"/>
  <c r="F19" i="12"/>
  <c r="F64" i="12"/>
  <c r="F65" i="12"/>
  <c r="F66" i="12"/>
  <c r="E7" i="12"/>
  <c r="E8" i="12"/>
  <c r="E9" i="12"/>
  <c r="E10" i="12"/>
  <c r="E11" i="12"/>
  <c r="E12" i="12"/>
  <c r="E25" i="12"/>
  <c r="E61" i="12"/>
  <c r="E26" i="12"/>
  <c r="E27" i="12"/>
  <c r="E28" i="12"/>
  <c r="E62" i="12"/>
  <c r="E30" i="12"/>
  <c r="E31" i="12"/>
  <c r="E29" i="12"/>
  <c r="E33" i="12"/>
  <c r="E36" i="12"/>
  <c r="E32" i="12"/>
  <c r="E24" i="12"/>
  <c r="E34" i="12"/>
  <c r="E35" i="12"/>
  <c r="E63" i="12"/>
  <c r="E38" i="12"/>
  <c r="E37" i="12"/>
  <c r="E39" i="12"/>
  <c r="E40" i="12"/>
  <c r="E41" i="12"/>
  <c r="E42" i="12"/>
  <c r="E43" i="12"/>
  <c r="E44" i="12"/>
  <c r="E18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13" i="12"/>
  <c r="E57" i="12"/>
  <c r="E58" i="12"/>
  <c r="E59" i="12"/>
  <c r="E60" i="12"/>
  <c r="E21" i="12"/>
  <c r="E20" i="12"/>
  <c r="E17" i="12"/>
  <c r="E16" i="12"/>
  <c r="E14" i="12"/>
  <c r="E15" i="12"/>
  <c r="E22" i="12"/>
  <c r="E23" i="12"/>
  <c r="E19" i="12"/>
  <c r="E64" i="12"/>
  <c r="E65" i="12"/>
  <c r="E66" i="12"/>
  <c r="F7" i="7"/>
  <c r="F8" i="7"/>
  <c r="F10" i="7"/>
  <c r="F11" i="7"/>
  <c r="F12" i="7"/>
  <c r="F9" i="7"/>
  <c r="F13" i="7"/>
  <c r="F14" i="7"/>
  <c r="F15" i="7"/>
  <c r="F16" i="7"/>
  <c r="F17" i="7"/>
  <c r="F18" i="7"/>
  <c r="F22" i="7"/>
  <c r="F21" i="7"/>
  <c r="F19" i="7"/>
  <c r="F20" i="7"/>
  <c r="F23" i="7"/>
  <c r="F24" i="7"/>
  <c r="F25" i="7"/>
  <c r="F27" i="7"/>
  <c r="F26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E7" i="7"/>
  <c r="E8" i="7"/>
  <c r="E10" i="7"/>
  <c r="E11" i="7"/>
  <c r="E12" i="7"/>
  <c r="E9" i="7"/>
  <c r="E13" i="7"/>
  <c r="E14" i="7"/>
  <c r="E15" i="7"/>
  <c r="E16" i="7"/>
  <c r="E17" i="7"/>
  <c r="E18" i="7"/>
  <c r="E22" i="7"/>
  <c r="E21" i="7"/>
  <c r="E19" i="7"/>
  <c r="E20" i="7"/>
  <c r="E23" i="7"/>
  <c r="E24" i="7"/>
  <c r="E25" i="7"/>
  <c r="E27" i="7"/>
  <c r="E26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7" i="11"/>
  <c r="F7" i="11"/>
  <c r="F8" i="11"/>
  <c r="F9" i="11"/>
  <c r="F10" i="11"/>
  <c r="F11" i="11"/>
  <c r="F12" i="11"/>
  <c r="F13" i="11"/>
  <c r="F14" i="11"/>
  <c r="F17" i="11"/>
  <c r="F18" i="11"/>
  <c r="F16" i="11"/>
  <c r="F22" i="11"/>
  <c r="F21" i="11"/>
  <c r="F15" i="11"/>
  <c r="F26" i="11"/>
  <c r="F23" i="11"/>
  <c r="F30" i="11"/>
  <c r="F19" i="11"/>
  <c r="F24" i="11"/>
  <c r="F20" i="11"/>
  <c r="F25" i="11"/>
  <c r="F29" i="11"/>
  <c r="F27" i="11"/>
  <c r="F28" i="11"/>
  <c r="F31" i="11"/>
  <c r="F33" i="11"/>
  <c r="F34" i="11"/>
  <c r="F32" i="11"/>
  <c r="F35" i="11"/>
  <c r="F36" i="11"/>
  <c r="F37" i="11"/>
  <c r="F38" i="11"/>
  <c r="F39" i="11"/>
  <c r="F40" i="11"/>
  <c r="F41" i="11"/>
  <c r="F42" i="11"/>
  <c r="F43" i="11"/>
  <c r="F44" i="11"/>
  <c r="F45" i="11"/>
  <c r="F47" i="11"/>
  <c r="F46" i="11"/>
  <c r="F49" i="11"/>
  <c r="F50" i="11"/>
  <c r="F48" i="11"/>
  <c r="F51" i="11"/>
  <c r="F53" i="11"/>
  <c r="F55" i="11"/>
  <c r="F54" i="11"/>
  <c r="F52" i="11"/>
  <c r="F56" i="11"/>
  <c r="F57" i="11"/>
  <c r="F61" i="11"/>
  <c r="F58" i="11"/>
  <c r="F59" i="11"/>
  <c r="F60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E8" i="11"/>
  <c r="E9" i="11"/>
  <c r="E10" i="11"/>
  <c r="E11" i="11"/>
  <c r="E12" i="11"/>
  <c r="E13" i="11"/>
  <c r="E14" i="11"/>
  <c r="E17" i="11"/>
  <c r="E18" i="11"/>
  <c r="E16" i="11"/>
  <c r="E22" i="11"/>
  <c r="E21" i="11"/>
  <c r="E15" i="11"/>
  <c r="E26" i="11"/>
  <c r="E23" i="11"/>
  <c r="E30" i="11"/>
  <c r="E19" i="11"/>
  <c r="E24" i="11"/>
  <c r="E20" i="11"/>
  <c r="E25" i="11"/>
  <c r="E29" i="11"/>
  <c r="E27" i="11"/>
  <c r="E28" i="11"/>
  <c r="E31" i="11"/>
  <c r="E33" i="11"/>
  <c r="E34" i="11"/>
  <c r="E32" i="11"/>
  <c r="E35" i="11"/>
  <c r="E36" i="11"/>
  <c r="E37" i="11"/>
  <c r="E38" i="11"/>
  <c r="E39" i="11"/>
  <c r="E40" i="11"/>
  <c r="E41" i="11"/>
  <c r="E42" i="11"/>
  <c r="E43" i="11"/>
  <c r="E44" i="11"/>
  <c r="E45" i="11"/>
  <c r="E47" i="11"/>
  <c r="E46" i="11"/>
  <c r="E49" i="11"/>
  <c r="E50" i="11"/>
  <c r="E48" i="11"/>
  <c r="E51" i="11"/>
  <c r="E53" i="11"/>
  <c r="E55" i="11"/>
  <c r="E54" i="11"/>
  <c r="E52" i="11"/>
  <c r="E56" i="11"/>
  <c r="E57" i="11"/>
  <c r="E61" i="11"/>
  <c r="E58" i="11"/>
  <c r="E59" i="11"/>
  <c r="E60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9" i="8"/>
  <c r="E21" i="8"/>
  <c r="E7" i="8"/>
  <c r="E13" i="8"/>
  <c r="E16" i="8"/>
  <c r="E22" i="8"/>
  <c r="E15" i="8"/>
  <c r="E26" i="8"/>
  <c r="E12" i="8"/>
  <c r="E17" i="8"/>
  <c r="E43" i="8"/>
  <c r="E11" i="8"/>
  <c r="E28" i="8"/>
  <c r="E38" i="8"/>
  <c r="E8" i="8"/>
  <c r="E18" i="8"/>
  <c r="E34" i="8"/>
  <c r="E23" i="8"/>
  <c r="E31" i="8"/>
  <c r="E33" i="8"/>
  <c r="E24" i="8"/>
  <c r="E44" i="8"/>
  <c r="E40" i="8"/>
  <c r="E14" i="8"/>
  <c r="E41" i="8"/>
  <c r="E30" i="8"/>
  <c r="E25" i="8"/>
  <c r="E19" i="8"/>
  <c r="E51" i="8"/>
  <c r="E35" i="8"/>
  <c r="E37" i="8"/>
  <c r="E39" i="8"/>
  <c r="E50" i="8"/>
  <c r="E42" i="8"/>
  <c r="E48" i="8"/>
  <c r="E27" i="8"/>
  <c r="E47" i="8"/>
  <c r="E20" i="8"/>
  <c r="E32" i="8"/>
  <c r="E53" i="8"/>
  <c r="E58" i="8"/>
  <c r="E36" i="8"/>
  <c r="E46" i="8"/>
  <c r="E10" i="8"/>
  <c r="E60" i="8"/>
  <c r="E45" i="8"/>
  <c r="E57" i="8"/>
  <c r="E59" i="8"/>
  <c r="E63" i="8"/>
  <c r="E49" i="8"/>
  <c r="E52" i="8"/>
  <c r="E29" i="8"/>
  <c r="E61" i="8"/>
  <c r="E74" i="8"/>
  <c r="E64" i="8"/>
  <c r="E69" i="8"/>
  <c r="E55" i="8"/>
  <c r="E66" i="8"/>
  <c r="E54" i="8"/>
  <c r="E70" i="8"/>
  <c r="E71" i="8"/>
  <c r="E56" i="8"/>
  <c r="E77" i="8"/>
  <c r="E75" i="8"/>
  <c r="E65" i="8"/>
  <c r="E67" i="8"/>
  <c r="E76" i="8"/>
  <c r="E62" i="8"/>
  <c r="E72" i="8"/>
  <c r="E73" i="8"/>
  <c r="E78" i="8"/>
  <c r="E80" i="8"/>
  <c r="E85" i="8"/>
  <c r="E83" i="8"/>
  <c r="E82" i="8"/>
  <c r="E79" i="8"/>
  <c r="E86" i="8"/>
  <c r="E84" i="8"/>
  <c r="E87" i="8"/>
  <c r="E97" i="8"/>
  <c r="E98" i="8"/>
  <c r="E94" i="8"/>
  <c r="E88" i="8"/>
  <c r="E90" i="8"/>
  <c r="E89" i="8"/>
  <c r="E100" i="8"/>
  <c r="E81" i="8"/>
  <c r="E92" i="8"/>
  <c r="E93" i="8"/>
  <c r="E95" i="8"/>
  <c r="E96" i="8"/>
  <c r="E91" i="8"/>
  <c r="E99" i="8"/>
  <c r="E106" i="8"/>
  <c r="E102" i="8"/>
  <c r="E108" i="8"/>
  <c r="E107" i="8"/>
  <c r="E103" i="8"/>
  <c r="E112" i="8"/>
  <c r="E104" i="8"/>
  <c r="E105" i="8"/>
  <c r="E109" i="8"/>
  <c r="E110" i="8"/>
  <c r="E113" i="8"/>
  <c r="E111" i="8"/>
  <c r="E114" i="8"/>
  <c r="E68" i="8"/>
  <c r="E115" i="8"/>
  <c r="E116" i="8"/>
  <c r="E117" i="8"/>
  <c r="E118" i="8"/>
  <c r="E119" i="8"/>
  <c r="E120" i="8"/>
  <c r="E121" i="8"/>
  <c r="E122" i="8"/>
  <c r="E123" i="8"/>
  <c r="E101" i="8"/>
  <c r="E124" i="8"/>
  <c r="E125" i="8"/>
  <c r="E126" i="8"/>
  <c r="E127" i="8"/>
  <c r="E129" i="8"/>
  <c r="E128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F9" i="8"/>
  <c r="F21" i="8"/>
  <c r="F7" i="8"/>
  <c r="F13" i="8"/>
  <c r="F16" i="8"/>
  <c r="F22" i="8"/>
  <c r="F15" i="8"/>
  <c r="F26" i="8"/>
  <c r="F12" i="8"/>
  <c r="F17" i="8"/>
  <c r="F43" i="8"/>
  <c r="F11" i="8"/>
  <c r="F28" i="8"/>
  <c r="F38" i="8"/>
  <c r="F8" i="8"/>
  <c r="F18" i="8"/>
  <c r="F34" i="8"/>
  <c r="F23" i="8"/>
  <c r="F31" i="8"/>
  <c r="F33" i="8"/>
  <c r="F24" i="8"/>
  <c r="F44" i="8"/>
  <c r="F40" i="8"/>
  <c r="F14" i="8"/>
  <c r="F41" i="8"/>
  <c r="F30" i="8"/>
  <c r="F25" i="8"/>
  <c r="F19" i="8"/>
  <c r="F51" i="8"/>
  <c r="F35" i="8"/>
  <c r="F37" i="8"/>
  <c r="F39" i="8"/>
  <c r="F50" i="8"/>
  <c r="F42" i="8"/>
  <c r="F48" i="8"/>
  <c r="F27" i="8"/>
  <c r="F47" i="8"/>
  <c r="F20" i="8"/>
  <c r="F32" i="8"/>
  <c r="F53" i="8"/>
  <c r="F58" i="8"/>
  <c r="F36" i="8"/>
  <c r="F46" i="8"/>
  <c r="F10" i="8"/>
  <c r="F60" i="8"/>
  <c r="F45" i="8"/>
  <c r="F57" i="8"/>
  <c r="F59" i="8"/>
  <c r="F63" i="8"/>
  <c r="F49" i="8"/>
  <c r="F52" i="8"/>
  <c r="F29" i="8"/>
  <c r="F61" i="8"/>
  <c r="F74" i="8"/>
  <c r="F64" i="8"/>
  <c r="F69" i="8"/>
  <c r="F55" i="8"/>
  <c r="F66" i="8"/>
  <c r="F54" i="8"/>
  <c r="F70" i="8"/>
  <c r="F71" i="8"/>
  <c r="F56" i="8"/>
  <c r="F77" i="8"/>
  <c r="F75" i="8"/>
  <c r="F65" i="8"/>
  <c r="F67" i="8"/>
  <c r="F76" i="8"/>
  <c r="F62" i="8"/>
  <c r="F72" i="8"/>
  <c r="F73" i="8"/>
  <c r="F78" i="8"/>
  <c r="F80" i="8"/>
  <c r="F85" i="8"/>
  <c r="F83" i="8"/>
  <c r="F82" i="8"/>
  <c r="F79" i="8"/>
  <c r="F86" i="8"/>
  <c r="F84" i="8"/>
  <c r="F87" i="8"/>
  <c r="F97" i="8"/>
  <c r="F98" i="8"/>
  <c r="F94" i="8"/>
  <c r="F88" i="8"/>
  <c r="F90" i="8"/>
  <c r="F89" i="8"/>
  <c r="F100" i="8"/>
  <c r="F81" i="8"/>
  <c r="F92" i="8"/>
  <c r="F93" i="8"/>
  <c r="F95" i="8"/>
  <c r="F96" i="8"/>
  <c r="F91" i="8"/>
  <c r="F99" i="8"/>
  <c r="F106" i="8"/>
  <c r="F102" i="8"/>
  <c r="F108" i="8"/>
  <c r="F107" i="8"/>
  <c r="F103" i="8"/>
  <c r="F112" i="8"/>
  <c r="F104" i="8"/>
  <c r="F105" i="8"/>
  <c r="F109" i="8"/>
  <c r="F110" i="8"/>
  <c r="F113" i="8"/>
  <c r="F111" i="8"/>
  <c r="F114" i="8"/>
  <c r="F68" i="8"/>
  <c r="F115" i="8"/>
  <c r="F116" i="8"/>
  <c r="F117" i="8"/>
  <c r="F118" i="8"/>
  <c r="F119" i="8"/>
  <c r="F120" i="8"/>
  <c r="F121" i="8"/>
  <c r="F122" i="8"/>
  <c r="F123" i="8"/>
  <c r="F101" i="8"/>
  <c r="F124" i="8"/>
  <c r="F125" i="8"/>
  <c r="F126" i="8"/>
  <c r="F127" i="8"/>
  <c r="F129" i="8"/>
  <c r="F128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L126" i="8" l="1"/>
  <c r="L127" i="8"/>
  <c r="M127" i="8" s="1"/>
  <c r="B127" i="8" s="1"/>
  <c r="R126" i="8"/>
  <c r="R127" i="8"/>
  <c r="U126" i="8"/>
  <c r="U127" i="8"/>
  <c r="V126" i="8"/>
  <c r="V127" i="8"/>
  <c r="X126" i="8"/>
  <c r="X127" i="8"/>
  <c r="Y126" i="8"/>
  <c r="Y127" i="8"/>
  <c r="AC126" i="8"/>
  <c r="AC127" i="8"/>
  <c r="B1313" i="4"/>
  <c r="B1314" i="4"/>
  <c r="O1313" i="4"/>
  <c r="O1314" i="4"/>
  <c r="B63" i="19"/>
  <c r="B64" i="19"/>
  <c r="C63" i="19"/>
  <c r="C64" i="19"/>
  <c r="D63" i="19"/>
  <c r="D64" i="19"/>
  <c r="E63" i="19"/>
  <c r="E64" i="19"/>
  <c r="W126" i="8" l="1"/>
  <c r="T126" i="8"/>
  <c r="T127" i="8"/>
  <c r="M126" i="8"/>
  <c r="B126" i="8" s="1"/>
  <c r="W127" i="8"/>
  <c r="Z126" i="8"/>
  <c r="AE127" i="8"/>
  <c r="Z127" i="8"/>
  <c r="AE126" i="8"/>
  <c r="B1311" i="4"/>
  <c r="B1312" i="4"/>
  <c r="O1311" i="4"/>
  <c r="O1312" i="4"/>
  <c r="L125" i="8"/>
  <c r="R125" i="8"/>
  <c r="U125" i="8"/>
  <c r="V125" i="8"/>
  <c r="X125" i="8"/>
  <c r="Y125" i="8"/>
  <c r="AC125" i="8"/>
  <c r="B1310" i="4"/>
  <c r="O1310" i="4"/>
  <c r="B62" i="19"/>
  <c r="C62" i="19"/>
  <c r="D62" i="19"/>
  <c r="E62" i="19"/>
  <c r="AD126" i="8" l="1"/>
  <c r="Q126" i="8" s="1"/>
  <c r="AD127" i="8"/>
  <c r="Q127" i="8" s="1"/>
  <c r="Z125" i="8"/>
  <c r="M125" i="8"/>
  <c r="B125" i="8" s="1"/>
  <c r="T125" i="8"/>
  <c r="W125" i="8"/>
  <c r="AE125" i="8"/>
  <c r="K7" i="8"/>
  <c r="K171" i="8"/>
  <c r="O126" i="8" l="1"/>
  <c r="P126" i="8" s="1"/>
  <c r="N126" i="8"/>
  <c r="N127" i="8"/>
  <c r="O127" i="8"/>
  <c r="P127" i="8" s="1"/>
  <c r="AD125" i="8"/>
  <c r="Q125" i="8" s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O125" i="8" l="1"/>
  <c r="P125" i="8" s="1"/>
  <c r="N125" i="8"/>
  <c r="L138" i="8"/>
  <c r="L139" i="8"/>
  <c r="M139" i="8" s="1"/>
  <c r="R138" i="8"/>
  <c r="R139" i="8"/>
  <c r="U138" i="8"/>
  <c r="U139" i="8"/>
  <c r="V138" i="8"/>
  <c r="V139" i="8"/>
  <c r="X138" i="8"/>
  <c r="X139" i="8"/>
  <c r="Y138" i="8"/>
  <c r="Y139" i="8"/>
  <c r="AC138" i="8"/>
  <c r="AC139" i="8"/>
  <c r="O1308" i="4"/>
  <c r="O1309" i="4"/>
  <c r="B60" i="19"/>
  <c r="B139" i="8" l="1"/>
  <c r="W138" i="8"/>
  <c r="T139" i="8"/>
  <c r="T138" i="8"/>
  <c r="W139" i="8"/>
  <c r="Z138" i="8"/>
  <c r="Z139" i="8"/>
  <c r="AE139" i="8"/>
  <c r="AE138" i="8"/>
  <c r="M138" i="8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1" i="19"/>
  <c r="C60" i="19"/>
  <c r="C61" i="19"/>
  <c r="D60" i="19"/>
  <c r="D61" i="19"/>
  <c r="E60" i="19"/>
  <c r="E61" i="19"/>
  <c r="C57" i="19"/>
  <c r="C58" i="19"/>
  <c r="C59" i="19"/>
  <c r="D57" i="19"/>
  <c r="D58" i="19"/>
  <c r="D59" i="19"/>
  <c r="E57" i="19"/>
  <c r="E58" i="19"/>
  <c r="E59" i="19"/>
  <c r="AD138" i="8" l="1"/>
  <c r="Q138" i="8" s="1"/>
  <c r="AD139" i="8"/>
  <c r="Q139" i="8" s="1"/>
  <c r="B138" i="8"/>
  <c r="A94" i="20"/>
  <c r="B94" i="20" s="1"/>
  <c r="O842" i="4"/>
  <c r="O172" i="4"/>
  <c r="Q94" i="20" s="1"/>
  <c r="O174" i="4"/>
  <c r="Q95" i="20" s="1"/>
  <c r="O160" i="4"/>
  <c r="Q96" i="20" s="1"/>
  <c r="O175" i="4"/>
  <c r="Q97" i="20" s="1"/>
  <c r="O161" i="4"/>
  <c r="Q98" i="20" s="1"/>
  <c r="O169" i="4"/>
  <c r="Q99" i="20" s="1"/>
  <c r="O176" i="4"/>
  <c r="Q100" i="20" s="1"/>
  <c r="O170" i="4"/>
  <c r="Q101" i="20" s="1"/>
  <c r="A95" i="20"/>
  <c r="B95" i="20" s="1"/>
  <c r="A96" i="20"/>
  <c r="B96" i="20" s="1"/>
  <c r="A97" i="20"/>
  <c r="B97" i="20" s="1"/>
  <c r="A98" i="20"/>
  <c r="B98" i="20" s="1"/>
  <c r="A99" i="20"/>
  <c r="B99" i="20" s="1"/>
  <c r="A100" i="20"/>
  <c r="B100" i="20" s="1"/>
  <c r="A101" i="20"/>
  <c r="B101" i="20" s="1"/>
  <c r="K94" i="20"/>
  <c r="K95" i="20"/>
  <c r="K96" i="20"/>
  <c r="K97" i="20"/>
  <c r="K98" i="20"/>
  <c r="K99" i="20"/>
  <c r="K100" i="20"/>
  <c r="K101" i="20"/>
  <c r="L94" i="20"/>
  <c r="L95" i="20"/>
  <c r="L96" i="20"/>
  <c r="L97" i="20"/>
  <c r="L98" i="20"/>
  <c r="L99" i="20"/>
  <c r="L100" i="20"/>
  <c r="L101" i="20"/>
  <c r="R94" i="20"/>
  <c r="R95" i="20"/>
  <c r="R96" i="20"/>
  <c r="R97" i="20"/>
  <c r="R98" i="20"/>
  <c r="R99" i="20"/>
  <c r="R100" i="20"/>
  <c r="R101" i="20"/>
  <c r="S94" i="20"/>
  <c r="S95" i="20"/>
  <c r="S96" i="20"/>
  <c r="S97" i="20"/>
  <c r="T97" i="20" s="1"/>
  <c r="S98" i="20"/>
  <c r="T98" i="20" s="1"/>
  <c r="S99" i="20"/>
  <c r="S100" i="20"/>
  <c r="S101" i="20"/>
  <c r="U94" i="20"/>
  <c r="U95" i="20"/>
  <c r="U96" i="20"/>
  <c r="U97" i="20"/>
  <c r="U98" i="20"/>
  <c r="U99" i="20"/>
  <c r="U100" i="20"/>
  <c r="U101" i="20"/>
  <c r="V94" i="20"/>
  <c r="V95" i="20"/>
  <c r="V96" i="20"/>
  <c r="V97" i="20"/>
  <c r="V98" i="20"/>
  <c r="W98" i="20" s="1"/>
  <c r="V99" i="20"/>
  <c r="V100" i="20"/>
  <c r="V101" i="20"/>
  <c r="W94" i="20"/>
  <c r="W95" i="20"/>
  <c r="X94" i="20"/>
  <c r="X95" i="20"/>
  <c r="X96" i="20"/>
  <c r="X97" i="20"/>
  <c r="X98" i="20"/>
  <c r="X99" i="20"/>
  <c r="X100" i="20"/>
  <c r="X101" i="20"/>
  <c r="Y94" i="20"/>
  <c r="Y95" i="20"/>
  <c r="Y96" i="20"/>
  <c r="Y97" i="20"/>
  <c r="Y98" i="20"/>
  <c r="Y99" i="20"/>
  <c r="Y100" i="20"/>
  <c r="Y101" i="20"/>
  <c r="Z94" i="20" l="1"/>
  <c r="N139" i="8"/>
  <c r="O139" i="8"/>
  <c r="P139" i="8" s="1"/>
  <c r="N138" i="8"/>
  <c r="O138" i="8"/>
  <c r="P138" i="8" s="1"/>
  <c r="Z95" i="20"/>
  <c r="W97" i="20"/>
  <c r="Z98" i="20"/>
  <c r="T96" i="20"/>
  <c r="T99" i="20"/>
  <c r="T95" i="20"/>
  <c r="T94" i="20"/>
  <c r="M101" i="20"/>
  <c r="N101" i="20" s="1"/>
  <c r="Z99" i="20"/>
  <c r="Z97" i="20"/>
  <c r="T101" i="20"/>
  <c r="Z96" i="20"/>
  <c r="M97" i="20"/>
  <c r="N97" i="20" s="1"/>
  <c r="M94" i="20"/>
  <c r="N94" i="20" s="1"/>
  <c r="T100" i="20"/>
  <c r="W96" i="20"/>
  <c r="W100" i="20"/>
  <c r="M100" i="20"/>
  <c r="N100" i="20" s="1"/>
  <c r="M98" i="20"/>
  <c r="N98" i="20" s="1"/>
  <c r="M96" i="20"/>
  <c r="N96" i="20" s="1"/>
  <c r="M99" i="20"/>
  <c r="N99" i="20" s="1"/>
  <c r="M95" i="20"/>
  <c r="N95" i="20" s="1"/>
  <c r="Z101" i="20"/>
  <c r="O101" i="20"/>
  <c r="O97" i="20"/>
  <c r="Z100" i="20"/>
  <c r="O99" i="20"/>
  <c r="O95" i="20"/>
  <c r="O100" i="20"/>
  <c r="O98" i="20"/>
  <c r="O96" i="20"/>
  <c r="O94" i="20"/>
  <c r="W101" i="20"/>
  <c r="W99" i="20"/>
  <c r="P95" i="20" l="1"/>
  <c r="P99" i="20"/>
  <c r="P101" i="20"/>
  <c r="P97" i="20"/>
  <c r="P94" i="20"/>
  <c r="P96" i="20"/>
  <c r="P100" i="20"/>
  <c r="P98" i="20"/>
  <c r="L17" i="8" l="1"/>
  <c r="C20" i="19" l="1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L118" i="8" l="1"/>
  <c r="M118" i="8" s="1"/>
  <c r="B118" i="8" s="1"/>
  <c r="L119" i="8"/>
  <c r="M119" i="8" s="1"/>
  <c r="B119" i="8" s="1"/>
  <c r="L117" i="8"/>
  <c r="M117" i="8" s="1"/>
  <c r="B117" i="8" s="1"/>
  <c r="L120" i="8"/>
  <c r="M120" i="8" s="1"/>
  <c r="B120" i="8" s="1"/>
  <c r="L116" i="8"/>
  <c r="M116" i="8" s="1"/>
  <c r="B116" i="8" s="1"/>
  <c r="L137" i="8"/>
  <c r="R118" i="8"/>
  <c r="R119" i="8"/>
  <c r="R117" i="8"/>
  <c r="R120" i="8"/>
  <c r="R116" i="8"/>
  <c r="R137" i="8"/>
  <c r="U118" i="8"/>
  <c r="U119" i="8"/>
  <c r="U117" i="8"/>
  <c r="U120" i="8"/>
  <c r="U116" i="8"/>
  <c r="U137" i="8"/>
  <c r="V118" i="8"/>
  <c r="V119" i="8"/>
  <c r="V117" i="8"/>
  <c r="V120" i="8"/>
  <c r="V116" i="8"/>
  <c r="V137" i="8"/>
  <c r="X118" i="8"/>
  <c r="X119" i="8"/>
  <c r="X117" i="8"/>
  <c r="X120" i="8"/>
  <c r="X116" i="8"/>
  <c r="X137" i="8"/>
  <c r="Y118" i="8"/>
  <c r="Y119" i="8"/>
  <c r="Y117" i="8"/>
  <c r="Y120" i="8"/>
  <c r="Y116" i="8"/>
  <c r="Y137" i="8"/>
  <c r="AC118" i="8"/>
  <c r="AC119" i="8"/>
  <c r="AC117" i="8"/>
  <c r="AC120" i="8"/>
  <c r="AC116" i="8"/>
  <c r="AC137" i="8"/>
  <c r="O651" i="4"/>
  <c r="O659" i="4"/>
  <c r="O635" i="4"/>
  <c r="O758" i="4"/>
  <c r="O680" i="4"/>
  <c r="O612" i="4"/>
  <c r="W118" i="8" l="1"/>
  <c r="T118" i="8"/>
  <c r="T117" i="8"/>
  <c r="T119" i="8"/>
  <c r="W120" i="8"/>
  <c r="Z119" i="8"/>
  <c r="W117" i="8"/>
  <c r="T120" i="8"/>
  <c r="AE118" i="8"/>
  <c r="AE117" i="8"/>
  <c r="W119" i="8"/>
  <c r="Z117" i="8"/>
  <c r="T137" i="8"/>
  <c r="W137" i="8"/>
  <c r="T116" i="8"/>
  <c r="Z120" i="8"/>
  <c r="Z137" i="8"/>
  <c r="W116" i="8"/>
  <c r="Z116" i="8"/>
  <c r="Z118" i="8"/>
  <c r="AE119" i="8"/>
  <c r="M137" i="8"/>
  <c r="B137" i="8" s="1"/>
  <c r="AE137" i="8"/>
  <c r="AE120" i="8"/>
  <c r="AE116" i="8"/>
  <c r="AD119" i="8" l="1"/>
  <c r="Q119" i="8" s="1"/>
  <c r="AD118" i="8"/>
  <c r="Q118" i="8" s="1"/>
  <c r="AD116" i="8"/>
  <c r="Q116" i="8" s="1"/>
  <c r="AD120" i="8"/>
  <c r="Q120" i="8" s="1"/>
  <c r="AD117" i="8"/>
  <c r="Q117" i="8" s="1"/>
  <c r="AD137" i="8"/>
  <c r="Q137" i="8" s="1"/>
  <c r="L24" i="8"/>
  <c r="N137" i="8" l="1"/>
  <c r="O137" i="8"/>
  <c r="P137" i="8" s="1"/>
  <c r="N119" i="8"/>
  <c r="O119" i="8"/>
  <c r="P119" i="8" s="1"/>
  <c r="O117" i="8"/>
  <c r="P117" i="8" s="1"/>
  <c r="N117" i="8"/>
  <c r="O120" i="8"/>
  <c r="P120" i="8" s="1"/>
  <c r="N120" i="8"/>
  <c r="N116" i="8"/>
  <c r="O116" i="8"/>
  <c r="P116" i="8" s="1"/>
  <c r="N118" i="8"/>
  <c r="O118" i="8"/>
  <c r="P118" i="8" s="1"/>
  <c r="Y7" i="11"/>
  <c r="Y8" i="11"/>
  <c r="Y9" i="11"/>
  <c r="Y10" i="11"/>
  <c r="Y11" i="11"/>
  <c r="Y12" i="11"/>
  <c r="Y17" i="11"/>
  <c r="Y13" i="11"/>
  <c r="Y14" i="11"/>
  <c r="Y21" i="11"/>
  <c r="Y16" i="11"/>
  <c r="Y22" i="11"/>
  <c r="Y30" i="11"/>
  <c r="Y26" i="11"/>
  <c r="Y23" i="11"/>
  <c r="Y15" i="11"/>
  <c r="Y19" i="11"/>
  <c r="Y18" i="11"/>
  <c r="Y27" i="11"/>
  <c r="Y25" i="11"/>
  <c r="Y20" i="11"/>
  <c r="Y24" i="11"/>
  <c r="Y31" i="11"/>
  <c r="Y28" i="11"/>
  <c r="Y29" i="11"/>
  <c r="Y33" i="11"/>
  <c r="Y34" i="11"/>
  <c r="Y32" i="11"/>
  <c r="Y35" i="11"/>
  <c r="Y36" i="11"/>
  <c r="Y37" i="11"/>
  <c r="Y38" i="11"/>
  <c r="Y39" i="11"/>
  <c r="Y40" i="11"/>
  <c r="Y41" i="11"/>
  <c r="Y42" i="11"/>
  <c r="Y64" i="11"/>
  <c r="Y43" i="11"/>
  <c r="Y63" i="11"/>
  <c r="Y44" i="11"/>
  <c r="Y45" i="11"/>
  <c r="Y47" i="11"/>
  <c r="Y46" i="11"/>
  <c r="Y50" i="11"/>
  <c r="Y48" i="11"/>
  <c r="Y49" i="11"/>
  <c r="Y52" i="11"/>
  <c r="Y55" i="11"/>
  <c r="Y53" i="11"/>
  <c r="Y51" i="11"/>
  <c r="Y56" i="11"/>
  <c r="Y58" i="11"/>
  <c r="Y57" i="11"/>
  <c r="Y61" i="11"/>
  <c r="Y54" i="11"/>
  <c r="Y59" i="11"/>
  <c r="Y60" i="11"/>
  <c r="Y62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V7" i="11"/>
  <c r="X7" i="11"/>
  <c r="X8" i="11"/>
  <c r="X9" i="11"/>
  <c r="X10" i="11"/>
  <c r="X11" i="11"/>
  <c r="X12" i="11"/>
  <c r="X17" i="11"/>
  <c r="X13" i="11"/>
  <c r="X14" i="11"/>
  <c r="X21" i="11"/>
  <c r="X16" i="11"/>
  <c r="X22" i="11"/>
  <c r="X30" i="11"/>
  <c r="X26" i="11"/>
  <c r="X23" i="11"/>
  <c r="X15" i="11"/>
  <c r="X19" i="11"/>
  <c r="X18" i="11"/>
  <c r="X27" i="11"/>
  <c r="X25" i="11"/>
  <c r="X20" i="11"/>
  <c r="X24" i="11"/>
  <c r="X31" i="11"/>
  <c r="X28" i="11"/>
  <c r="X29" i="11"/>
  <c r="X33" i="11"/>
  <c r="X34" i="11"/>
  <c r="X32" i="11"/>
  <c r="X35" i="11"/>
  <c r="X36" i="11"/>
  <c r="X37" i="11"/>
  <c r="X38" i="11"/>
  <c r="X39" i="11"/>
  <c r="X40" i="11"/>
  <c r="X41" i="11"/>
  <c r="X42" i="11"/>
  <c r="X64" i="11"/>
  <c r="X43" i="11"/>
  <c r="X63" i="11"/>
  <c r="X44" i="11"/>
  <c r="X45" i="11"/>
  <c r="X47" i="11"/>
  <c r="X46" i="11"/>
  <c r="X50" i="11"/>
  <c r="X48" i="11"/>
  <c r="X49" i="11"/>
  <c r="X52" i="11"/>
  <c r="X55" i="11"/>
  <c r="X53" i="11"/>
  <c r="X51" i="11"/>
  <c r="X56" i="11"/>
  <c r="X58" i="11"/>
  <c r="X57" i="11"/>
  <c r="X61" i="11"/>
  <c r="X54" i="11"/>
  <c r="X59" i="11"/>
  <c r="X60" i="11"/>
  <c r="X62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AA7" i="11"/>
  <c r="X9" i="8"/>
  <c r="X22" i="8"/>
  <c r="X11" i="8"/>
  <c r="X58" i="8"/>
  <c r="X51" i="8"/>
  <c r="X40" i="8"/>
  <c r="X38" i="8"/>
  <c r="X23" i="8"/>
  <c r="X26" i="8"/>
  <c r="X12" i="8"/>
  <c r="X30" i="8"/>
  <c r="X19" i="8"/>
  <c r="X16" i="8"/>
  <c r="X24" i="8"/>
  <c r="X18" i="8"/>
  <c r="X33" i="8"/>
  <c r="X35" i="8"/>
  <c r="X44" i="8"/>
  <c r="X64" i="8"/>
  <c r="X31" i="8"/>
  <c r="X39" i="8"/>
  <c r="X14" i="8"/>
  <c r="X37" i="8"/>
  <c r="X47" i="8"/>
  <c r="X17" i="8"/>
  <c r="X15" i="8"/>
  <c r="X49" i="8"/>
  <c r="X50" i="8"/>
  <c r="X25" i="8"/>
  <c r="X43" i="8"/>
  <c r="X61" i="8"/>
  <c r="X48" i="8"/>
  <c r="X13" i="8"/>
  <c r="X59" i="8"/>
  <c r="X34" i="8"/>
  <c r="X77" i="8"/>
  <c r="X27" i="8"/>
  <c r="X46" i="8"/>
  <c r="X21" i="8"/>
  <c r="X60" i="8"/>
  <c r="X63" i="8"/>
  <c r="X74" i="8"/>
  <c r="X7" i="8"/>
  <c r="X52" i="8"/>
  <c r="X41" i="8"/>
  <c r="X29" i="8"/>
  <c r="X66" i="8"/>
  <c r="X36" i="8"/>
  <c r="X53" i="8"/>
  <c r="X45" i="8"/>
  <c r="X55" i="8"/>
  <c r="X57" i="8"/>
  <c r="X28" i="8"/>
  <c r="X69" i="8"/>
  <c r="X56" i="8"/>
  <c r="X32" i="8"/>
  <c r="X70" i="8"/>
  <c r="X20" i="8"/>
  <c r="X10" i="8"/>
  <c r="X42" i="8"/>
  <c r="X71" i="8"/>
  <c r="X75" i="8"/>
  <c r="X65" i="8"/>
  <c r="X8" i="8"/>
  <c r="X67" i="8"/>
  <c r="X80" i="8"/>
  <c r="X73" i="8"/>
  <c r="X78" i="8"/>
  <c r="X82" i="8"/>
  <c r="X79" i="8"/>
  <c r="X72" i="8"/>
  <c r="X83" i="8"/>
  <c r="X62" i="8"/>
  <c r="X85" i="8"/>
  <c r="X86" i="8"/>
  <c r="X54" i="8"/>
  <c r="X87" i="8"/>
  <c r="X84" i="8"/>
  <c r="X97" i="8"/>
  <c r="X100" i="8"/>
  <c r="X76" i="8"/>
  <c r="X98" i="8"/>
  <c r="X99" i="8"/>
  <c r="X90" i="8"/>
  <c r="X89" i="8"/>
  <c r="X94" i="8"/>
  <c r="X95" i="8"/>
  <c r="X81" i="8"/>
  <c r="X103" i="8"/>
  <c r="X92" i="8"/>
  <c r="X96" i="8"/>
  <c r="X106" i="8"/>
  <c r="X102" i="8"/>
  <c r="X114" i="8"/>
  <c r="X108" i="8"/>
  <c r="X107" i="8"/>
  <c r="X105" i="8"/>
  <c r="X112" i="8"/>
  <c r="X88" i="8"/>
  <c r="X109" i="8"/>
  <c r="X104" i="8"/>
  <c r="X91" i="8"/>
  <c r="X93" i="8"/>
  <c r="X110" i="8"/>
  <c r="X113" i="8"/>
  <c r="X111" i="8"/>
  <c r="X68" i="8"/>
  <c r="X115" i="8"/>
  <c r="X121" i="8"/>
  <c r="X122" i="8"/>
  <c r="X123" i="8"/>
  <c r="X101" i="8"/>
  <c r="X124" i="8"/>
  <c r="X129" i="8"/>
  <c r="X128" i="8"/>
  <c r="X132" i="8"/>
  <c r="X130" i="8"/>
  <c r="X131" i="8"/>
  <c r="X133" i="8"/>
  <c r="X134" i="8"/>
  <c r="X135" i="8"/>
  <c r="X136" i="8"/>
  <c r="X140" i="8"/>
  <c r="X141" i="8"/>
  <c r="X142" i="8"/>
  <c r="X143" i="8"/>
  <c r="X144" i="8"/>
  <c r="X145" i="8"/>
  <c r="X146" i="8"/>
  <c r="X147" i="8"/>
  <c r="X148" i="8"/>
  <c r="X149" i="8"/>
  <c r="X150" i="8"/>
  <c r="X151" i="8"/>
  <c r="X152" i="8"/>
  <c r="X153" i="8"/>
  <c r="X154" i="8"/>
  <c r="X155" i="8"/>
  <c r="X156" i="8"/>
  <c r="X157" i="8"/>
  <c r="X158" i="8"/>
  <c r="X159" i="8"/>
  <c r="X160" i="8"/>
  <c r="X161" i="8"/>
  <c r="X162" i="8"/>
  <c r="X163" i="8"/>
  <c r="X164" i="8"/>
  <c r="X165" i="8"/>
  <c r="X166" i="8"/>
  <c r="X167" i="8"/>
  <c r="X168" i="8"/>
  <c r="X169" i="8"/>
  <c r="X170" i="8"/>
  <c r="X171" i="8"/>
  <c r="Y9" i="8"/>
  <c r="Y22" i="8"/>
  <c r="Y11" i="8"/>
  <c r="Y58" i="8"/>
  <c r="Y51" i="8"/>
  <c r="Y40" i="8"/>
  <c r="Y38" i="8"/>
  <c r="Y23" i="8"/>
  <c r="Y26" i="8"/>
  <c r="Y12" i="8"/>
  <c r="Y30" i="8"/>
  <c r="Y19" i="8"/>
  <c r="Y16" i="8"/>
  <c r="Y24" i="8"/>
  <c r="Y18" i="8"/>
  <c r="Y33" i="8"/>
  <c r="Y35" i="8"/>
  <c r="Y44" i="8"/>
  <c r="Y64" i="8"/>
  <c r="Y31" i="8"/>
  <c r="Y39" i="8"/>
  <c r="Y14" i="8"/>
  <c r="Y37" i="8"/>
  <c r="Y47" i="8"/>
  <c r="Y17" i="8"/>
  <c r="Y15" i="8"/>
  <c r="Y49" i="8"/>
  <c r="Y50" i="8"/>
  <c r="Y25" i="8"/>
  <c r="Y43" i="8"/>
  <c r="Y61" i="8"/>
  <c r="Y48" i="8"/>
  <c r="Y13" i="8"/>
  <c r="Y59" i="8"/>
  <c r="Y34" i="8"/>
  <c r="Y77" i="8"/>
  <c r="Y27" i="8"/>
  <c r="Y46" i="8"/>
  <c r="Y21" i="8"/>
  <c r="Y60" i="8"/>
  <c r="Y63" i="8"/>
  <c r="Y74" i="8"/>
  <c r="Y7" i="8"/>
  <c r="Y52" i="8"/>
  <c r="Y41" i="8"/>
  <c r="Y29" i="8"/>
  <c r="Y66" i="8"/>
  <c r="Y36" i="8"/>
  <c r="Y53" i="8"/>
  <c r="Y45" i="8"/>
  <c r="Y55" i="8"/>
  <c r="Y57" i="8"/>
  <c r="Y28" i="8"/>
  <c r="Y69" i="8"/>
  <c r="Y56" i="8"/>
  <c r="Y32" i="8"/>
  <c r="Y70" i="8"/>
  <c r="Y20" i="8"/>
  <c r="Y10" i="8"/>
  <c r="Y42" i="8"/>
  <c r="Y71" i="8"/>
  <c r="Y75" i="8"/>
  <c r="Y65" i="8"/>
  <c r="Y8" i="8"/>
  <c r="Y67" i="8"/>
  <c r="Y80" i="8"/>
  <c r="Y73" i="8"/>
  <c r="Y78" i="8"/>
  <c r="Y82" i="8"/>
  <c r="Y79" i="8"/>
  <c r="Y72" i="8"/>
  <c r="Y83" i="8"/>
  <c r="Y62" i="8"/>
  <c r="Y85" i="8"/>
  <c r="Y86" i="8"/>
  <c r="Y54" i="8"/>
  <c r="Y87" i="8"/>
  <c r="Y84" i="8"/>
  <c r="Y97" i="8"/>
  <c r="Y100" i="8"/>
  <c r="Y76" i="8"/>
  <c r="Y98" i="8"/>
  <c r="Y99" i="8"/>
  <c r="Y90" i="8"/>
  <c r="Y89" i="8"/>
  <c r="Y94" i="8"/>
  <c r="Y95" i="8"/>
  <c r="Y81" i="8"/>
  <c r="Y103" i="8"/>
  <c r="Y92" i="8"/>
  <c r="Y96" i="8"/>
  <c r="Y106" i="8"/>
  <c r="Y102" i="8"/>
  <c r="Y114" i="8"/>
  <c r="Y108" i="8"/>
  <c r="Y107" i="8"/>
  <c r="Y105" i="8"/>
  <c r="Y112" i="8"/>
  <c r="Y88" i="8"/>
  <c r="Y109" i="8"/>
  <c r="Y104" i="8"/>
  <c r="Y91" i="8"/>
  <c r="Y93" i="8"/>
  <c r="Y110" i="8"/>
  <c r="Y113" i="8"/>
  <c r="Y111" i="8"/>
  <c r="Y68" i="8"/>
  <c r="Y115" i="8"/>
  <c r="Y121" i="8"/>
  <c r="Y122" i="8"/>
  <c r="Y123" i="8"/>
  <c r="Y101" i="8"/>
  <c r="Y124" i="8"/>
  <c r="Y129" i="8"/>
  <c r="Y128" i="8"/>
  <c r="Y132" i="8"/>
  <c r="Y130" i="8"/>
  <c r="Y131" i="8"/>
  <c r="Y133" i="8"/>
  <c r="Y134" i="8"/>
  <c r="Y135" i="8"/>
  <c r="Y136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V9" i="8"/>
  <c r="Z53" i="8" l="1"/>
  <c r="Z76" i="8"/>
  <c r="Z168" i="8"/>
  <c r="Z166" i="8"/>
  <c r="Z164" i="8"/>
  <c r="Z162" i="8"/>
  <c r="Z160" i="8"/>
  <c r="Z158" i="8"/>
  <c r="Z156" i="8"/>
  <c r="Z154" i="8"/>
  <c r="Z152" i="8"/>
  <c r="Z150" i="8"/>
  <c r="Z148" i="8"/>
  <c r="Z146" i="8"/>
  <c r="Z144" i="8"/>
  <c r="Z142" i="8"/>
  <c r="Z140" i="8"/>
  <c r="Z135" i="8"/>
  <c r="Z133" i="8"/>
  <c r="Z130" i="8"/>
  <c r="Z128" i="8"/>
  <c r="Z124" i="8"/>
  <c r="Z123" i="8"/>
  <c r="Z121" i="8"/>
  <c r="Z68" i="8"/>
  <c r="Z113" i="8"/>
  <c r="Z93" i="8"/>
  <c r="Z104" i="8"/>
  <c r="Z88" i="8"/>
  <c r="Z105" i="8"/>
  <c r="Z108" i="8"/>
  <c r="Z102" i="8"/>
  <c r="Z96" i="8"/>
  <c r="Z103" i="8"/>
  <c r="Z95" i="8"/>
  <c r="Z89" i="8"/>
  <c r="Z99" i="8"/>
  <c r="Z97" i="8"/>
  <c r="Z87" i="8"/>
  <c r="Z86" i="8"/>
  <c r="Z62" i="8"/>
  <c r="Z72" i="8"/>
  <c r="Z82" i="8"/>
  <c r="Z73" i="8"/>
  <c r="Z67" i="8"/>
  <c r="Z65" i="8"/>
  <c r="Z71" i="8"/>
  <c r="Z10" i="8"/>
  <c r="Z70" i="8"/>
  <c r="Z56" i="8"/>
  <c r="Z28" i="8"/>
  <c r="Z55" i="8"/>
  <c r="Z66" i="8"/>
  <c r="Z41" i="8"/>
  <c r="Z7" i="8"/>
  <c r="Z63" i="8"/>
  <c r="Z21" i="8"/>
  <c r="Z27" i="8"/>
  <c r="Z34" i="8"/>
  <c r="Z13" i="8"/>
  <c r="Z61" i="8"/>
  <c r="Z25" i="8"/>
  <c r="Z49" i="8"/>
  <c r="Z17" i="8"/>
  <c r="Z37" i="8"/>
  <c r="Z39" i="8"/>
  <c r="Z64" i="8"/>
  <c r="Z35" i="8"/>
  <c r="Z18" i="8"/>
  <c r="Z16" i="8"/>
  <c r="Z30" i="8"/>
  <c r="Z26" i="8"/>
  <c r="Z38" i="8"/>
  <c r="Z51" i="8"/>
  <c r="Z11" i="8"/>
  <c r="Z9" i="8"/>
  <c r="Z80" i="11"/>
  <c r="Z78" i="11"/>
  <c r="Z76" i="11"/>
  <c r="Z74" i="11"/>
  <c r="Z72" i="11"/>
  <c r="Z70" i="11"/>
  <c r="Z170" i="8"/>
  <c r="Z68" i="11"/>
  <c r="Z66" i="11"/>
  <c r="Z62" i="11"/>
  <c r="Z59" i="11"/>
  <c r="Z61" i="11"/>
  <c r="Z58" i="11"/>
  <c r="Z51" i="11"/>
  <c r="Z55" i="11"/>
  <c r="Z49" i="11"/>
  <c r="Z50" i="11"/>
  <c r="Z47" i="11"/>
  <c r="Z44" i="11"/>
  <c r="Z43" i="11"/>
  <c r="Z42" i="11"/>
  <c r="Z40" i="11"/>
  <c r="Z38" i="11"/>
  <c r="Z36" i="11"/>
  <c r="Z32" i="11"/>
  <c r="Z33" i="11"/>
  <c r="Z28" i="11"/>
  <c r="Z24" i="11"/>
  <c r="Z25" i="11"/>
  <c r="Z18" i="11"/>
  <c r="Z15" i="11"/>
  <c r="Z26" i="11"/>
  <c r="Z22" i="11"/>
  <c r="Z21" i="11"/>
  <c r="Z13" i="11"/>
  <c r="Z12" i="11"/>
  <c r="Z10" i="11"/>
  <c r="Z8" i="11"/>
  <c r="Z79" i="11"/>
  <c r="Z77" i="11"/>
  <c r="Z75" i="11"/>
  <c r="Z73" i="11"/>
  <c r="Z71" i="11"/>
  <c r="Z69" i="11"/>
  <c r="Z67" i="11"/>
  <c r="Z65" i="11"/>
  <c r="Z60" i="11"/>
  <c r="Z54" i="11"/>
  <c r="Z57" i="11"/>
  <c r="Z56" i="11"/>
  <c r="Z53" i="11"/>
  <c r="Z52" i="11"/>
  <c r="Z48" i="11"/>
  <c r="Z46" i="11"/>
  <c r="Z45" i="11"/>
  <c r="Z63" i="11"/>
  <c r="Z64" i="11"/>
  <c r="Z41" i="11"/>
  <c r="Z39" i="11"/>
  <c r="Z37" i="11"/>
  <c r="Z35" i="11"/>
  <c r="Z34" i="11"/>
  <c r="Z29" i="11"/>
  <c r="Z31" i="11"/>
  <c r="Z20" i="11"/>
  <c r="Z27" i="11"/>
  <c r="Z19" i="11"/>
  <c r="Z23" i="11"/>
  <c r="Z30" i="11"/>
  <c r="Z16" i="11"/>
  <c r="Z14" i="11"/>
  <c r="Z17" i="11"/>
  <c r="Z11" i="11"/>
  <c r="Z9" i="11"/>
  <c r="Z7" i="11"/>
  <c r="Z171" i="8"/>
  <c r="Z169" i="8"/>
  <c r="Z167" i="8"/>
  <c r="Z165" i="8"/>
  <c r="Z163" i="8"/>
  <c r="Z161" i="8"/>
  <c r="Z159" i="8"/>
  <c r="Z157" i="8"/>
  <c r="Z155" i="8"/>
  <c r="Z153" i="8"/>
  <c r="Z151" i="8"/>
  <c r="Z149" i="8"/>
  <c r="Z147" i="8"/>
  <c r="Z145" i="8"/>
  <c r="Z143" i="8"/>
  <c r="Z141" i="8"/>
  <c r="Z136" i="8"/>
  <c r="Z134" i="8"/>
  <c r="Z131" i="8"/>
  <c r="Z132" i="8"/>
  <c r="Z129" i="8"/>
  <c r="Z101" i="8"/>
  <c r="Z122" i="8"/>
  <c r="Z115" i="8"/>
  <c r="Z111" i="8"/>
  <c r="Z110" i="8"/>
  <c r="Z91" i="8"/>
  <c r="Z109" i="8"/>
  <c r="Z112" i="8"/>
  <c r="Z107" i="8"/>
  <c r="Z114" i="8"/>
  <c r="Z106" i="8"/>
  <c r="Z92" i="8"/>
  <c r="Z81" i="8"/>
  <c r="Z94" i="8"/>
  <c r="Z90" i="8"/>
  <c r="Z98" i="8"/>
  <c r="Z100" i="8"/>
  <c r="Z84" i="8"/>
  <c r="Z54" i="8"/>
  <c r="Z85" i="8"/>
  <c r="Z83" i="8"/>
  <c r="Z79" i="8"/>
  <c r="Z78" i="8"/>
  <c r="Z80" i="8"/>
  <c r="Z8" i="8"/>
  <c r="Z75" i="8"/>
  <c r="Z42" i="8"/>
  <c r="Z20" i="8"/>
  <c r="Z32" i="8"/>
  <c r="Z69" i="8"/>
  <c r="Z57" i="8"/>
  <c r="Z45" i="8"/>
  <c r="Z36" i="8"/>
  <c r="Z29" i="8"/>
  <c r="Z52" i="8"/>
  <c r="Z74" i="8"/>
  <c r="Z60" i="8"/>
  <c r="Z46" i="8"/>
  <c r="Z77" i="8"/>
  <c r="Z59" i="8"/>
  <c r="Z48" i="8"/>
  <c r="Z43" i="8"/>
  <c r="Z50" i="8"/>
  <c r="Z15" i="8"/>
  <c r="Z47" i="8"/>
  <c r="Z14" i="8"/>
  <c r="Z31" i="8"/>
  <c r="Z44" i="8"/>
  <c r="Z33" i="8"/>
  <c r="Z24" i="8"/>
  <c r="Z19" i="8"/>
  <c r="Z12" i="8"/>
  <c r="Z23" i="8"/>
  <c r="Z40" i="8"/>
  <c r="Z58" i="8"/>
  <c r="Z22" i="8"/>
  <c r="O1059" i="4"/>
  <c r="O717" i="4"/>
  <c r="O101" i="4"/>
  <c r="O700" i="4"/>
  <c r="O78" i="4"/>
  <c r="O973" i="4"/>
  <c r="O100" i="4"/>
  <c r="O699" i="4"/>
  <c r="O613" i="4"/>
  <c r="O672" i="4"/>
  <c r="O648" i="4"/>
  <c r="O720" i="4"/>
  <c r="O730" i="4"/>
  <c r="O102" i="4"/>
  <c r="O644" i="4"/>
  <c r="O76" i="4"/>
  <c r="O104" i="4"/>
  <c r="O961" i="4"/>
  <c r="O662" i="4"/>
  <c r="O655" i="4"/>
  <c r="O1028" i="4"/>
  <c r="O766" i="4"/>
  <c r="O735" i="4"/>
  <c r="O103" i="4"/>
  <c r="O1036" i="4"/>
  <c r="O964" i="4"/>
  <c r="O729" i="4"/>
  <c r="O621" i="4"/>
  <c r="O670" i="4"/>
  <c r="O705" i="4"/>
  <c r="O781" i="4"/>
  <c r="O665" i="4"/>
  <c r="O784" i="4"/>
  <c r="Q7" i="7" s="1"/>
  <c r="O663" i="4"/>
  <c r="O601" i="4"/>
  <c r="O1039" i="4"/>
  <c r="O1027" i="4"/>
  <c r="O683" i="4"/>
  <c r="O987" i="4"/>
  <c r="O650" i="4"/>
  <c r="O80" i="4"/>
  <c r="O647" i="4"/>
  <c r="O985" i="4"/>
  <c r="O611" i="4"/>
  <c r="O958" i="4"/>
  <c r="O1021" i="4"/>
  <c r="O986" i="4"/>
  <c r="O664" i="4"/>
  <c r="O951" i="4"/>
  <c r="O708" i="4"/>
  <c r="O600" i="4"/>
  <c r="O963" i="4"/>
  <c r="O723" i="4"/>
  <c r="O679" i="4"/>
  <c r="O807" i="4"/>
  <c r="O606" i="4"/>
  <c r="O641" i="4"/>
  <c r="O950" i="4"/>
  <c r="O1114" i="4"/>
  <c r="O673" i="4"/>
  <c r="O1106" i="4"/>
  <c r="O523" i="4"/>
  <c r="O666" i="4"/>
  <c r="O1057" i="4"/>
  <c r="O29" i="4"/>
  <c r="O695" i="4"/>
  <c r="O681" i="4"/>
  <c r="O721" i="4"/>
  <c r="O698" i="4"/>
  <c r="O733" i="4"/>
  <c r="O301" i="4"/>
  <c r="O725" i="4"/>
  <c r="O667" i="4"/>
  <c r="O976" i="4"/>
  <c r="O984" i="4"/>
  <c r="O1040" i="4"/>
  <c r="O1112" i="4"/>
  <c r="O31" i="4"/>
  <c r="O624" i="4"/>
  <c r="O757" i="4"/>
  <c r="O674" i="4"/>
  <c r="O686" i="4"/>
  <c r="O847" i="4"/>
  <c r="O977" i="4"/>
  <c r="O642" i="4"/>
  <c r="O848" i="4"/>
  <c r="O529" i="4"/>
  <c r="O633" i="4"/>
  <c r="O1017" i="4"/>
  <c r="O77" i="4"/>
  <c r="O623" i="4"/>
  <c r="O671" i="4"/>
  <c r="O687" i="4"/>
  <c r="O747" i="4"/>
  <c r="O703" i="4"/>
  <c r="O1064" i="4"/>
  <c r="O604" i="4"/>
  <c r="O732" i="4"/>
  <c r="O750" i="4"/>
  <c r="O820" i="4"/>
  <c r="O645" i="4"/>
  <c r="O522" i="4"/>
  <c r="O618" i="4"/>
  <c r="O290" i="4"/>
  <c r="O643" i="4"/>
  <c r="O30" i="4"/>
  <c r="O527" i="4"/>
  <c r="O960" i="4"/>
  <c r="O1025" i="4"/>
  <c r="O728" i="4"/>
  <c r="O676" i="4"/>
  <c r="O634" i="4"/>
  <c r="O741" i="4"/>
  <c r="O622" i="4"/>
  <c r="O849" i="4"/>
  <c r="O972" i="4"/>
  <c r="O632" i="4"/>
  <c r="O1110" i="4"/>
  <c r="O32" i="4"/>
  <c r="O620" i="4"/>
  <c r="O731" i="4"/>
  <c r="O617" i="4"/>
  <c r="O971" i="4"/>
  <c r="O694" i="4"/>
  <c r="O697" i="4"/>
  <c r="O625" i="4"/>
  <c r="O818" i="4"/>
  <c r="O1038" i="4"/>
  <c r="O1113" i="4"/>
  <c r="O996" i="4"/>
  <c r="O28" i="4"/>
  <c r="O693" i="4"/>
  <c r="O660" i="4"/>
  <c r="O627" i="4"/>
  <c r="O756" i="4"/>
  <c r="O762" i="4"/>
  <c r="O997" i="4"/>
  <c r="O526" i="4"/>
  <c r="O949" i="4"/>
  <c r="O755" i="4"/>
  <c r="O524" i="4"/>
  <c r="O653" i="4"/>
  <c r="O299" i="4"/>
  <c r="O616" i="4"/>
  <c r="O602" i="4"/>
  <c r="O607" i="4"/>
  <c r="O1126" i="4"/>
  <c r="O1034" i="4"/>
  <c r="O525" i="4"/>
  <c r="O303" i="4"/>
  <c r="O605" i="4"/>
  <c r="O1019" i="4"/>
  <c r="O294" i="4"/>
  <c r="O306" i="4"/>
  <c r="O724" i="4"/>
  <c r="O1052" i="4"/>
  <c r="O274" i="4"/>
  <c r="O675" i="4"/>
  <c r="O777" i="4"/>
  <c r="O531" i="4"/>
  <c r="O682" i="4"/>
  <c r="O760" i="4"/>
  <c r="O492" i="4"/>
  <c r="O749" i="4"/>
  <c r="O726" i="4"/>
  <c r="O907" i="4"/>
  <c r="O1122" i="4"/>
  <c r="O817" i="4"/>
  <c r="O603" i="4"/>
  <c r="O1190" i="4"/>
  <c r="O669" i="4"/>
  <c r="O490" i="4"/>
  <c r="O975" i="4"/>
  <c r="O599" i="4"/>
  <c r="O99" i="4"/>
  <c r="O270" i="4"/>
  <c r="O805" i="4"/>
  <c r="O302" i="4"/>
  <c r="O754" i="4"/>
  <c r="O493" i="4"/>
  <c r="O536" i="4"/>
  <c r="O753" i="4"/>
  <c r="O652" i="4"/>
  <c r="O776" i="4"/>
  <c r="O268" i="4"/>
  <c r="O1306" i="4"/>
  <c r="O491" i="4"/>
  <c r="O300" i="4"/>
  <c r="O541" i="4"/>
  <c r="O736" i="4"/>
  <c r="O54" i="4"/>
  <c r="O56" i="4"/>
  <c r="O58" i="4"/>
  <c r="O60" i="4"/>
  <c r="O84" i="4"/>
  <c r="O86" i="4"/>
  <c r="O88" i="4"/>
  <c r="O90" i="4"/>
  <c r="O92" i="4"/>
  <c r="O1024" i="4"/>
  <c r="O959" i="4"/>
  <c r="O704" i="4"/>
  <c r="O991" i="4"/>
  <c r="O269" i="4"/>
  <c r="O1037" i="4"/>
  <c r="O989" i="4"/>
  <c r="O980" i="4"/>
  <c r="O528" i="4"/>
  <c r="O1007" i="4"/>
  <c r="O1085" i="4"/>
  <c r="O1125" i="4"/>
  <c r="O968" i="4"/>
  <c r="O583" i="4"/>
  <c r="O769" i="4"/>
  <c r="O795" i="4"/>
  <c r="O734" i="4"/>
  <c r="O256" i="4"/>
  <c r="O278" i="4"/>
  <c r="O1026" i="4"/>
  <c r="O838" i="4"/>
  <c r="O514" i="4"/>
  <c r="O974" i="4"/>
  <c r="O1046" i="4"/>
  <c r="O1032" i="4"/>
  <c r="O751" i="4"/>
  <c r="O510" i="4"/>
  <c r="O494" i="4"/>
  <c r="O982" i="4"/>
  <c r="O1076" i="4"/>
  <c r="O812" i="4"/>
  <c r="O1121" i="4"/>
  <c r="O255" i="4"/>
  <c r="O892" i="4"/>
  <c r="O1070" i="4"/>
  <c r="O534" i="4"/>
  <c r="O1120" i="4"/>
  <c r="O988" i="4"/>
  <c r="O520" i="4"/>
  <c r="O539" i="4"/>
  <c r="O1111" i="4"/>
  <c r="O628" i="4"/>
  <c r="O981" i="4"/>
  <c r="O1307" i="4"/>
  <c r="O837" i="4"/>
  <c r="O774" i="4"/>
  <c r="O24" i="4"/>
  <c r="O1116" i="4"/>
  <c r="O581" i="4"/>
  <c r="O1055" i="4"/>
  <c r="O639" i="4"/>
  <c r="O966" i="4"/>
  <c r="O1056" i="4"/>
  <c r="O275" i="4"/>
  <c r="O626" i="4"/>
  <c r="O808" i="4"/>
  <c r="O748" i="4"/>
  <c r="O813" i="4"/>
  <c r="O504" i="4"/>
  <c r="O661" i="4"/>
  <c r="O304" i="4"/>
  <c r="O505" i="4"/>
  <c r="O1044" i="4"/>
  <c r="O548" i="4"/>
  <c r="O983" i="4"/>
  <c r="O580" i="4"/>
  <c r="O276" i="4"/>
  <c r="O273" i="4"/>
  <c r="O279" i="4"/>
  <c r="O796" i="4"/>
  <c r="O578" i="4"/>
  <c r="O307" i="4"/>
  <c r="O1048" i="4"/>
  <c r="O880" i="4"/>
  <c r="O712" i="4"/>
  <c r="O272" i="4"/>
  <c r="O752" i="4"/>
  <c r="O610" i="4"/>
  <c r="O969" i="4"/>
  <c r="O511" i="4"/>
  <c r="O579" i="4"/>
  <c r="O296" i="4"/>
  <c r="O286" i="4"/>
  <c r="O577" i="4"/>
  <c r="O692" i="4"/>
  <c r="O582" i="4"/>
  <c r="O739" i="4"/>
  <c r="O713" i="4"/>
  <c r="O506" i="4"/>
  <c r="O1107" i="4"/>
  <c r="O521" i="4"/>
  <c r="O787" i="4"/>
  <c r="O896" i="4"/>
  <c r="O110" i="4"/>
  <c r="O1197" i="4"/>
  <c r="O519" i="4"/>
  <c r="O1015" i="4"/>
  <c r="O393" i="4"/>
  <c r="O1115" i="4"/>
  <c r="O1016" i="4"/>
  <c r="O979" i="4"/>
  <c r="O656" i="4"/>
  <c r="O637" i="4"/>
  <c r="O952" i="4"/>
  <c r="O11" i="4"/>
  <c r="O1124" i="4"/>
  <c r="O843" i="4"/>
  <c r="O288" i="4"/>
  <c r="O1043" i="4"/>
  <c r="O1053" i="4"/>
  <c r="O761" i="4"/>
  <c r="O908" i="4"/>
  <c r="O890" i="4"/>
  <c r="O489" i="4"/>
  <c r="O710" i="4"/>
  <c r="O512" i="4"/>
  <c r="O317" i="4"/>
  <c r="O768" i="4"/>
  <c r="O271" i="4"/>
  <c r="O967" i="4"/>
  <c r="O576" i="4"/>
  <c r="O1020" i="4"/>
  <c r="O1108" i="4"/>
  <c r="O773" i="4"/>
  <c r="O845" i="4"/>
  <c r="O619" i="4"/>
  <c r="O500" i="4"/>
  <c r="O615" i="4"/>
  <c r="O844" i="4"/>
  <c r="O482" i="4"/>
  <c r="O503" i="4"/>
  <c r="O330" i="4"/>
  <c r="O321" i="4"/>
  <c r="O901" i="4"/>
  <c r="O804" i="4"/>
  <c r="O40" i="4"/>
  <c r="O486" i="4"/>
  <c r="O707" i="4"/>
  <c r="O831" i="4"/>
  <c r="O779" i="4"/>
  <c r="O930" i="4"/>
  <c r="O806" i="4"/>
  <c r="O745" i="4"/>
  <c r="O945" i="4"/>
  <c r="O368" i="4"/>
  <c r="O370" i="4"/>
  <c r="O1022" i="4"/>
  <c r="O1068" i="4"/>
  <c r="O1042" i="4"/>
  <c r="O815" i="4"/>
  <c r="O487" i="4"/>
  <c r="O495" i="4"/>
  <c r="O1054" i="4"/>
  <c r="O280" i="4"/>
  <c r="O1192" i="4"/>
  <c r="O546" i="4"/>
  <c r="O1195" i="4"/>
  <c r="O902" i="4"/>
  <c r="O791" i="4"/>
  <c r="O324" i="4"/>
  <c r="O811" i="4"/>
  <c r="O715" i="4"/>
  <c r="O775" i="4"/>
  <c r="O1002" i="4"/>
  <c r="O846" i="4"/>
  <c r="O12" i="4"/>
  <c r="O513" i="4"/>
  <c r="O332" i="4"/>
  <c r="O388" i="4"/>
  <c r="O799" i="4"/>
  <c r="O318" i="4"/>
  <c r="O326" i="4"/>
  <c r="O542" i="4"/>
  <c r="O292" i="4"/>
  <c r="O499" i="4"/>
  <c r="O547" i="4"/>
  <c r="O257" i="4"/>
  <c r="O992" i="4"/>
  <c r="O331" i="4"/>
  <c r="O323" i="4"/>
  <c r="O322" i="4"/>
  <c r="O1295" i="4"/>
  <c r="O228" i="4"/>
  <c r="O1031" i="4"/>
  <c r="O794" i="4"/>
  <c r="O282" i="4"/>
  <c r="O1135" i="4"/>
  <c r="O917" i="4"/>
  <c r="O1087" i="4"/>
  <c r="O1119" i="4"/>
  <c r="O803" i="4"/>
  <c r="O706" i="4"/>
  <c r="O367" i="4"/>
  <c r="O488" i="4"/>
  <c r="O722" i="4"/>
  <c r="O227" i="4"/>
  <c r="O711" i="4"/>
  <c r="O792" i="4"/>
  <c r="O798" i="4"/>
  <c r="O938" i="4"/>
  <c r="O931" i="4"/>
  <c r="O814" i="4"/>
  <c r="O819" i="4"/>
  <c r="O107" i="4"/>
  <c r="O714" i="4"/>
  <c r="O389" i="4"/>
  <c r="O537" i="4"/>
  <c r="O333" i="4"/>
  <c r="O508" i="4"/>
  <c r="O496" i="4"/>
  <c r="O394" i="4"/>
  <c r="O646" i="4"/>
  <c r="O283" i="4"/>
  <c r="O894" i="4"/>
  <c r="O609" i="4"/>
  <c r="O816" i="4"/>
  <c r="O821" i="4"/>
  <c r="O866" i="4"/>
  <c r="O311" i="4"/>
  <c r="O239" i="4"/>
  <c r="O918" i="4"/>
  <c r="O920" i="4"/>
  <c r="O915" i="4"/>
  <c r="O916" i="4"/>
  <c r="O919" i="4"/>
  <c r="O994" i="4"/>
  <c r="O995" i="4"/>
  <c r="O1290" i="4"/>
  <c r="O1013" i="4"/>
  <c r="O881" i="4"/>
  <c r="O515" i="4"/>
  <c r="O392" i="4"/>
  <c r="O869" i="4"/>
  <c r="O882" i="4"/>
  <c r="O502" i="4"/>
  <c r="O962" i="4"/>
  <c r="O1088" i="4"/>
  <c r="O1075" i="4"/>
  <c r="O1100" i="4"/>
  <c r="O1181" i="4"/>
  <c r="O41" i="4"/>
  <c r="O978" i="4"/>
  <c r="O946" i="4"/>
  <c r="O366" i="4"/>
  <c r="O1001" i="4"/>
  <c r="O386" i="4"/>
  <c r="O1009" i="4"/>
  <c r="O369" i="4"/>
  <c r="O863" i="4"/>
  <c r="O770" i="4"/>
  <c r="O1134" i="4"/>
  <c r="O328" i="4"/>
  <c r="O954" i="4"/>
  <c r="O1008" i="4"/>
  <c r="O112" i="4"/>
  <c r="O109" i="4"/>
  <c r="O1012" i="4"/>
  <c r="O481" i="4"/>
  <c r="O483" i="4"/>
  <c r="O1298" i="4"/>
  <c r="O957" i="4"/>
  <c r="O485" i="4"/>
  <c r="O1069" i="4"/>
  <c r="O391" i="4"/>
  <c r="O955" i="4"/>
  <c r="O861" i="4"/>
  <c r="O1299" i="4"/>
  <c r="O1277" i="4"/>
  <c r="O1073" i="4"/>
  <c r="O800" i="4"/>
  <c r="O1269" i="4"/>
  <c r="O1270" i="4"/>
  <c r="O106" i="4"/>
  <c r="O310" i="4"/>
  <c r="O320" i="4"/>
  <c r="O1265" i="4"/>
  <c r="O316" i="4"/>
  <c r="O308" i="4"/>
  <c r="O325" i="4"/>
  <c r="O898" i="4"/>
  <c r="O933" i="4"/>
  <c r="O886" i="4"/>
  <c r="O258" i="4"/>
  <c r="O1118" i="4"/>
  <c r="O1168" i="4"/>
  <c r="O108" i="4"/>
  <c r="O319" i="4"/>
  <c r="O315" i="4"/>
  <c r="O895" i="4"/>
  <c r="O1287" i="4"/>
  <c r="O1284" i="4"/>
  <c r="O1280" i="4"/>
  <c r="O6" i="4"/>
  <c r="O1302" i="4"/>
  <c r="O7" i="4"/>
  <c r="O858" i="4"/>
  <c r="O864" i="4"/>
  <c r="O1286" i="4"/>
  <c r="O1071" i="4"/>
  <c r="O1285" i="4"/>
  <c r="O1256" i="4"/>
  <c r="O390" i="4"/>
  <c r="O226" i="4"/>
  <c r="O241" i="4"/>
  <c r="O802" i="4"/>
  <c r="O790" i="4"/>
  <c r="O789" i="4"/>
  <c r="O797" i="4"/>
  <c r="O295" i="4"/>
  <c r="O801" i="4"/>
  <c r="O788" i="4"/>
  <c r="O1094" i="4"/>
  <c r="O1093" i="4"/>
  <c r="O1010" i="4"/>
  <c r="O824" i="4"/>
  <c r="O828" i="4"/>
  <c r="O826" i="4"/>
  <c r="O823" i="4"/>
  <c r="O1182" i="4"/>
  <c r="O1170" i="4"/>
  <c r="O157" i="4"/>
  <c r="O14" i="4"/>
  <c r="O993" i="4"/>
  <c r="O298" i="4"/>
  <c r="O1291" i="4"/>
  <c r="O1240" i="4"/>
  <c r="O1249" i="4"/>
  <c r="O1185" i="4"/>
  <c r="O1011" i="4"/>
  <c r="O313" i="4"/>
  <c r="O309" i="4"/>
  <c r="O884" i="4"/>
  <c r="O1289" i="4"/>
  <c r="O1294" i="4"/>
  <c r="O1288" i="4"/>
  <c r="O702" i="4"/>
  <c r="O1143" i="4"/>
  <c r="O999" i="4"/>
  <c r="O742" i="4"/>
  <c r="O689" i="4"/>
  <c r="O771" i="4"/>
  <c r="O1142" i="4"/>
  <c r="O1188" i="4"/>
  <c r="O965" i="4"/>
  <c r="O793" i="4"/>
  <c r="O530" i="4"/>
  <c r="O382" i="4"/>
  <c r="O383" i="4"/>
  <c r="O82" i="4"/>
  <c r="O956" i="4"/>
  <c r="O939" i="4"/>
  <c r="O1283" i="4"/>
  <c r="O1281" i="4"/>
  <c r="O990" i="4"/>
  <c r="O874" i="4"/>
  <c r="O1148" i="4"/>
  <c r="O1150" i="4"/>
  <c r="O305" i="4"/>
  <c r="O835" i="4"/>
  <c r="O25" i="4"/>
  <c r="O852" i="4"/>
  <c r="O853" i="4"/>
  <c r="O855" i="4"/>
  <c r="O857" i="4"/>
  <c r="O854" i="4"/>
  <c r="O860" i="4"/>
  <c r="O5" i="4"/>
  <c r="O856" i="4"/>
  <c r="O4" i="4"/>
  <c r="O1296" i="4"/>
  <c r="O829" i="4"/>
  <c r="O1276" i="4"/>
  <c r="O905" i="4"/>
  <c r="O701" i="4"/>
  <c r="O859" i="4"/>
  <c r="O1292" i="4"/>
  <c r="O740" i="4"/>
  <c r="O1279" i="4"/>
  <c r="O334" i="4"/>
  <c r="O1275" i="4"/>
  <c r="O1300" i="4"/>
  <c r="O509" i="4"/>
  <c r="O533" i="4"/>
  <c r="O535" i="4"/>
  <c r="O543" i="4"/>
  <c r="O1278" i="4"/>
  <c r="O737" i="4"/>
  <c r="O1282" i="4"/>
  <c r="O1162" i="4"/>
  <c r="O608" i="4"/>
  <c r="O544" i="4"/>
  <c r="O932" i="4"/>
  <c r="O867" i="4"/>
  <c r="O1303" i="4"/>
  <c r="O1160" i="4"/>
  <c r="O1301" i="4"/>
  <c r="O870" i="4"/>
  <c r="O862" i="4"/>
  <c r="O1191" i="4"/>
  <c r="O833" i="4"/>
  <c r="O540" i="4"/>
  <c r="O507" i="4"/>
  <c r="O873" i="4"/>
  <c r="O865" i="4"/>
  <c r="O658" i="4"/>
  <c r="O427" i="4"/>
  <c r="O868" i="4"/>
  <c r="O52" i="4"/>
  <c r="O871" i="4"/>
  <c r="O545" i="4"/>
  <c r="O696" i="4"/>
  <c r="O1095" i="4"/>
  <c r="O1083" i="4"/>
  <c r="O348" i="4"/>
  <c r="O67" i="4"/>
  <c r="O66" i="4"/>
  <c r="O1297" i="4"/>
  <c r="O68" i="4"/>
  <c r="O640" i="4"/>
  <c r="O759" i="4"/>
  <c r="O875" i="4"/>
  <c r="O1105" i="4"/>
  <c r="O147" i="4"/>
  <c r="O349" i="4"/>
  <c r="O69" i="4"/>
  <c r="O151" i="4"/>
  <c r="O95" i="4"/>
  <c r="O1018" i="4"/>
  <c r="O1156" i="4"/>
  <c r="O70" i="4"/>
  <c r="O50" i="4"/>
  <c r="O149" i="4"/>
  <c r="O63" i="4"/>
  <c r="O97" i="4"/>
  <c r="O105" i="4"/>
  <c r="O62" i="4"/>
  <c r="O96" i="4"/>
  <c r="O150" i="4"/>
  <c r="O156" i="4"/>
  <c r="O75" i="4"/>
  <c r="O146" i="4"/>
  <c r="O98" i="4"/>
  <c r="O588" i="4"/>
  <c r="O589" i="4"/>
  <c r="O772" i="4"/>
  <c r="O765" i="4"/>
  <c r="O764" i="4"/>
  <c r="O763" i="4"/>
  <c r="O767" i="4"/>
  <c r="O591" i="4"/>
  <c r="O596" i="4"/>
  <c r="O93" i="4"/>
  <c r="O65" i="4"/>
  <c r="O94" i="4"/>
  <c r="O1293" i="4"/>
  <c r="O1268" i="4"/>
  <c r="O1271" i="4"/>
  <c r="O1272" i="4"/>
  <c r="O1273" i="4"/>
  <c r="O1274" i="4"/>
  <c r="O657" i="4"/>
  <c r="O638" i="4"/>
  <c r="O743" i="4"/>
  <c r="O709" i="4"/>
  <c r="O746" i="4"/>
  <c r="O1158" i="4"/>
  <c r="O1132" i="4"/>
  <c r="O1136" i="4"/>
  <c r="O1242" i="4"/>
  <c r="O1176" i="4"/>
  <c r="O1247" i="4"/>
  <c r="O1251" i="4"/>
  <c r="O1147" i="4"/>
  <c r="O1164" i="4"/>
  <c r="O1140" i="4"/>
  <c r="O1169" i="4"/>
  <c r="O1166" i="4"/>
  <c r="O1138" i="4"/>
  <c r="O1187" i="4"/>
  <c r="O1245" i="4"/>
  <c r="O1183" i="4"/>
  <c r="O1133" i="4"/>
  <c r="O1137" i="4"/>
  <c r="O1152" i="4"/>
  <c r="O1194" i="4"/>
  <c r="O1198" i="4"/>
  <c r="O1199" i="4"/>
  <c r="O1200" i="4"/>
  <c r="O1201" i="4"/>
  <c r="O1202" i="4"/>
  <c r="O1203" i="4"/>
  <c r="O1204" i="4"/>
  <c r="O1205" i="4"/>
  <c r="O1206" i="4"/>
  <c r="O1207" i="4"/>
  <c r="O1208" i="4"/>
  <c r="O1209" i="4"/>
  <c r="O1210" i="4"/>
  <c r="O1211" i="4"/>
  <c r="O1212" i="4"/>
  <c r="O1213" i="4"/>
  <c r="O1214" i="4"/>
  <c r="O1215" i="4"/>
  <c r="O1216" i="4"/>
  <c r="O1217" i="4"/>
  <c r="O1218" i="4"/>
  <c r="O1219" i="4"/>
  <c r="O1220" i="4"/>
  <c r="O1221" i="4"/>
  <c r="O1222" i="4"/>
  <c r="O1223" i="4"/>
  <c r="O1224" i="4"/>
  <c r="O1225" i="4"/>
  <c r="O1226" i="4"/>
  <c r="O1227" i="4"/>
  <c r="O1228" i="4"/>
  <c r="O1229" i="4"/>
  <c r="O1230" i="4"/>
  <c r="O1231" i="4"/>
  <c r="O1232" i="4"/>
  <c r="O1233" i="4"/>
  <c r="O1234" i="4"/>
  <c r="O1235" i="4"/>
  <c r="O1236" i="4"/>
  <c r="O1237" i="4"/>
  <c r="O1241" i="4"/>
  <c r="O1246" i="4"/>
  <c r="O1250" i="4"/>
  <c r="O1252" i="4"/>
  <c r="O1253" i="4"/>
  <c r="O1254" i="4"/>
  <c r="O1255" i="4"/>
  <c r="O1130" i="4"/>
  <c r="O1141" i="4"/>
  <c r="O1145" i="4"/>
  <c r="O1146" i="4"/>
  <c r="O1151" i="4"/>
  <c r="O1155" i="4"/>
  <c r="O1163" i="4"/>
  <c r="O1157" i="4"/>
  <c r="O1159" i="4"/>
  <c r="O1161" i="4"/>
  <c r="O1165" i="4"/>
  <c r="O1167" i="4"/>
  <c r="O1171" i="4"/>
  <c r="O1172" i="4"/>
  <c r="O1173" i="4"/>
  <c r="O1174" i="4"/>
  <c r="O1175" i="4"/>
  <c r="O1177" i="4"/>
  <c r="O1178" i="4"/>
  <c r="O1179" i="4"/>
  <c r="O1180" i="4"/>
  <c r="O1186" i="4"/>
  <c r="O1189" i="4"/>
  <c r="O1238" i="4"/>
  <c r="O1239" i="4"/>
  <c r="O378" i="4"/>
  <c r="O375" i="4"/>
  <c r="O376" i="4"/>
  <c r="O379" i="4"/>
  <c r="O381" i="4"/>
  <c r="O380" i="4"/>
  <c r="O377" i="4"/>
  <c r="O371" i="4"/>
  <c r="O373" i="4"/>
  <c r="O374" i="4"/>
  <c r="O372" i="4"/>
  <c r="O426" i="4"/>
  <c r="O419" i="4"/>
  <c r="O425" i="4"/>
  <c r="O428" i="4"/>
  <c r="O429" i="4"/>
  <c r="O433" i="4"/>
  <c r="O434" i="4"/>
  <c r="O435" i="4"/>
  <c r="O431" i="4"/>
  <c r="O421" i="4"/>
  <c r="O422" i="4"/>
  <c r="O420" i="4"/>
  <c r="O436" i="4"/>
  <c r="O418" i="4"/>
  <c r="O432" i="4"/>
  <c r="O413" i="4"/>
  <c r="O403" i="4"/>
  <c r="O404" i="4"/>
  <c r="O408" i="4"/>
  <c r="O406" i="4"/>
  <c r="O395" i="4"/>
  <c r="O399" i="4"/>
  <c r="O412" i="4"/>
  <c r="O398" i="4"/>
  <c r="O401" i="4"/>
  <c r="O414" i="4"/>
  <c r="O416" i="4"/>
  <c r="O445" i="4"/>
  <c r="O442" i="4"/>
  <c r="O447" i="4"/>
  <c r="O438" i="4"/>
  <c r="O443" i="4"/>
  <c r="O444" i="4"/>
  <c r="O437" i="4"/>
  <c r="O449" i="4"/>
  <c r="O448" i="4"/>
  <c r="O446" i="4"/>
  <c r="O440" i="4"/>
  <c r="O439" i="4"/>
  <c r="O441" i="4"/>
  <c r="O396" i="4"/>
  <c r="O397" i="4"/>
  <c r="O415" i="4"/>
  <c r="O402" i="4"/>
  <c r="O405" i="4"/>
  <c r="O417" i="4"/>
  <c r="O72" i="4"/>
  <c r="O336" i="4"/>
  <c r="O353" i="4"/>
  <c r="O354" i="4"/>
  <c r="O355" i="4"/>
  <c r="O356" i="4"/>
  <c r="O359" i="4"/>
  <c r="O836" i="4"/>
  <c r="O1005" i="4"/>
  <c r="O1023" i="4"/>
  <c r="O1029" i="4"/>
  <c r="O1030" i="4"/>
  <c r="O1033" i="4"/>
  <c r="O1035" i="4"/>
  <c r="O1045" i="4"/>
  <c r="O1047" i="4"/>
  <c r="O1049" i="4"/>
  <c r="O1050" i="4"/>
  <c r="O1060" i="4"/>
  <c r="O1061" i="4"/>
  <c r="O1062" i="4"/>
  <c r="O1063" i="4"/>
  <c r="O1065" i="4"/>
  <c r="O1066" i="4"/>
  <c r="O1072" i="4"/>
  <c r="O1127" i="4"/>
  <c r="O1128" i="4"/>
  <c r="O998" i="4"/>
  <c r="O327" i="4"/>
  <c r="O314" i="4"/>
  <c r="O329" i="4"/>
  <c r="O33" i="4"/>
  <c r="O1262" i="4"/>
  <c r="O1263" i="4"/>
  <c r="O312" i="4"/>
  <c r="O1261" i="4"/>
  <c r="O1260" i="4"/>
  <c r="O36" i="4"/>
  <c r="O35" i="4"/>
  <c r="O38" i="4"/>
  <c r="O34" i="4"/>
  <c r="O37" i="4"/>
  <c r="O1267" i="4"/>
  <c r="O1259" i="4"/>
  <c r="O1264" i="4"/>
  <c r="O1266" i="4"/>
  <c r="O1258" i="4"/>
  <c r="O921" i="4"/>
  <c r="O285" i="4"/>
  <c r="O887" i="4"/>
  <c r="O941" i="4"/>
  <c r="O878" i="4"/>
  <c r="O259" i="4"/>
  <c r="O261" i="4"/>
  <c r="O265" i="4"/>
  <c r="O284" i="4"/>
  <c r="O903" i="4"/>
  <c r="O263" i="4"/>
  <c r="O877" i="4"/>
  <c r="O876" i="4"/>
  <c r="O1078" i="4"/>
  <c r="O904" i="4"/>
  <c r="O929" i="4"/>
  <c r="O927" i="4"/>
  <c r="O1081" i="4"/>
  <c r="O1086" i="4"/>
  <c r="O1117" i="4"/>
  <c r="O1077" i="4"/>
  <c r="O891" i="4"/>
  <c r="O888" i="4"/>
  <c r="O889" i="4"/>
  <c r="O913" i="4"/>
  <c r="O912" i="4"/>
  <c r="O883" i="4"/>
  <c r="O947" i="4"/>
  <c r="O934" i="4"/>
  <c r="O940" i="4"/>
  <c r="O928" i="4"/>
  <c r="O911" i="4"/>
  <c r="O942" i="4"/>
  <c r="O923" i="4"/>
  <c r="O936" i="4"/>
  <c r="O914" i="4"/>
  <c r="O872" i="4"/>
  <c r="O1099" i="4"/>
  <c r="O1084" i="4"/>
  <c r="O909" i="4"/>
  <c r="O1096" i="4"/>
  <c r="O910" i="4"/>
  <c r="O924" i="4"/>
  <c r="O926" i="4"/>
  <c r="O885" i="4"/>
  <c r="O943" i="4"/>
  <c r="O1079" i="4"/>
  <c r="O1104" i="4"/>
  <c r="O1097" i="4"/>
  <c r="O1101" i="4"/>
  <c r="O1080" i="4"/>
  <c r="O1089" i="4"/>
  <c r="O1123" i="4"/>
  <c r="O1102" i="4"/>
  <c r="O1092" i="4"/>
  <c r="O948" i="4"/>
  <c r="O1103" i="4"/>
  <c r="O1091" i="4"/>
  <c r="O1090" i="4"/>
  <c r="O925" i="4"/>
  <c r="O593" i="4"/>
  <c r="O592" i="4"/>
  <c r="O590" i="4"/>
  <c r="O595" i="4"/>
  <c r="O594" i="4"/>
  <c r="O111" i="4"/>
  <c r="O148" i="4"/>
  <c r="O145" i="4"/>
  <c r="O155" i="4"/>
  <c r="O154" i="4"/>
  <c r="O153" i="4"/>
  <c r="O144" i="4"/>
  <c r="O152" i="4"/>
  <c r="O51" i="4"/>
  <c r="O59" i="4"/>
  <c r="O53" i="4"/>
  <c r="O55" i="4"/>
  <c r="O57" i="4"/>
  <c r="O42" i="4"/>
  <c r="O46" i="4"/>
  <c r="O43" i="4"/>
  <c r="O44" i="4"/>
  <c r="O45" i="4"/>
  <c r="O47" i="4"/>
  <c r="O49" i="4"/>
  <c r="O48" i="4"/>
  <c r="O64" i="4"/>
  <c r="O79" i="4"/>
  <c r="O81" i="4"/>
  <c r="O71" i="4"/>
  <c r="O61" i="4"/>
  <c r="O83" i="4"/>
  <c r="O85" i="4"/>
  <c r="O91" i="4"/>
  <c r="O89" i="4"/>
  <c r="O87" i="4"/>
  <c r="O13" i="4"/>
  <c r="O827" i="4"/>
  <c r="O825" i="4"/>
  <c r="O1305" i="4"/>
  <c r="O677" i="4"/>
  <c r="O678" i="4"/>
  <c r="O668" i="4"/>
  <c r="O649" i="4"/>
  <c r="O690" i="4"/>
  <c r="O630" i="4"/>
  <c r="O654" i="4"/>
  <c r="O631" i="4"/>
  <c r="O738" i="4"/>
  <c r="O727" i="4"/>
  <c r="O744" i="4"/>
  <c r="O629" i="4"/>
  <c r="O691" i="4"/>
  <c r="O636" i="4"/>
  <c r="O719" i="4"/>
  <c r="O688" i="4"/>
  <c r="O684" i="4"/>
  <c r="O685" i="4"/>
  <c r="O614" i="4"/>
  <c r="O1154" i="4"/>
  <c r="O1244" i="4"/>
  <c r="O1196" i="4"/>
  <c r="O1149" i="4"/>
  <c r="O1243" i="4"/>
  <c r="O1248" i="4"/>
  <c r="O1184" i="4"/>
  <c r="O1129" i="4"/>
  <c r="O1131" i="4"/>
  <c r="O1139" i="4"/>
  <c r="O1144" i="4"/>
  <c r="O1153" i="4"/>
  <c r="O1193" i="4"/>
  <c r="O407" i="4"/>
  <c r="O424" i="4"/>
  <c r="O430" i="4"/>
  <c r="O423" i="4"/>
  <c r="O409" i="4"/>
  <c r="O410" i="4"/>
  <c r="O400" i="4"/>
  <c r="O822" i="4"/>
  <c r="O450" i="4"/>
  <c r="O411" i="4"/>
  <c r="O158" i="4"/>
  <c r="O159" i="4"/>
  <c r="O335" i="4"/>
  <c r="O337" i="4"/>
  <c r="O338" i="4"/>
  <c r="O339" i="4"/>
  <c r="O340" i="4"/>
  <c r="O341" i="4"/>
  <c r="O342" i="4"/>
  <c r="O345" i="4"/>
  <c r="O346" i="4"/>
  <c r="O347" i="4"/>
  <c r="O352" i="4"/>
  <c r="O357" i="4"/>
  <c r="O358" i="4"/>
  <c r="O360" i="4"/>
  <c r="O361" i="4"/>
  <c r="O362" i="4"/>
  <c r="O363" i="4"/>
  <c r="O364" i="4"/>
  <c r="O365" i="4"/>
  <c r="O830" i="4"/>
  <c r="O832" i="4"/>
  <c r="O834" i="4"/>
  <c r="O841" i="4"/>
  <c r="O850" i="4"/>
  <c r="O851" i="4"/>
  <c r="O1000" i="4"/>
  <c r="O1004" i="4"/>
  <c r="O1014" i="4"/>
  <c r="O1041" i="4"/>
  <c r="O1058" i="4"/>
  <c r="O1067" i="4"/>
  <c r="O1003" i="4"/>
  <c r="O343" i="4"/>
  <c r="O344" i="4"/>
  <c r="O897" i="4"/>
  <c r="O1098" i="4"/>
  <c r="O935" i="4"/>
  <c r="O899" i="4"/>
  <c r="O937" i="4"/>
  <c r="O879" i="4"/>
  <c r="O900" i="4"/>
  <c r="O906" i="4"/>
  <c r="O944" i="4"/>
  <c r="O291" i="4"/>
  <c r="O293" i="4"/>
  <c r="O289" i="4"/>
  <c r="O287" i="4"/>
  <c r="O277" i="4"/>
  <c r="O297" i="4"/>
  <c r="O267" i="4"/>
  <c r="O281" i="4"/>
  <c r="O262" i="4"/>
  <c r="O260" i="4"/>
  <c r="O266" i="4"/>
  <c r="O264" i="4"/>
  <c r="O26" i="4"/>
  <c r="O27" i="4"/>
  <c r="O17" i="4"/>
  <c r="O18" i="4"/>
  <c r="O19" i="4"/>
  <c r="O20" i="4"/>
  <c r="O23" i="4"/>
  <c r="O809" i="4"/>
  <c r="O810" i="4"/>
  <c r="O566" i="4"/>
  <c r="O567" i="4"/>
  <c r="O568" i="4"/>
  <c r="O569" i="4"/>
  <c r="O570" i="4"/>
  <c r="O571" i="4"/>
  <c r="O572" i="4"/>
  <c r="O573" i="4"/>
  <c r="O574" i="4"/>
  <c r="O575" i="4"/>
  <c r="O559" i="4"/>
  <c r="O560" i="4"/>
  <c r="O561" i="4"/>
  <c r="O562" i="4"/>
  <c r="O563" i="4"/>
  <c r="O564" i="4"/>
  <c r="O565" i="4"/>
  <c r="O558" i="4"/>
  <c r="O557" i="4"/>
  <c r="O584" i="4"/>
  <c r="O518" i="4"/>
  <c r="O532" i="4"/>
  <c r="O477" i="4"/>
  <c r="O478" i="4"/>
  <c r="O460" i="4"/>
  <c r="O459" i="4"/>
  <c r="O461" i="4"/>
  <c r="O462" i="4"/>
  <c r="O465" i="4"/>
  <c r="O466" i="4"/>
  <c r="O463" i="4"/>
  <c r="O464" i="4"/>
  <c r="O455" i="4"/>
  <c r="O457" i="4"/>
  <c r="O458" i="4"/>
  <c r="O456" i="4"/>
  <c r="O453" i="4"/>
  <c r="O454" i="4"/>
  <c r="O451" i="4"/>
  <c r="O452" i="4"/>
  <c r="O120" i="4"/>
  <c r="O123" i="4"/>
  <c r="O121" i="4"/>
  <c r="O122" i="4"/>
  <c r="O118" i="4"/>
  <c r="O117" i="4"/>
  <c r="O119" i="4"/>
  <c r="O124" i="4"/>
  <c r="O126" i="4"/>
  <c r="O127" i="4"/>
  <c r="O125" i="4"/>
  <c r="O113" i="4"/>
  <c r="O116" i="4"/>
  <c r="O115" i="4"/>
  <c r="O114" i="4"/>
  <c r="O585" i="4"/>
  <c r="O587" i="4"/>
  <c r="O586" i="4"/>
  <c r="O470" i="4"/>
  <c r="O471" i="4"/>
  <c r="O467" i="4"/>
  <c r="O468" i="4"/>
  <c r="O469" i="4"/>
  <c r="O474" i="4"/>
  <c r="O475" i="4"/>
  <c r="O472" i="4"/>
  <c r="O473" i="4"/>
  <c r="O476" i="4"/>
  <c r="O129" i="4"/>
  <c r="O130" i="4"/>
  <c r="O128" i="4"/>
  <c r="O131" i="4"/>
  <c r="O142" i="4"/>
  <c r="O132" i="4"/>
  <c r="O140" i="4"/>
  <c r="O138" i="4"/>
  <c r="O134" i="4"/>
  <c r="O136" i="4"/>
  <c r="O141" i="4"/>
  <c r="O133" i="4"/>
  <c r="O143" i="4"/>
  <c r="O135" i="4"/>
  <c r="O137" i="4"/>
  <c r="O139" i="4"/>
  <c r="O551" i="4"/>
  <c r="O555" i="4"/>
  <c r="O552" i="4"/>
  <c r="O550" i="4"/>
  <c r="O549" i="4"/>
  <c r="O556" i="4"/>
  <c r="O553" i="4"/>
  <c r="O554" i="4"/>
  <c r="O839" i="4"/>
  <c r="O351" i="4"/>
  <c r="O840" i="4"/>
  <c r="O350" i="4"/>
  <c r="O15" i="4"/>
  <c r="O16" i="4"/>
  <c r="O21" i="4"/>
  <c r="O22" i="4"/>
  <c r="O10" i="4"/>
  <c r="O9" i="4"/>
  <c r="O73" i="4"/>
  <c r="O74" i="4"/>
  <c r="O162" i="4"/>
  <c r="O163" i="4"/>
  <c r="O164" i="4"/>
  <c r="O165" i="4"/>
  <c r="O166" i="4"/>
  <c r="O167" i="4"/>
  <c r="O168" i="4"/>
  <c r="O171" i="4"/>
  <c r="O173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9" i="4"/>
  <c r="O230" i="4"/>
  <c r="O231" i="4"/>
  <c r="O232" i="4"/>
  <c r="O233" i="4"/>
  <c r="O234" i="4"/>
  <c r="O235" i="4"/>
  <c r="O236" i="4"/>
  <c r="O237" i="4"/>
  <c r="O238" i="4"/>
  <c r="O240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786" i="4"/>
  <c r="O783" i="4"/>
  <c r="O39" i="4"/>
  <c r="O597" i="4"/>
  <c r="O598" i="4"/>
  <c r="O893" i="4"/>
  <c r="O922" i="4"/>
  <c r="O953" i="4"/>
  <c r="O1082" i="4"/>
  <c r="O1257" i="4"/>
  <c r="O716" i="4"/>
  <c r="O384" i="4"/>
  <c r="O1304" i="4"/>
  <c r="O387" i="4"/>
  <c r="O385" i="4"/>
  <c r="O8" i="4"/>
  <c r="O1109" i="4"/>
  <c r="O484" i="4"/>
  <c r="O517" i="4"/>
  <c r="O538" i="4"/>
  <c r="O970" i="4"/>
  <c r="O497" i="4"/>
  <c r="O516" i="4"/>
  <c r="O480" i="4"/>
  <c r="O479" i="4"/>
  <c r="O501" i="4"/>
  <c r="O498" i="4"/>
  <c r="O1006" i="4"/>
  <c r="O1051" i="4"/>
  <c r="O1074" i="4"/>
  <c r="O718" i="4"/>
  <c r="O778" i="4"/>
  <c r="O780" i="4"/>
  <c r="O782" i="4"/>
  <c r="O785" i="4"/>
  <c r="L18" i="8"/>
  <c r="A9" i="7" l="1"/>
  <c r="B9" i="7" s="1"/>
  <c r="K9" i="7"/>
  <c r="L9" i="7"/>
  <c r="Q9" i="7"/>
  <c r="R9" i="7"/>
  <c r="S9" i="7"/>
  <c r="U9" i="7"/>
  <c r="V9" i="7"/>
  <c r="X9" i="7"/>
  <c r="Y9" i="7"/>
  <c r="A10" i="7"/>
  <c r="A11" i="7"/>
  <c r="A12" i="7"/>
  <c r="B12" i="7" s="1"/>
  <c r="K10" i="7"/>
  <c r="K11" i="7"/>
  <c r="K12" i="7"/>
  <c r="L10" i="7"/>
  <c r="L11" i="7"/>
  <c r="L12" i="7"/>
  <c r="Q10" i="7"/>
  <c r="Q11" i="7"/>
  <c r="Q12" i="7"/>
  <c r="R10" i="7"/>
  <c r="R11" i="7"/>
  <c r="R12" i="7"/>
  <c r="S10" i="7"/>
  <c r="S11" i="7"/>
  <c r="S12" i="7"/>
  <c r="U10" i="7"/>
  <c r="U11" i="7"/>
  <c r="U12" i="7"/>
  <c r="V10" i="7"/>
  <c r="V11" i="7"/>
  <c r="V12" i="7"/>
  <c r="X10" i="7"/>
  <c r="X11" i="7"/>
  <c r="X12" i="7"/>
  <c r="Y10" i="7"/>
  <c r="Y11" i="7"/>
  <c r="Y12" i="7"/>
  <c r="O9" i="7" l="1"/>
  <c r="T9" i="7"/>
  <c r="Z9" i="7"/>
  <c r="W10" i="7"/>
  <c r="T12" i="7"/>
  <c r="O11" i="7"/>
  <c r="M9" i="7"/>
  <c r="N9" i="7" s="1"/>
  <c r="Z12" i="7"/>
  <c r="M10" i="7"/>
  <c r="B10" i="7" s="1"/>
  <c r="O10" i="7"/>
  <c r="W9" i="7"/>
  <c r="W11" i="7"/>
  <c r="W12" i="7"/>
  <c r="M12" i="7"/>
  <c r="N12" i="7" s="1"/>
  <c r="Z10" i="7"/>
  <c r="T10" i="7"/>
  <c r="Z11" i="7"/>
  <c r="T11" i="7"/>
  <c r="M11" i="7"/>
  <c r="N11" i="7" s="1"/>
  <c r="O12" i="7"/>
  <c r="B11" i="7"/>
  <c r="C19" i="19"/>
  <c r="P9" i="7" l="1"/>
  <c r="N10" i="7"/>
  <c r="P10" i="7"/>
  <c r="P12" i="7"/>
  <c r="P11" i="7"/>
  <c r="A7" i="12" l="1"/>
  <c r="A8" i="12"/>
  <c r="B7" i="12"/>
  <c r="B8" i="12"/>
  <c r="K7" i="12"/>
  <c r="K8" i="12"/>
  <c r="L7" i="12"/>
  <c r="L8" i="12"/>
  <c r="R7" i="12"/>
  <c r="R8" i="12"/>
  <c r="S7" i="12"/>
  <c r="S8" i="12"/>
  <c r="U7" i="12"/>
  <c r="U8" i="12"/>
  <c r="V7" i="12"/>
  <c r="V8" i="12"/>
  <c r="X7" i="12"/>
  <c r="X8" i="12"/>
  <c r="Y7" i="12"/>
  <c r="Y8" i="12"/>
  <c r="M8" i="12" l="1"/>
  <c r="T8" i="12"/>
  <c r="W7" i="12"/>
  <c r="T7" i="12"/>
  <c r="M7" i="12"/>
  <c r="W8" i="12"/>
  <c r="Z8" i="12"/>
  <c r="Z7" i="12"/>
  <c r="L115" i="8"/>
  <c r="R115" i="8"/>
  <c r="U115" i="8"/>
  <c r="V115" i="8"/>
  <c r="AC115" i="8"/>
  <c r="W115" i="8" l="1"/>
  <c r="AE115" i="8"/>
  <c r="T115" i="8"/>
  <c r="AD115" i="8" l="1"/>
  <c r="Q115" i="8" s="1"/>
  <c r="O115" i="8" s="1"/>
  <c r="M115" i="8"/>
  <c r="B115" i="8" s="1"/>
  <c r="L12" i="8"/>
  <c r="N115" i="8" l="1"/>
  <c r="P115" i="8"/>
  <c r="Q2" i="17" l="1"/>
  <c r="C18" i="19" l="1"/>
  <c r="D18" i="19"/>
  <c r="E18" i="19"/>
  <c r="C17" i="19"/>
  <c r="D17" i="19"/>
  <c r="E17" i="19"/>
  <c r="C11" i="19"/>
  <c r="C12" i="19"/>
  <c r="C13" i="19"/>
  <c r="C14" i="19"/>
  <c r="C15" i="19"/>
  <c r="C16" i="19"/>
  <c r="D11" i="19"/>
  <c r="D12" i="19"/>
  <c r="D13" i="19"/>
  <c r="D14" i="19"/>
  <c r="D15" i="19"/>
  <c r="D16" i="19"/>
  <c r="E11" i="19"/>
  <c r="E12" i="19"/>
  <c r="E13" i="19"/>
  <c r="E14" i="19"/>
  <c r="E15" i="19"/>
  <c r="E16" i="19"/>
  <c r="Q2" i="16" l="1"/>
  <c r="Q2" i="15"/>
  <c r="Q2" i="13"/>
  <c r="Q2" i="20"/>
  <c r="Q2" i="12"/>
  <c r="Q2" i="11"/>
  <c r="Q2" i="10"/>
  <c r="Q2" i="9"/>
  <c r="Q2" i="7"/>
  <c r="R21" i="7"/>
  <c r="R2" i="9" l="1"/>
  <c r="R2" i="10"/>
  <c r="R2" i="11"/>
  <c r="R2" i="12"/>
  <c r="R2" i="20"/>
  <c r="R2" i="13"/>
  <c r="R2" i="15"/>
  <c r="R2" i="16"/>
  <c r="R2" i="7"/>
  <c r="V7" i="17" l="1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V119" i="16"/>
  <c r="V7" i="16"/>
  <c r="V120" i="16"/>
  <c r="V14" i="16"/>
  <c r="V15" i="16"/>
  <c r="V118" i="16"/>
  <c r="V11" i="16"/>
  <c r="V16" i="16"/>
  <c r="V121" i="16"/>
  <c r="V9" i="16"/>
  <c r="V13" i="16"/>
  <c r="V17" i="16"/>
  <c r="V18" i="16"/>
  <c r="V122" i="16"/>
  <c r="V19" i="16"/>
  <c r="V20" i="16"/>
  <c r="V21" i="16"/>
  <c r="V123" i="16"/>
  <c r="V22" i="16"/>
  <c r="V23" i="16"/>
  <c r="V24" i="16"/>
  <c r="V12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124" i="16"/>
  <c r="V125" i="16"/>
  <c r="V89" i="16"/>
  <c r="V90" i="16"/>
  <c r="V91" i="16"/>
  <c r="V92" i="16"/>
  <c r="V93" i="16"/>
  <c r="V94" i="16"/>
  <c r="V95" i="16"/>
  <c r="V96" i="16"/>
  <c r="V97" i="16"/>
  <c r="V98" i="16"/>
  <c r="V10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8" i="16"/>
  <c r="V113" i="16"/>
  <c r="V114" i="16"/>
  <c r="V115" i="16"/>
  <c r="V116" i="16"/>
  <c r="V117" i="16"/>
  <c r="V126" i="16"/>
  <c r="V127" i="16"/>
  <c r="V128" i="16"/>
  <c r="V129" i="16"/>
  <c r="V130" i="16"/>
  <c r="V131" i="16"/>
  <c r="V132" i="16"/>
  <c r="V133" i="16"/>
  <c r="V134" i="16"/>
  <c r="S119" i="16"/>
  <c r="S7" i="16"/>
  <c r="S120" i="16"/>
  <c r="S14" i="16"/>
  <c r="S15" i="16"/>
  <c r="S118" i="16"/>
  <c r="S11" i="16"/>
  <c r="S16" i="16"/>
  <c r="S121" i="16"/>
  <c r="S9" i="16"/>
  <c r="S13" i="16"/>
  <c r="S17" i="16"/>
  <c r="S18" i="16"/>
  <c r="S122" i="16"/>
  <c r="S19" i="16"/>
  <c r="S20" i="16"/>
  <c r="S21" i="16"/>
  <c r="S123" i="16"/>
  <c r="S22" i="16"/>
  <c r="S23" i="16"/>
  <c r="S24" i="16"/>
  <c r="S12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124" i="16"/>
  <c r="S125" i="16"/>
  <c r="S89" i="16"/>
  <c r="S90" i="16"/>
  <c r="S91" i="16"/>
  <c r="S92" i="16"/>
  <c r="S93" i="16"/>
  <c r="S94" i="16"/>
  <c r="S95" i="16"/>
  <c r="S96" i="16"/>
  <c r="S97" i="16"/>
  <c r="S98" i="16"/>
  <c r="S10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8" i="16"/>
  <c r="S113" i="16"/>
  <c r="S114" i="16"/>
  <c r="S115" i="16"/>
  <c r="S116" i="16"/>
  <c r="S117" i="16"/>
  <c r="S126" i="16"/>
  <c r="S127" i="16"/>
  <c r="S128" i="16"/>
  <c r="S129" i="16"/>
  <c r="S130" i="16"/>
  <c r="S131" i="16"/>
  <c r="S132" i="16"/>
  <c r="S133" i="16"/>
  <c r="S134" i="16"/>
  <c r="V99" i="15"/>
  <c r="V100" i="15"/>
  <c r="V120" i="15"/>
  <c r="V7" i="15"/>
  <c r="V8" i="15"/>
  <c r="V12" i="15"/>
  <c r="V9" i="15"/>
  <c r="V11" i="15"/>
  <c r="V15" i="15"/>
  <c r="V13" i="15"/>
  <c r="V16" i="15"/>
  <c r="V101" i="15"/>
  <c r="V10" i="15"/>
  <c r="V14" i="15"/>
  <c r="V44" i="15"/>
  <c r="V22" i="15"/>
  <c r="V18" i="15"/>
  <c r="V49" i="15"/>
  <c r="V24" i="15"/>
  <c r="V36" i="15"/>
  <c r="V17" i="15"/>
  <c r="V25" i="15"/>
  <c r="V45" i="15"/>
  <c r="V31" i="15"/>
  <c r="V42" i="15"/>
  <c r="V50" i="15"/>
  <c r="V20" i="15"/>
  <c r="V21" i="15"/>
  <c r="V30" i="15"/>
  <c r="V51" i="15"/>
  <c r="V52" i="15"/>
  <c r="V28" i="15"/>
  <c r="V48" i="15"/>
  <c r="V32" i="15"/>
  <c r="V53" i="15"/>
  <c r="V37" i="15"/>
  <c r="V33" i="15"/>
  <c r="V40" i="15"/>
  <c r="V38" i="15"/>
  <c r="V26" i="15"/>
  <c r="V29" i="15"/>
  <c r="V43" i="15"/>
  <c r="V39" i="15"/>
  <c r="V46" i="15"/>
  <c r="V47" i="15"/>
  <c r="V54" i="15"/>
  <c r="V41" i="15"/>
  <c r="V55" i="15"/>
  <c r="V56" i="15"/>
  <c r="V57" i="15"/>
  <c r="V58" i="15"/>
  <c r="V59" i="15"/>
  <c r="V60" i="15"/>
  <c r="V61" i="15"/>
  <c r="V62" i="15"/>
  <c r="V19" i="15"/>
  <c r="V23" i="15"/>
  <c r="V63" i="15"/>
  <c r="V64" i="15"/>
  <c r="V65" i="15"/>
  <c r="V27" i="15"/>
  <c r="V66" i="15"/>
  <c r="V121" i="15"/>
  <c r="V122" i="15"/>
  <c r="V123" i="15"/>
  <c r="V124" i="15"/>
  <c r="V125" i="15"/>
  <c r="V12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85" i="15"/>
  <c r="V141" i="15"/>
  <c r="V142" i="15"/>
  <c r="V115" i="15"/>
  <c r="V86" i="15"/>
  <c r="V116" i="15"/>
  <c r="V87" i="15"/>
  <c r="V104" i="15"/>
  <c r="V105" i="15"/>
  <c r="V143" i="15"/>
  <c r="V144" i="15"/>
  <c r="V145" i="15"/>
  <c r="V146" i="15"/>
  <c r="V88" i="15"/>
  <c r="V35" i="15"/>
  <c r="V106" i="15"/>
  <c r="V147" i="15"/>
  <c r="V107" i="15"/>
  <c r="V148" i="15"/>
  <c r="V108" i="15"/>
  <c r="V149" i="15"/>
  <c r="V109" i="15"/>
  <c r="V150" i="15"/>
  <c r="V110" i="15"/>
  <c r="V151" i="15"/>
  <c r="V89" i="15"/>
  <c r="V152" i="15"/>
  <c r="V90" i="15"/>
  <c r="V153" i="15"/>
  <c r="V117" i="15"/>
  <c r="V118" i="15"/>
  <c r="V119" i="15"/>
  <c r="V154" i="15"/>
  <c r="V155" i="15"/>
  <c r="V156" i="15"/>
  <c r="V157" i="15"/>
  <c r="V158" i="15"/>
  <c r="V159" i="15"/>
  <c r="V160" i="15"/>
  <c r="V91" i="15"/>
  <c r="V161" i="15"/>
  <c r="V162" i="15"/>
  <c r="V163" i="15"/>
  <c r="V164" i="15"/>
  <c r="V111" i="15"/>
  <c r="V165" i="15"/>
  <c r="V112" i="15"/>
  <c r="V166" i="15"/>
  <c r="V113" i="15"/>
  <c r="V167" i="15"/>
  <c r="V114" i="15"/>
  <c r="V168" i="15"/>
  <c r="V169" i="15"/>
  <c r="V170" i="15"/>
  <c r="V92" i="15"/>
  <c r="V171" i="15"/>
  <c r="V172" i="15"/>
  <c r="V173" i="15"/>
  <c r="V174" i="15"/>
  <c r="V175" i="15"/>
  <c r="V176" i="15"/>
  <c r="V177" i="15"/>
  <c r="V178" i="15"/>
  <c r="V93" i="15"/>
  <c r="V94" i="15"/>
  <c r="V34" i="15"/>
  <c r="V95" i="15"/>
  <c r="V96" i="15"/>
  <c r="V179" i="15"/>
  <c r="V180" i="15"/>
  <c r="V97" i="15"/>
  <c r="V102" i="15"/>
  <c r="V181" i="15"/>
  <c r="V103" i="15"/>
  <c r="V98" i="15"/>
  <c r="S99" i="15"/>
  <c r="S100" i="15"/>
  <c r="S120" i="15"/>
  <c r="S7" i="15"/>
  <c r="S8" i="15"/>
  <c r="S12" i="15"/>
  <c r="S9" i="15"/>
  <c r="S11" i="15"/>
  <c r="S15" i="15"/>
  <c r="S13" i="15"/>
  <c r="S16" i="15"/>
  <c r="S101" i="15"/>
  <c r="S10" i="15"/>
  <c r="S14" i="15"/>
  <c r="S44" i="15"/>
  <c r="S22" i="15"/>
  <c r="S18" i="15"/>
  <c r="S49" i="15"/>
  <c r="S24" i="15"/>
  <c r="S36" i="15"/>
  <c r="S17" i="15"/>
  <c r="S25" i="15"/>
  <c r="S45" i="15"/>
  <c r="S31" i="15"/>
  <c r="S42" i="15"/>
  <c r="S50" i="15"/>
  <c r="S20" i="15"/>
  <c r="S21" i="15"/>
  <c r="S30" i="15"/>
  <c r="S51" i="15"/>
  <c r="S52" i="15"/>
  <c r="S28" i="15"/>
  <c r="S48" i="15"/>
  <c r="S32" i="15"/>
  <c r="S53" i="15"/>
  <c r="S37" i="15"/>
  <c r="S33" i="15"/>
  <c r="S40" i="15"/>
  <c r="S38" i="15"/>
  <c r="S26" i="15"/>
  <c r="S29" i="15"/>
  <c r="S43" i="15"/>
  <c r="S39" i="15"/>
  <c r="S46" i="15"/>
  <c r="S47" i="15"/>
  <c r="S54" i="15"/>
  <c r="S41" i="15"/>
  <c r="S55" i="15"/>
  <c r="S56" i="15"/>
  <c r="S57" i="15"/>
  <c r="S58" i="15"/>
  <c r="S59" i="15"/>
  <c r="S60" i="15"/>
  <c r="S61" i="15"/>
  <c r="S62" i="15"/>
  <c r="S19" i="15"/>
  <c r="S23" i="15"/>
  <c r="S63" i="15"/>
  <c r="S64" i="15"/>
  <c r="S65" i="15"/>
  <c r="S27" i="15"/>
  <c r="S66" i="15"/>
  <c r="S121" i="15"/>
  <c r="S122" i="15"/>
  <c r="S123" i="15"/>
  <c r="S124" i="15"/>
  <c r="S125" i="15"/>
  <c r="S12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85" i="15"/>
  <c r="S141" i="15"/>
  <c r="S142" i="15"/>
  <c r="S115" i="15"/>
  <c r="S86" i="15"/>
  <c r="S116" i="15"/>
  <c r="S87" i="15"/>
  <c r="S104" i="15"/>
  <c r="S105" i="15"/>
  <c r="S143" i="15"/>
  <c r="S144" i="15"/>
  <c r="S145" i="15"/>
  <c r="S146" i="15"/>
  <c r="S88" i="15"/>
  <c r="S35" i="15"/>
  <c r="S106" i="15"/>
  <c r="S147" i="15"/>
  <c r="S107" i="15"/>
  <c r="S148" i="15"/>
  <c r="S108" i="15"/>
  <c r="S149" i="15"/>
  <c r="S109" i="15"/>
  <c r="S150" i="15"/>
  <c r="S110" i="15"/>
  <c r="S151" i="15"/>
  <c r="S89" i="15"/>
  <c r="S152" i="15"/>
  <c r="S90" i="15"/>
  <c r="S153" i="15"/>
  <c r="S117" i="15"/>
  <c r="S118" i="15"/>
  <c r="S119" i="15"/>
  <c r="S154" i="15"/>
  <c r="S155" i="15"/>
  <c r="S156" i="15"/>
  <c r="S157" i="15"/>
  <c r="S158" i="15"/>
  <c r="S159" i="15"/>
  <c r="S160" i="15"/>
  <c r="S91" i="15"/>
  <c r="S161" i="15"/>
  <c r="S162" i="15"/>
  <c r="S163" i="15"/>
  <c r="S164" i="15"/>
  <c r="S111" i="15"/>
  <c r="S165" i="15"/>
  <c r="S112" i="15"/>
  <c r="S166" i="15"/>
  <c r="S113" i="15"/>
  <c r="S167" i="15"/>
  <c r="S114" i="15"/>
  <c r="S168" i="15"/>
  <c r="S169" i="15"/>
  <c r="S170" i="15"/>
  <c r="S92" i="15"/>
  <c r="S171" i="15"/>
  <c r="S172" i="15"/>
  <c r="S173" i="15"/>
  <c r="S174" i="15"/>
  <c r="S175" i="15"/>
  <c r="S176" i="15"/>
  <c r="S177" i="15"/>
  <c r="S178" i="15"/>
  <c r="S93" i="15"/>
  <c r="S94" i="15"/>
  <c r="S34" i="15"/>
  <c r="S95" i="15"/>
  <c r="S96" i="15"/>
  <c r="S179" i="15"/>
  <c r="S180" i="15"/>
  <c r="S97" i="15"/>
  <c r="S102" i="15"/>
  <c r="S181" i="15"/>
  <c r="S103" i="15"/>
  <c r="S98" i="15"/>
  <c r="V32" i="13"/>
  <c r="V41" i="13"/>
  <c r="V12" i="13"/>
  <c r="V49" i="13"/>
  <c r="V13" i="13"/>
  <c r="V14" i="13"/>
  <c r="V22" i="13"/>
  <c r="V39" i="13"/>
  <c r="V50" i="13"/>
  <c r="V35" i="13"/>
  <c r="V8" i="13"/>
  <c r="V21" i="13"/>
  <c r="V62" i="13"/>
  <c r="V33" i="13"/>
  <c r="V20" i="13"/>
  <c r="V63" i="13"/>
  <c r="V37" i="13"/>
  <c r="V36" i="13"/>
  <c r="V40" i="13"/>
  <c r="V73" i="13"/>
  <c r="V31" i="13"/>
  <c r="V64" i="13"/>
  <c r="V57" i="13"/>
  <c r="V67" i="13"/>
  <c r="V11" i="13"/>
  <c r="V79" i="13"/>
  <c r="V38" i="13"/>
  <c r="V75" i="13"/>
  <c r="V87" i="13"/>
  <c r="V28" i="13"/>
  <c r="V19" i="13"/>
  <c r="V52" i="13"/>
  <c r="V70" i="13"/>
  <c r="V82" i="13"/>
  <c r="V69" i="13"/>
  <c r="V84" i="13"/>
  <c r="V10" i="13"/>
  <c r="V30" i="13"/>
  <c r="V45" i="13"/>
  <c r="V71" i="13"/>
  <c r="V72" i="13"/>
  <c r="V66" i="13"/>
  <c r="V34" i="13"/>
  <c r="V60" i="13"/>
  <c r="V92" i="13"/>
  <c r="V16" i="13"/>
  <c r="V48" i="13"/>
  <c r="V76" i="13"/>
  <c r="V27" i="13"/>
  <c r="V46" i="13"/>
  <c r="V51" i="13"/>
  <c r="V61" i="13"/>
  <c r="V18" i="13"/>
  <c r="V29" i="13"/>
  <c r="V7" i="13"/>
  <c r="V9" i="13"/>
  <c r="V95" i="13"/>
  <c r="V77" i="13"/>
  <c r="V68" i="13"/>
  <c r="V89" i="13"/>
  <c r="V42" i="13"/>
  <c r="V97" i="13"/>
  <c r="V55" i="13"/>
  <c r="V65" i="13"/>
  <c r="V74" i="13"/>
  <c r="V93" i="13"/>
  <c r="V99" i="13"/>
  <c r="V100" i="13"/>
  <c r="V101" i="13"/>
  <c r="V102" i="13"/>
  <c r="V103" i="13"/>
  <c r="V104" i="13"/>
  <c r="V105" i="13"/>
  <c r="V23" i="13"/>
  <c r="V81" i="13"/>
  <c r="V53" i="13"/>
  <c r="V86" i="13"/>
  <c r="V83" i="13"/>
  <c r="V15" i="13"/>
  <c r="V24" i="13"/>
  <c r="V94" i="13"/>
  <c r="V43" i="13"/>
  <c r="V17" i="13"/>
  <c r="V90" i="13"/>
  <c r="V91" i="13"/>
  <c r="V47" i="13"/>
  <c r="V96" i="13"/>
  <c r="V85" i="13"/>
  <c r="V44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V160" i="13"/>
  <c r="V161" i="13"/>
  <c r="V162" i="13"/>
  <c r="V163" i="13"/>
  <c r="V164" i="13"/>
  <c r="V165" i="13"/>
  <c r="V166" i="13"/>
  <c r="V167" i="13"/>
  <c r="V168" i="13"/>
  <c r="V169" i="13"/>
  <c r="V170" i="13"/>
  <c r="V171" i="13"/>
  <c r="V172" i="13"/>
  <c r="V173" i="13"/>
  <c r="V174" i="13"/>
  <c r="V175" i="13"/>
  <c r="V176" i="13"/>
  <c r="V177" i="13"/>
  <c r="V178" i="13"/>
  <c r="V179" i="13"/>
  <c r="V180" i="13"/>
  <c r="V181" i="13"/>
  <c r="V182" i="13"/>
  <c r="V183" i="13"/>
  <c r="V184" i="13"/>
  <c r="V185" i="13"/>
  <c r="V186" i="13"/>
  <c r="V187" i="13"/>
  <c r="V188" i="13"/>
  <c r="V189" i="13"/>
  <c r="V190" i="13"/>
  <c r="V191" i="13"/>
  <c r="V192" i="13"/>
  <c r="V193" i="13"/>
  <c r="V194" i="13"/>
  <c r="V195" i="13"/>
  <c r="V196" i="13"/>
  <c r="V197" i="13"/>
  <c r="V198" i="13"/>
  <c r="V199" i="13"/>
  <c r="V200" i="13"/>
  <c r="V201" i="13"/>
  <c r="V202" i="13"/>
  <c r="V203" i="13"/>
  <c r="V204" i="13"/>
  <c r="V205" i="13"/>
  <c r="V206" i="13"/>
  <c r="V207" i="13"/>
  <c r="V208" i="13"/>
  <c r="V209" i="13"/>
  <c r="V210" i="13"/>
  <c r="V211" i="13"/>
  <c r="V78" i="13"/>
  <c r="V54" i="13"/>
  <c r="V25" i="13"/>
  <c r="V58" i="13"/>
  <c r="V88" i="13"/>
  <c r="V26" i="13"/>
  <c r="V80" i="13"/>
  <c r="V98" i="13"/>
  <c r="V59" i="13"/>
  <c r="V56" i="13"/>
  <c r="S32" i="13"/>
  <c r="S41" i="13"/>
  <c r="S12" i="13"/>
  <c r="S49" i="13"/>
  <c r="S13" i="13"/>
  <c r="S14" i="13"/>
  <c r="S22" i="13"/>
  <c r="S39" i="13"/>
  <c r="S50" i="13"/>
  <c r="S35" i="13"/>
  <c r="S8" i="13"/>
  <c r="S21" i="13"/>
  <c r="S62" i="13"/>
  <c r="S33" i="13"/>
  <c r="S20" i="13"/>
  <c r="S63" i="13"/>
  <c r="S37" i="13"/>
  <c r="S36" i="13"/>
  <c r="S40" i="13"/>
  <c r="S73" i="13"/>
  <c r="S31" i="13"/>
  <c r="S64" i="13"/>
  <c r="S57" i="13"/>
  <c r="S67" i="13"/>
  <c r="S11" i="13"/>
  <c r="S79" i="13"/>
  <c r="S38" i="13"/>
  <c r="S75" i="13"/>
  <c r="S87" i="13"/>
  <c r="S28" i="13"/>
  <c r="S19" i="13"/>
  <c r="S52" i="13"/>
  <c r="S70" i="13"/>
  <c r="S82" i="13"/>
  <c r="S69" i="13"/>
  <c r="S84" i="13"/>
  <c r="S10" i="13"/>
  <c r="S30" i="13"/>
  <c r="S45" i="13"/>
  <c r="S71" i="13"/>
  <c r="S72" i="13"/>
  <c r="S66" i="13"/>
  <c r="S34" i="13"/>
  <c r="S60" i="13"/>
  <c r="S92" i="13"/>
  <c r="S16" i="13"/>
  <c r="S48" i="13"/>
  <c r="S76" i="13"/>
  <c r="S27" i="13"/>
  <c r="S46" i="13"/>
  <c r="S51" i="13"/>
  <c r="S61" i="13"/>
  <c r="S18" i="13"/>
  <c r="S29" i="13"/>
  <c r="S7" i="13"/>
  <c r="S9" i="13"/>
  <c r="S95" i="13"/>
  <c r="S77" i="13"/>
  <c r="S68" i="13"/>
  <c r="S89" i="13"/>
  <c r="S42" i="13"/>
  <c r="S97" i="13"/>
  <c r="S55" i="13"/>
  <c r="S65" i="13"/>
  <c r="S74" i="13"/>
  <c r="S93" i="13"/>
  <c r="S99" i="13"/>
  <c r="S100" i="13"/>
  <c r="S101" i="13"/>
  <c r="S102" i="13"/>
  <c r="S103" i="13"/>
  <c r="S104" i="13"/>
  <c r="S105" i="13"/>
  <c r="S23" i="13"/>
  <c r="S81" i="13"/>
  <c r="S53" i="13"/>
  <c r="S86" i="13"/>
  <c r="S83" i="13"/>
  <c r="S15" i="13"/>
  <c r="S24" i="13"/>
  <c r="S94" i="13"/>
  <c r="S43" i="13"/>
  <c r="S17" i="13"/>
  <c r="S90" i="13"/>
  <c r="S91" i="13"/>
  <c r="S47" i="13"/>
  <c r="S96" i="13"/>
  <c r="S85" i="13"/>
  <c r="S44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78" i="13"/>
  <c r="S54" i="13"/>
  <c r="S25" i="13"/>
  <c r="S58" i="13"/>
  <c r="S88" i="13"/>
  <c r="S26" i="13"/>
  <c r="S80" i="13"/>
  <c r="S98" i="13"/>
  <c r="S59" i="13"/>
  <c r="S56" i="13"/>
  <c r="V13" i="20"/>
  <c r="V12" i="20"/>
  <c r="V7" i="20"/>
  <c r="V8" i="20"/>
  <c r="V9" i="20"/>
  <c r="V14" i="20"/>
  <c r="V15" i="20"/>
  <c r="V16" i="20"/>
  <c r="V17" i="20"/>
  <c r="V18" i="20"/>
  <c r="V19" i="20"/>
  <c r="V20" i="20"/>
  <c r="V21" i="20"/>
  <c r="V1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42" i="20"/>
  <c r="V43" i="20"/>
  <c r="V44" i="20"/>
  <c r="V45" i="20"/>
  <c r="V46" i="20"/>
  <c r="V47" i="20"/>
  <c r="V48" i="20"/>
  <c r="V49" i="20"/>
  <c r="V50" i="20"/>
  <c r="V51" i="20"/>
  <c r="V52" i="20"/>
  <c r="V53" i="20"/>
  <c r="V54" i="20"/>
  <c r="V55" i="20"/>
  <c r="V56" i="20"/>
  <c r="V57" i="20"/>
  <c r="V58" i="20"/>
  <c r="V59" i="20"/>
  <c r="V60" i="20"/>
  <c r="V61" i="20"/>
  <c r="V62" i="20"/>
  <c r="V63" i="20"/>
  <c r="V64" i="20"/>
  <c r="V65" i="20"/>
  <c r="V66" i="20"/>
  <c r="V67" i="20"/>
  <c r="V68" i="20"/>
  <c r="V69" i="20"/>
  <c r="V70" i="20"/>
  <c r="V71" i="20"/>
  <c r="V72" i="20"/>
  <c r="V73" i="20"/>
  <c r="V74" i="20"/>
  <c r="V10" i="20"/>
  <c r="V75" i="20"/>
  <c r="V76" i="20"/>
  <c r="V77" i="20"/>
  <c r="V78" i="20"/>
  <c r="V79" i="20"/>
  <c r="V80" i="20"/>
  <c r="V81" i="20"/>
  <c r="V82" i="20"/>
  <c r="V83" i="20"/>
  <c r="V84" i="20"/>
  <c r="V85" i="20"/>
  <c r="V86" i="20"/>
  <c r="V87" i="20"/>
  <c r="V88" i="20"/>
  <c r="V89" i="20"/>
  <c r="V90" i="20"/>
  <c r="V91" i="20"/>
  <c r="V92" i="20"/>
  <c r="V93" i="20"/>
  <c r="S13" i="20"/>
  <c r="S12" i="20"/>
  <c r="S7" i="20"/>
  <c r="S8" i="20"/>
  <c r="S9" i="20"/>
  <c r="S14" i="20"/>
  <c r="S15" i="20"/>
  <c r="S16" i="20"/>
  <c r="S17" i="20"/>
  <c r="S18" i="20"/>
  <c r="S19" i="20"/>
  <c r="S20" i="20"/>
  <c r="S21" i="20"/>
  <c r="S1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10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V11" i="12"/>
  <c r="V12" i="12"/>
  <c r="V9" i="12"/>
  <c r="V10" i="12"/>
  <c r="V25" i="12"/>
  <c r="V61" i="12"/>
  <c r="V64" i="12"/>
  <c r="V27" i="12"/>
  <c r="V28" i="12"/>
  <c r="V26" i="12"/>
  <c r="V31" i="12"/>
  <c r="V30" i="12"/>
  <c r="V33" i="12"/>
  <c r="V36" i="12"/>
  <c r="V65" i="12"/>
  <c r="V42" i="12"/>
  <c r="V32" i="12"/>
  <c r="V24" i="12"/>
  <c r="V66" i="12"/>
  <c r="V29" i="12"/>
  <c r="V43" i="12"/>
  <c r="V34" i="12"/>
  <c r="V39" i="12"/>
  <c r="V35" i="12"/>
  <c r="V63" i="12"/>
  <c r="V44" i="12"/>
  <c r="V18" i="12"/>
  <c r="V40" i="12"/>
  <c r="V41" i="12"/>
  <c r="V38" i="12"/>
  <c r="V37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13" i="12"/>
  <c r="V57" i="12"/>
  <c r="V58" i="12"/>
  <c r="V62" i="12"/>
  <c r="V59" i="12"/>
  <c r="V60" i="12"/>
  <c r="V21" i="12"/>
  <c r="V20" i="12"/>
  <c r="V17" i="12"/>
  <c r="V16" i="12"/>
  <c r="V14" i="12"/>
  <c r="V15" i="12"/>
  <c r="V22" i="12"/>
  <c r="V23" i="12"/>
  <c r="V19" i="12"/>
  <c r="S11" i="12"/>
  <c r="S12" i="12"/>
  <c r="S9" i="12"/>
  <c r="S10" i="12"/>
  <c r="S25" i="12"/>
  <c r="S61" i="12"/>
  <c r="S64" i="12"/>
  <c r="S27" i="12"/>
  <c r="S28" i="12"/>
  <c r="S26" i="12"/>
  <c r="S31" i="12"/>
  <c r="S30" i="12"/>
  <c r="S33" i="12"/>
  <c r="S36" i="12"/>
  <c r="S65" i="12"/>
  <c r="S42" i="12"/>
  <c r="S32" i="12"/>
  <c r="S24" i="12"/>
  <c r="S66" i="12"/>
  <c r="S29" i="12"/>
  <c r="S43" i="12"/>
  <c r="S34" i="12"/>
  <c r="S39" i="12"/>
  <c r="S35" i="12"/>
  <c r="S63" i="12"/>
  <c r="S44" i="12"/>
  <c r="S18" i="12"/>
  <c r="S40" i="12"/>
  <c r="S41" i="12"/>
  <c r="S38" i="12"/>
  <c r="S37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13" i="12"/>
  <c r="S57" i="12"/>
  <c r="S58" i="12"/>
  <c r="S62" i="12"/>
  <c r="S59" i="12"/>
  <c r="S60" i="12"/>
  <c r="S21" i="12"/>
  <c r="S20" i="12"/>
  <c r="S17" i="12"/>
  <c r="S16" i="12"/>
  <c r="S14" i="12"/>
  <c r="S15" i="12"/>
  <c r="S22" i="12"/>
  <c r="S23" i="12"/>
  <c r="S19" i="12"/>
  <c r="V8" i="11"/>
  <c r="V9" i="11"/>
  <c r="V10" i="11"/>
  <c r="V30" i="11"/>
  <c r="V12" i="11"/>
  <c r="V11" i="11"/>
  <c r="V13" i="11"/>
  <c r="V17" i="11"/>
  <c r="V14" i="11"/>
  <c r="V23" i="11"/>
  <c r="V66" i="11"/>
  <c r="V65" i="11"/>
  <c r="V21" i="11"/>
  <c r="V69" i="11"/>
  <c r="V70" i="11"/>
  <c r="V71" i="11"/>
  <c r="V72" i="11"/>
  <c r="V73" i="11"/>
  <c r="V27" i="11"/>
  <c r="V16" i="11"/>
  <c r="V22" i="11"/>
  <c r="V26" i="11"/>
  <c r="V74" i="11"/>
  <c r="V67" i="11"/>
  <c r="V68" i="11"/>
  <c r="V75" i="11"/>
  <c r="V76" i="11"/>
  <c r="V77" i="11"/>
  <c r="V78" i="11"/>
  <c r="V79" i="11"/>
  <c r="V80" i="11"/>
  <c r="V24" i="11"/>
  <c r="V15" i="11"/>
  <c r="V25" i="11"/>
  <c r="V18" i="11"/>
  <c r="V33" i="11"/>
  <c r="V29" i="11"/>
  <c r="V19" i="11"/>
  <c r="V20" i="11"/>
  <c r="V28" i="11"/>
  <c r="V31" i="11"/>
  <c r="V32" i="11"/>
  <c r="V35" i="11"/>
  <c r="V34" i="11"/>
  <c r="V36" i="11"/>
  <c r="V37" i="11"/>
  <c r="V38" i="11"/>
  <c r="V39" i="11"/>
  <c r="V40" i="11"/>
  <c r="V41" i="11"/>
  <c r="V42" i="11"/>
  <c r="V64" i="11"/>
  <c r="V63" i="11"/>
  <c r="V47" i="11"/>
  <c r="V50" i="11"/>
  <c r="V44" i="11"/>
  <c r="V48" i="11"/>
  <c r="V43" i="11"/>
  <c r="V45" i="11"/>
  <c r="V55" i="11"/>
  <c r="V49" i="11"/>
  <c r="V46" i="11"/>
  <c r="V51" i="11"/>
  <c r="V52" i="11"/>
  <c r="V53" i="11"/>
  <c r="V58" i="11"/>
  <c r="V61" i="11"/>
  <c r="V62" i="11"/>
  <c r="V54" i="11"/>
  <c r="V57" i="11"/>
  <c r="V59" i="11"/>
  <c r="V56" i="11"/>
  <c r="V60" i="11"/>
  <c r="S7" i="11"/>
  <c r="S8" i="11"/>
  <c r="S9" i="11"/>
  <c r="S10" i="11"/>
  <c r="S30" i="11"/>
  <c r="S12" i="11"/>
  <c r="S11" i="11"/>
  <c r="S13" i="11"/>
  <c r="S17" i="11"/>
  <c r="S14" i="11"/>
  <c r="S23" i="11"/>
  <c r="S66" i="11"/>
  <c r="S65" i="11"/>
  <c r="S21" i="11"/>
  <c r="S69" i="11"/>
  <c r="S70" i="11"/>
  <c r="S71" i="11"/>
  <c r="S72" i="11"/>
  <c r="S73" i="11"/>
  <c r="S27" i="11"/>
  <c r="S16" i="11"/>
  <c r="S22" i="11"/>
  <c r="S26" i="11"/>
  <c r="S74" i="11"/>
  <c r="S67" i="11"/>
  <c r="S68" i="11"/>
  <c r="S75" i="11"/>
  <c r="S76" i="11"/>
  <c r="S77" i="11"/>
  <c r="S78" i="11"/>
  <c r="S79" i="11"/>
  <c r="S80" i="11"/>
  <c r="S24" i="11"/>
  <c r="S15" i="11"/>
  <c r="S25" i="11"/>
  <c r="S18" i="11"/>
  <c r="S33" i="11"/>
  <c r="S29" i="11"/>
  <c r="S19" i="11"/>
  <c r="S20" i="11"/>
  <c r="S28" i="11"/>
  <c r="S31" i="11"/>
  <c r="S32" i="11"/>
  <c r="S35" i="11"/>
  <c r="S34" i="11"/>
  <c r="S36" i="11"/>
  <c r="S37" i="11"/>
  <c r="S38" i="11"/>
  <c r="S39" i="11"/>
  <c r="S40" i="11"/>
  <c r="S41" i="11"/>
  <c r="S42" i="11"/>
  <c r="S64" i="11"/>
  <c r="S63" i="11"/>
  <c r="S47" i="11"/>
  <c r="S50" i="11"/>
  <c r="S44" i="11"/>
  <c r="S48" i="11"/>
  <c r="S43" i="11"/>
  <c r="S45" i="11"/>
  <c r="S55" i="11"/>
  <c r="S49" i="11"/>
  <c r="S46" i="11"/>
  <c r="S51" i="11"/>
  <c r="S52" i="11"/>
  <c r="S53" i="11"/>
  <c r="S58" i="11"/>
  <c r="S61" i="11"/>
  <c r="S62" i="11"/>
  <c r="S54" i="11"/>
  <c r="S57" i="11"/>
  <c r="S59" i="11"/>
  <c r="S56" i="11"/>
  <c r="S60" i="11"/>
  <c r="V107" i="10"/>
  <c r="V108" i="10"/>
  <c r="V109" i="10"/>
  <c r="V110" i="10"/>
  <c r="V7" i="10"/>
  <c r="V8" i="10"/>
  <c r="V9" i="10"/>
  <c r="V25" i="10"/>
  <c r="V10" i="10"/>
  <c r="V11" i="10"/>
  <c r="V26" i="10"/>
  <c r="V27" i="10"/>
  <c r="V36" i="10"/>
  <c r="V28" i="10"/>
  <c r="V20" i="10"/>
  <c r="V29" i="10"/>
  <c r="V30" i="10"/>
  <c r="V19" i="10"/>
  <c r="V15" i="10"/>
  <c r="V13" i="10"/>
  <c r="V31" i="10"/>
  <c r="V38" i="10"/>
  <c r="V16" i="10"/>
  <c r="V39" i="10"/>
  <c r="V32" i="10"/>
  <c r="V33" i="10"/>
  <c r="V21" i="10"/>
  <c r="V22" i="10"/>
  <c r="V37" i="10"/>
  <c r="V34" i="10"/>
  <c r="V18" i="10"/>
  <c r="V23" i="10"/>
  <c r="V35" i="10"/>
  <c r="V24" i="10"/>
  <c r="V40" i="10"/>
  <c r="V41" i="10"/>
  <c r="V42" i="10"/>
  <c r="V1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17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1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S107" i="10"/>
  <c r="S108" i="10"/>
  <c r="S109" i="10"/>
  <c r="S110" i="10"/>
  <c r="S7" i="10"/>
  <c r="S8" i="10"/>
  <c r="S9" i="10"/>
  <c r="S25" i="10"/>
  <c r="S10" i="10"/>
  <c r="S11" i="10"/>
  <c r="S26" i="10"/>
  <c r="S27" i="10"/>
  <c r="S36" i="10"/>
  <c r="S28" i="10"/>
  <c r="S20" i="10"/>
  <c r="S29" i="10"/>
  <c r="S30" i="10"/>
  <c r="S19" i="10"/>
  <c r="S15" i="10"/>
  <c r="S13" i="10"/>
  <c r="S31" i="10"/>
  <c r="S38" i="10"/>
  <c r="S16" i="10"/>
  <c r="S39" i="10"/>
  <c r="S32" i="10"/>
  <c r="S33" i="10"/>
  <c r="S21" i="10"/>
  <c r="S22" i="10"/>
  <c r="S37" i="10"/>
  <c r="S34" i="10"/>
  <c r="S18" i="10"/>
  <c r="S23" i="10"/>
  <c r="S35" i="10"/>
  <c r="S24" i="10"/>
  <c r="S40" i="10"/>
  <c r="S41" i="10"/>
  <c r="S42" i="10"/>
  <c r="S1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17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1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V7" i="9"/>
  <c r="V9" i="9"/>
  <c r="V11" i="9"/>
  <c r="V8" i="9"/>
  <c r="V13" i="9"/>
  <c r="V148" i="9"/>
  <c r="V16" i="9"/>
  <c r="V14" i="9"/>
  <c r="V17" i="9"/>
  <c r="V15" i="9"/>
  <c r="V29" i="9"/>
  <c r="V151" i="9"/>
  <c r="V152" i="9"/>
  <c r="V153" i="9"/>
  <c r="V24" i="9"/>
  <c r="V154" i="9"/>
  <c r="V155" i="9"/>
  <c r="V156" i="9"/>
  <c r="V157" i="9"/>
  <c r="V158" i="9"/>
  <c r="V159" i="9"/>
  <c r="V160" i="9"/>
  <c r="V161" i="9"/>
  <c r="V162" i="9"/>
  <c r="V138" i="9"/>
  <c r="V163" i="9"/>
  <c r="V164" i="9"/>
  <c r="V20" i="9"/>
  <c r="V12" i="9"/>
  <c r="V19" i="9"/>
  <c r="V21" i="9"/>
  <c r="V165" i="9"/>
  <c r="V166" i="9"/>
  <c r="V25" i="9"/>
  <c r="V167" i="9"/>
  <c r="V168" i="9"/>
  <c r="V169" i="9"/>
  <c r="V170" i="9"/>
  <c r="V188" i="9"/>
  <c r="V171" i="9"/>
  <c r="V172" i="9"/>
  <c r="V173" i="9"/>
  <c r="V27" i="9"/>
  <c r="V174" i="9"/>
  <c r="V175" i="9"/>
  <c r="V176" i="9"/>
  <c r="V177" i="9"/>
  <c r="V22" i="9"/>
  <c r="V18" i="9"/>
  <c r="V33" i="9"/>
  <c r="V178" i="9"/>
  <c r="V39" i="9"/>
  <c r="V179" i="9"/>
  <c r="V180" i="9"/>
  <c r="V40" i="9"/>
  <c r="V35" i="9"/>
  <c r="V26" i="9"/>
  <c r="V28" i="9"/>
  <c r="V23" i="9"/>
  <c r="V36" i="9"/>
  <c r="V43" i="9"/>
  <c r="V10" i="9"/>
  <c r="V32" i="9"/>
  <c r="V34" i="9"/>
  <c r="V30" i="9"/>
  <c r="V44" i="9"/>
  <c r="V45" i="9"/>
  <c r="V42" i="9"/>
  <c r="V41" i="9"/>
  <c r="V31" i="9"/>
  <c r="V38" i="9"/>
  <c r="V37" i="9"/>
  <c r="V46" i="9"/>
  <c r="V47" i="9"/>
  <c r="V143" i="9"/>
  <c r="V142" i="9"/>
  <c r="V48" i="9"/>
  <c r="V57" i="9"/>
  <c r="V56" i="9"/>
  <c r="V139" i="9"/>
  <c r="V140" i="9"/>
  <c r="V59" i="9"/>
  <c r="V51" i="9"/>
  <c r="V50" i="9"/>
  <c r="V54" i="9"/>
  <c r="V78" i="9"/>
  <c r="V49" i="9"/>
  <c r="V52" i="9"/>
  <c r="V80" i="9"/>
  <c r="V63" i="9"/>
  <c r="V66" i="9"/>
  <c r="V181" i="9"/>
  <c r="V61" i="9"/>
  <c r="V72" i="9"/>
  <c r="V65" i="9"/>
  <c r="V58" i="9"/>
  <c r="V74" i="9"/>
  <c r="V182" i="9"/>
  <c r="V70" i="9"/>
  <c r="V64" i="9"/>
  <c r="V183" i="9"/>
  <c r="V68" i="9"/>
  <c r="V149" i="9"/>
  <c r="V87" i="9"/>
  <c r="V184" i="9"/>
  <c r="V77" i="9"/>
  <c r="V141" i="9"/>
  <c r="V55" i="9"/>
  <c r="V73" i="9"/>
  <c r="V69" i="9"/>
  <c r="V185" i="9"/>
  <c r="V82" i="9"/>
  <c r="V60" i="9"/>
  <c r="V84" i="9"/>
  <c r="V186" i="9"/>
  <c r="V71" i="9"/>
  <c r="V83" i="9"/>
  <c r="V76" i="9"/>
  <c r="V62" i="9"/>
  <c r="V53" i="9"/>
  <c r="V79" i="9"/>
  <c r="V94" i="9"/>
  <c r="V98" i="9"/>
  <c r="V144" i="9"/>
  <c r="V81" i="9"/>
  <c r="V75" i="9"/>
  <c r="V67" i="9"/>
  <c r="V145" i="9"/>
  <c r="V100" i="9"/>
  <c r="V88" i="9"/>
  <c r="V96" i="9"/>
  <c r="V93" i="9"/>
  <c r="V90" i="9"/>
  <c r="V89" i="9"/>
  <c r="V86" i="9"/>
  <c r="V91" i="9"/>
  <c r="V97" i="9"/>
  <c r="V187" i="9"/>
  <c r="V95" i="9"/>
  <c r="V92" i="9"/>
  <c r="V99" i="9"/>
  <c r="V85" i="9"/>
  <c r="V101" i="9"/>
  <c r="V102" i="9"/>
  <c r="V103" i="9"/>
  <c r="V146" i="9"/>
  <c r="V147" i="9"/>
  <c r="V104" i="9"/>
  <c r="V105" i="9"/>
  <c r="V106" i="9"/>
  <c r="V107" i="9"/>
  <c r="V108" i="9"/>
  <c r="V109" i="9"/>
  <c r="V189" i="9"/>
  <c r="V110" i="9"/>
  <c r="V111" i="9"/>
  <c r="V112" i="9"/>
  <c r="V113" i="9"/>
  <c r="V114" i="9"/>
  <c r="V115" i="9"/>
  <c r="V116" i="9"/>
  <c r="V190" i="9"/>
  <c r="V117" i="9"/>
  <c r="V118" i="9"/>
  <c r="V119" i="9"/>
  <c r="V120" i="9"/>
  <c r="V121" i="9"/>
  <c r="V122" i="9"/>
  <c r="V191" i="9"/>
  <c r="V192" i="9"/>
  <c r="V123" i="9"/>
  <c r="V124" i="9"/>
  <c r="V193" i="9"/>
  <c r="V194" i="9"/>
  <c r="V125" i="9"/>
  <c r="V126" i="9"/>
  <c r="V127" i="9"/>
  <c r="V128" i="9"/>
  <c r="V129" i="9"/>
  <c r="V130" i="9"/>
  <c r="V195" i="9"/>
  <c r="V131" i="9"/>
  <c r="V132" i="9"/>
  <c r="V133" i="9"/>
  <c r="V134" i="9"/>
  <c r="V196" i="9"/>
  <c r="V197" i="9"/>
  <c r="V150" i="9"/>
  <c r="V135" i="9"/>
  <c r="V198" i="9"/>
  <c r="V136" i="9"/>
  <c r="V199" i="9"/>
  <c r="V137" i="9"/>
  <c r="S7" i="9"/>
  <c r="S9" i="9"/>
  <c r="S11" i="9"/>
  <c r="S8" i="9"/>
  <c r="S13" i="9"/>
  <c r="S148" i="9"/>
  <c r="S16" i="9"/>
  <c r="S14" i="9"/>
  <c r="S17" i="9"/>
  <c r="S15" i="9"/>
  <c r="S29" i="9"/>
  <c r="S151" i="9"/>
  <c r="S152" i="9"/>
  <c r="S153" i="9"/>
  <c r="S24" i="9"/>
  <c r="S154" i="9"/>
  <c r="S155" i="9"/>
  <c r="S156" i="9"/>
  <c r="S157" i="9"/>
  <c r="S158" i="9"/>
  <c r="S159" i="9"/>
  <c r="S160" i="9"/>
  <c r="S161" i="9"/>
  <c r="S162" i="9"/>
  <c r="S138" i="9"/>
  <c r="S163" i="9"/>
  <c r="S164" i="9"/>
  <c r="S20" i="9"/>
  <c r="S12" i="9"/>
  <c r="S19" i="9"/>
  <c r="S21" i="9"/>
  <c r="S165" i="9"/>
  <c r="S166" i="9"/>
  <c r="S25" i="9"/>
  <c r="S167" i="9"/>
  <c r="S168" i="9"/>
  <c r="S169" i="9"/>
  <c r="S170" i="9"/>
  <c r="S188" i="9"/>
  <c r="S171" i="9"/>
  <c r="S172" i="9"/>
  <c r="S173" i="9"/>
  <c r="S27" i="9"/>
  <c r="S174" i="9"/>
  <c r="S175" i="9"/>
  <c r="S176" i="9"/>
  <c r="S177" i="9"/>
  <c r="S22" i="9"/>
  <c r="S18" i="9"/>
  <c r="S33" i="9"/>
  <c r="S178" i="9"/>
  <c r="S39" i="9"/>
  <c r="S179" i="9"/>
  <c r="S180" i="9"/>
  <c r="S40" i="9"/>
  <c r="S35" i="9"/>
  <c r="S26" i="9"/>
  <c r="S28" i="9"/>
  <c r="S23" i="9"/>
  <c r="S36" i="9"/>
  <c r="S43" i="9"/>
  <c r="S10" i="9"/>
  <c r="S32" i="9"/>
  <c r="S34" i="9"/>
  <c r="S30" i="9"/>
  <c r="S44" i="9"/>
  <c r="S45" i="9"/>
  <c r="S42" i="9"/>
  <c r="S41" i="9"/>
  <c r="S31" i="9"/>
  <c r="S38" i="9"/>
  <c r="S37" i="9"/>
  <c r="S46" i="9"/>
  <c r="S47" i="9"/>
  <c r="S143" i="9"/>
  <c r="S142" i="9"/>
  <c r="S48" i="9"/>
  <c r="S57" i="9"/>
  <c r="S56" i="9"/>
  <c r="S139" i="9"/>
  <c r="S140" i="9"/>
  <c r="S59" i="9"/>
  <c r="S51" i="9"/>
  <c r="S50" i="9"/>
  <c r="S54" i="9"/>
  <c r="S78" i="9"/>
  <c r="S49" i="9"/>
  <c r="S52" i="9"/>
  <c r="S80" i="9"/>
  <c r="S63" i="9"/>
  <c r="S66" i="9"/>
  <c r="S181" i="9"/>
  <c r="S61" i="9"/>
  <c r="S72" i="9"/>
  <c r="S65" i="9"/>
  <c r="S58" i="9"/>
  <c r="S74" i="9"/>
  <c r="S182" i="9"/>
  <c r="S70" i="9"/>
  <c r="S64" i="9"/>
  <c r="S183" i="9"/>
  <c r="S68" i="9"/>
  <c r="S149" i="9"/>
  <c r="S87" i="9"/>
  <c r="S184" i="9"/>
  <c r="S77" i="9"/>
  <c r="S141" i="9"/>
  <c r="S55" i="9"/>
  <c r="S73" i="9"/>
  <c r="S69" i="9"/>
  <c r="S185" i="9"/>
  <c r="S82" i="9"/>
  <c r="S60" i="9"/>
  <c r="S84" i="9"/>
  <c r="S186" i="9"/>
  <c r="S71" i="9"/>
  <c r="S83" i="9"/>
  <c r="S76" i="9"/>
  <c r="S62" i="9"/>
  <c r="S53" i="9"/>
  <c r="S79" i="9"/>
  <c r="S94" i="9"/>
  <c r="S98" i="9"/>
  <c r="S144" i="9"/>
  <c r="S81" i="9"/>
  <c r="S75" i="9"/>
  <c r="S67" i="9"/>
  <c r="S145" i="9"/>
  <c r="S100" i="9"/>
  <c r="S88" i="9"/>
  <c r="S96" i="9"/>
  <c r="S93" i="9"/>
  <c r="S90" i="9"/>
  <c r="S89" i="9"/>
  <c r="S86" i="9"/>
  <c r="S91" i="9"/>
  <c r="S97" i="9"/>
  <c r="S187" i="9"/>
  <c r="S95" i="9"/>
  <c r="S92" i="9"/>
  <c r="S99" i="9"/>
  <c r="S85" i="9"/>
  <c r="S101" i="9"/>
  <c r="S102" i="9"/>
  <c r="S103" i="9"/>
  <c r="S146" i="9"/>
  <c r="S147" i="9"/>
  <c r="S104" i="9"/>
  <c r="S105" i="9"/>
  <c r="S106" i="9"/>
  <c r="S107" i="9"/>
  <c r="S108" i="9"/>
  <c r="S109" i="9"/>
  <c r="S189" i="9"/>
  <c r="S110" i="9"/>
  <c r="S111" i="9"/>
  <c r="S112" i="9"/>
  <c r="S113" i="9"/>
  <c r="S114" i="9"/>
  <c r="S115" i="9"/>
  <c r="S116" i="9"/>
  <c r="S190" i="9"/>
  <c r="S117" i="9"/>
  <c r="S118" i="9"/>
  <c r="S119" i="9"/>
  <c r="S120" i="9"/>
  <c r="S121" i="9"/>
  <c r="S122" i="9"/>
  <c r="S191" i="9"/>
  <c r="S192" i="9"/>
  <c r="S123" i="9"/>
  <c r="S124" i="9"/>
  <c r="S193" i="9"/>
  <c r="S194" i="9"/>
  <c r="S125" i="9"/>
  <c r="S126" i="9"/>
  <c r="S127" i="9"/>
  <c r="S128" i="9"/>
  <c r="S129" i="9"/>
  <c r="S130" i="9"/>
  <c r="S195" i="9"/>
  <c r="S131" i="9"/>
  <c r="S132" i="9"/>
  <c r="S133" i="9"/>
  <c r="S134" i="9"/>
  <c r="S196" i="9"/>
  <c r="S197" i="9"/>
  <c r="S150" i="9"/>
  <c r="S135" i="9"/>
  <c r="S198" i="9"/>
  <c r="S136" i="9"/>
  <c r="S199" i="9"/>
  <c r="S137" i="9"/>
  <c r="Y21" i="7"/>
  <c r="V21" i="7"/>
  <c r="V7" i="7"/>
  <c r="V8" i="7"/>
  <c r="V22" i="7"/>
  <c r="V25" i="7"/>
  <c r="V13" i="7"/>
  <c r="V14" i="7"/>
  <c r="V15" i="7"/>
  <c r="V16" i="7"/>
  <c r="V17" i="7"/>
  <c r="V18" i="7"/>
  <c r="V39" i="7"/>
  <c r="V37" i="7"/>
  <c r="V20" i="7"/>
  <c r="V23" i="7"/>
  <c r="V24" i="7"/>
  <c r="V40" i="7"/>
  <c r="V27" i="7"/>
  <c r="V38" i="7"/>
  <c r="V28" i="7"/>
  <c r="V19" i="7"/>
  <c r="V29" i="7"/>
  <c r="V26" i="7"/>
  <c r="V30" i="7"/>
  <c r="V31" i="7"/>
  <c r="V32" i="7"/>
  <c r="V33" i="7"/>
  <c r="V34" i="7"/>
  <c r="V41" i="7"/>
  <c r="V42" i="7"/>
  <c r="V35" i="7"/>
  <c r="V36" i="7"/>
  <c r="S21" i="7"/>
  <c r="T21" i="7" s="1"/>
  <c r="S7" i="7"/>
  <c r="S8" i="7"/>
  <c r="S22" i="7"/>
  <c r="S25" i="7"/>
  <c r="S13" i="7"/>
  <c r="S14" i="7"/>
  <c r="S15" i="7"/>
  <c r="S16" i="7"/>
  <c r="S17" i="7"/>
  <c r="S18" i="7"/>
  <c r="S39" i="7"/>
  <c r="S37" i="7"/>
  <c r="S20" i="7"/>
  <c r="S23" i="7"/>
  <c r="S24" i="7"/>
  <c r="S40" i="7"/>
  <c r="S27" i="7"/>
  <c r="S38" i="7"/>
  <c r="S28" i="7"/>
  <c r="S19" i="7"/>
  <c r="S29" i="7"/>
  <c r="S26" i="7"/>
  <c r="S30" i="7"/>
  <c r="S31" i="7"/>
  <c r="S32" i="7"/>
  <c r="S33" i="7"/>
  <c r="S34" i="7"/>
  <c r="S41" i="7"/>
  <c r="S42" i="7"/>
  <c r="S35" i="7"/>
  <c r="S36" i="7"/>
  <c r="Q60" i="12"/>
  <c r="U44" i="8" l="1"/>
  <c r="R44" i="8"/>
  <c r="V10" i="8"/>
  <c r="V8" i="8"/>
  <c r="V20" i="8"/>
  <c r="V43" i="8"/>
  <c r="V71" i="8"/>
  <c r="V44" i="8"/>
  <c r="V148" i="8"/>
  <c r="V149" i="8"/>
  <c r="V147" i="8"/>
  <c r="V150" i="8"/>
  <c r="V151" i="8"/>
  <c r="V25" i="8"/>
  <c r="V152" i="8"/>
  <c r="V153" i="8"/>
  <c r="V15" i="8"/>
  <c r="V154" i="8"/>
  <c r="V155" i="8"/>
  <c r="V45" i="8"/>
  <c r="V156" i="8"/>
  <c r="V157" i="8"/>
  <c r="V12" i="8"/>
  <c r="V158" i="8"/>
  <c r="V159" i="8"/>
  <c r="V160" i="8"/>
  <c r="V161" i="8"/>
  <c r="V162" i="8"/>
  <c r="V163" i="8"/>
  <c r="V164" i="8"/>
  <c r="V38" i="8"/>
  <c r="V16" i="8"/>
  <c r="V165" i="8"/>
  <c r="V166" i="8"/>
  <c r="V50" i="8"/>
  <c r="V167" i="8"/>
  <c r="V168" i="8"/>
  <c r="V169" i="8"/>
  <c r="V170" i="8"/>
  <c r="V171" i="8"/>
  <c r="V48" i="8"/>
  <c r="V33" i="8"/>
  <c r="V77" i="8"/>
  <c r="V40" i="8"/>
  <c r="V74" i="8"/>
  <c r="V85" i="8"/>
  <c r="V22" i="8"/>
  <c r="V26" i="8"/>
  <c r="V27" i="8"/>
  <c r="V51" i="8"/>
  <c r="V41" i="8"/>
  <c r="V56" i="8"/>
  <c r="V18" i="8"/>
  <c r="V17" i="8"/>
  <c r="V39" i="8"/>
  <c r="V52" i="8"/>
  <c r="V58" i="8"/>
  <c r="V83" i="8"/>
  <c r="V70" i="8"/>
  <c r="V31" i="8"/>
  <c r="V63" i="8"/>
  <c r="V47" i="8"/>
  <c r="V19" i="8"/>
  <c r="V59" i="8"/>
  <c r="V57" i="8"/>
  <c r="V61" i="8"/>
  <c r="V35" i="8"/>
  <c r="V24" i="8"/>
  <c r="V28" i="8"/>
  <c r="V76" i="8"/>
  <c r="V29" i="8"/>
  <c r="V23" i="8"/>
  <c r="V55" i="8"/>
  <c r="V13" i="8"/>
  <c r="V34" i="8"/>
  <c r="V42" i="8"/>
  <c r="V67" i="8"/>
  <c r="V37" i="8"/>
  <c r="V60" i="8"/>
  <c r="V64" i="8"/>
  <c r="V80" i="8"/>
  <c r="V72" i="8"/>
  <c r="V49" i="8"/>
  <c r="V73" i="8"/>
  <c r="V36" i="8"/>
  <c r="V53" i="8"/>
  <c r="V32" i="8"/>
  <c r="V78" i="8"/>
  <c r="V7" i="8"/>
  <c r="V65" i="8"/>
  <c r="V66" i="8"/>
  <c r="V79" i="8"/>
  <c r="V81" i="8"/>
  <c r="V108" i="8"/>
  <c r="V21" i="8"/>
  <c r="V69" i="8"/>
  <c r="V62" i="8"/>
  <c r="V14" i="8"/>
  <c r="V30" i="8"/>
  <c r="V54" i="8"/>
  <c r="V82" i="8"/>
  <c r="V87" i="8"/>
  <c r="V84" i="8"/>
  <c r="V75" i="8"/>
  <c r="V95" i="8"/>
  <c r="V109" i="8"/>
  <c r="V97" i="8"/>
  <c r="V102" i="8"/>
  <c r="V88" i="8"/>
  <c r="V106" i="8"/>
  <c r="V96" i="8"/>
  <c r="V86" i="8"/>
  <c r="V114" i="8"/>
  <c r="V11" i="8"/>
  <c r="V99" i="8"/>
  <c r="V46" i="8"/>
  <c r="V112" i="8"/>
  <c r="V94" i="8"/>
  <c r="V107" i="8"/>
  <c r="V89" i="8"/>
  <c r="V110" i="8"/>
  <c r="V100" i="8"/>
  <c r="V90" i="8"/>
  <c r="V105" i="8"/>
  <c r="V92" i="8"/>
  <c r="V103" i="8"/>
  <c r="V113" i="8"/>
  <c r="V93" i="8"/>
  <c r="V111" i="8"/>
  <c r="V121" i="8"/>
  <c r="V122" i="8"/>
  <c r="V124" i="8"/>
  <c r="V98" i="8"/>
  <c r="V91" i="8"/>
  <c r="V123" i="8"/>
  <c r="V101" i="8"/>
  <c r="V104" i="8"/>
  <c r="V68" i="8"/>
  <c r="V129" i="8"/>
  <c r="V132" i="8"/>
  <c r="V131" i="8"/>
  <c r="V133" i="8"/>
  <c r="V128" i="8"/>
  <c r="V130" i="8"/>
  <c r="V134" i="8"/>
  <c r="V140" i="8"/>
  <c r="V135" i="8"/>
  <c r="V143" i="8"/>
  <c r="V136" i="8"/>
  <c r="V144" i="8"/>
  <c r="V141" i="8"/>
  <c r="V142" i="8"/>
  <c r="V145" i="8"/>
  <c r="V146" i="8"/>
  <c r="T44" i="8" l="1"/>
  <c r="Q58" i="12"/>
  <c r="Q57" i="12"/>
  <c r="Q24" i="12"/>
  <c r="Q25" i="12"/>
  <c r="Q63" i="12"/>
  <c r="Q66" i="11"/>
  <c r="Q61" i="12"/>
  <c r="Q42" i="12"/>
  <c r="Q44" i="12"/>
  <c r="Q145" i="9"/>
  <c r="Q89" i="9"/>
  <c r="Q66" i="12"/>
  <c r="Q59" i="12"/>
  <c r="Q64" i="12"/>
  <c r="Q13" i="12"/>
  <c r="Q28" i="9"/>
  <c r="Q7" i="11"/>
  <c r="Q65" i="12"/>
  <c r="Q9" i="11"/>
  <c r="Q60" i="10"/>
  <c r="Q57" i="10"/>
  <c r="Q8" i="11"/>
  <c r="Q27" i="11"/>
  <c r="Q80" i="9"/>
  <c r="Q47" i="9"/>
  <c r="Q28" i="11"/>
  <c r="Q73" i="9"/>
  <c r="Q125" i="15"/>
  <c r="Q121" i="15"/>
  <c r="Q18" i="11"/>
  <c r="Q57" i="9"/>
  <c r="Q123" i="15"/>
  <c r="Q52" i="11"/>
  <c r="Q30" i="12"/>
  <c r="Q126" i="15"/>
  <c r="Q19" i="7"/>
  <c r="Q28" i="7"/>
  <c r="Q18" i="7"/>
  <c r="Q52" i="15"/>
  <c r="Q51" i="15"/>
  <c r="Q15" i="16"/>
  <c r="Q16" i="16"/>
  <c r="Q36" i="16"/>
  <c r="Q14" i="16"/>
  <c r="Q102" i="16"/>
  <c r="Q60" i="11"/>
  <c r="Q43" i="12"/>
  <c r="Q39" i="12"/>
  <c r="Q35" i="12"/>
  <c r="Q32" i="12"/>
  <c r="Q18" i="12"/>
  <c r="Q40" i="12"/>
  <c r="Q29" i="12"/>
  <c r="Q41" i="12"/>
  <c r="Q37" i="12"/>
  <c r="Q26" i="10"/>
  <c r="Q36" i="10"/>
  <c r="Q27" i="10"/>
  <c r="Q37" i="10"/>
  <c r="Q28" i="10"/>
  <c r="Q10" i="10"/>
  <c r="Q29" i="10"/>
  <c r="Q20" i="10"/>
  <c r="Q24" i="10"/>
  <c r="Q35" i="10"/>
  <c r="Q30" i="10"/>
  <c r="Q40" i="10"/>
  <c r="Q34" i="10"/>
  <c r="Q33" i="10"/>
  <c r="Q35" i="11"/>
  <c r="Q39" i="10"/>
  <c r="Q24" i="11"/>
  <c r="Q23" i="10"/>
  <c r="Q10" i="12"/>
  <c r="Q34" i="11"/>
  <c r="Q29" i="11"/>
  <c r="Q31" i="10"/>
  <c r="Q97" i="13"/>
  <c r="Q96" i="13"/>
  <c r="Q37" i="9"/>
  <c r="Q39" i="7"/>
  <c r="Q127" i="15"/>
  <c r="Q115" i="15"/>
  <c r="Q116" i="15"/>
  <c r="Q117" i="15"/>
  <c r="Q114" i="15"/>
  <c r="Q113" i="15"/>
  <c r="Q112" i="15"/>
  <c r="Q111" i="15"/>
  <c r="Q110" i="15"/>
  <c r="Q109" i="15"/>
  <c r="Q108" i="15"/>
  <c r="Q107" i="15"/>
  <c r="Q106" i="15"/>
  <c r="Q105" i="15"/>
  <c r="Q179" i="15"/>
  <c r="Q184" i="9"/>
  <c r="Q146" i="9"/>
  <c r="Q147" i="9"/>
  <c r="Q150" i="9"/>
  <c r="Q7" i="10"/>
  <c r="Q8" i="10"/>
  <c r="Q68" i="11"/>
  <c r="Q45" i="15"/>
  <c r="Q71" i="15"/>
  <c r="Q34" i="16"/>
  <c r="Q9" i="16"/>
  <c r="Q85" i="16"/>
  <c r="Q112" i="16"/>
  <c r="Q114" i="9"/>
  <c r="Q62" i="11"/>
  <c r="Q28" i="12"/>
  <c r="Q31" i="12"/>
  <c r="Q53" i="12"/>
  <c r="Q33" i="12"/>
  <c r="Q34" i="12"/>
  <c r="Q51" i="12"/>
  <c r="Q38" i="12"/>
  <c r="Q38" i="10"/>
  <c r="Q14" i="10"/>
  <c r="Q41" i="13"/>
  <c r="Q32" i="13"/>
  <c r="Q82" i="13"/>
  <c r="Q72" i="15"/>
  <c r="Q68" i="15"/>
  <c r="Q73" i="15"/>
  <c r="Q117" i="16"/>
  <c r="Q135" i="9"/>
  <c r="Q95" i="13"/>
  <c r="Q41" i="9"/>
  <c r="Q21" i="15"/>
  <c r="Q56" i="9"/>
  <c r="Q30" i="11"/>
  <c r="Q16" i="10"/>
  <c r="Q12" i="12"/>
  <c r="Q11" i="12"/>
  <c r="Q92" i="13"/>
  <c r="Q25" i="7"/>
  <c r="Q11" i="16"/>
  <c r="Q84" i="9"/>
  <c r="Q35" i="9"/>
  <c r="Q89" i="13"/>
  <c r="Q26" i="7"/>
  <c r="Q40" i="16"/>
  <c r="Q113" i="16"/>
  <c r="Q61" i="11"/>
  <c r="Q56" i="11"/>
  <c r="Q32" i="11"/>
  <c r="Q24" i="7"/>
  <c r="Q20" i="15"/>
  <c r="Q111" i="9"/>
  <c r="Q58" i="11"/>
  <c r="Q62" i="12"/>
  <c r="Q13" i="11"/>
  <c r="Q43" i="9"/>
  <c r="Q32" i="9"/>
  <c r="Q34" i="13"/>
  <c r="Q27" i="13"/>
  <c r="Q87" i="13"/>
  <c r="Q88" i="13"/>
  <c r="Q34" i="15"/>
  <c r="Q94" i="15"/>
  <c r="Q102" i="15"/>
  <c r="Q110" i="9"/>
  <c r="Q61" i="10"/>
  <c r="Q86" i="13"/>
  <c r="Q90" i="13"/>
  <c r="Q74" i="15"/>
  <c r="Q90" i="9"/>
  <c r="Q49" i="13"/>
  <c r="Q77" i="13"/>
  <c r="Q78" i="13"/>
  <c r="Q61" i="15"/>
  <c r="Q76" i="15"/>
  <c r="Q7" i="16"/>
  <c r="Q112" i="9"/>
  <c r="Q33" i="11"/>
  <c r="Q70" i="10"/>
  <c r="Q33" i="13"/>
  <c r="Q121" i="16"/>
  <c r="Q125" i="16"/>
  <c r="Q67" i="11"/>
  <c r="Q50" i="15"/>
  <c r="Q70" i="13"/>
  <c r="Q177" i="9"/>
  <c r="Q82" i="9"/>
  <c r="Q69" i="9"/>
  <c r="Q134" i="9"/>
  <c r="Q19" i="11"/>
  <c r="Q83" i="13"/>
  <c r="Q40" i="15"/>
  <c r="Q47" i="11"/>
  <c r="Q93" i="15"/>
  <c r="Q92" i="15"/>
  <c r="Q90" i="15"/>
  <c r="Q35" i="15"/>
  <c r="Q44" i="15"/>
  <c r="Q30" i="13"/>
  <c r="Q23" i="7"/>
  <c r="Q91" i="15"/>
  <c r="Q87" i="15"/>
  <c r="Q11" i="10"/>
  <c r="Q44" i="13"/>
  <c r="Q20" i="7"/>
  <c r="Q55" i="15"/>
  <c r="Q89" i="15"/>
  <c r="Q19" i="13"/>
  <c r="Q93" i="13"/>
  <c r="Q94" i="13"/>
  <c r="Q98" i="15"/>
  <c r="Q43" i="15"/>
  <c r="Q67" i="15"/>
  <c r="Q57" i="15"/>
  <c r="Q30" i="15"/>
  <c r="Q78" i="9"/>
  <c r="Q47" i="15"/>
  <c r="Q44" i="11"/>
  <c r="Q23" i="11"/>
  <c r="Q26" i="9"/>
  <c r="Q172" i="9"/>
  <c r="Q27" i="7"/>
  <c r="Q9" i="12"/>
  <c r="Q56" i="15"/>
  <c r="Q78" i="15"/>
  <c r="Q99" i="9"/>
  <c r="Q59" i="10"/>
  <c r="Q88" i="15"/>
  <c r="Q70" i="15"/>
  <c r="Q51" i="9"/>
  <c r="Q30" i="9"/>
  <c r="Q58" i="13"/>
  <c r="Q91" i="13"/>
  <c r="Q120" i="16"/>
  <c r="Q77" i="15"/>
  <c r="Q66" i="13"/>
  <c r="Q41" i="15"/>
  <c r="Q59" i="15"/>
  <c r="Q95" i="15"/>
  <c r="Q19" i="15"/>
  <c r="Q66" i="15"/>
  <c r="Q9" i="13"/>
  <c r="Q98" i="13"/>
  <c r="Q55" i="13"/>
  <c r="Q59" i="13"/>
  <c r="Q56" i="13"/>
  <c r="Q24" i="15"/>
  <c r="Q23" i="15"/>
  <c r="Q93" i="9"/>
  <c r="Q97" i="9"/>
  <c r="Q10" i="9"/>
  <c r="Q40" i="13"/>
  <c r="Q54" i="11"/>
  <c r="Q31" i="15"/>
  <c r="Q57" i="11"/>
  <c r="Q42" i="15"/>
  <c r="Q62" i="15"/>
  <c r="Q75" i="15"/>
  <c r="Q22" i="16"/>
  <c r="Q32" i="10"/>
  <c r="Q53" i="13"/>
  <c r="Q75" i="13"/>
  <c r="Q91" i="9"/>
  <c r="Q84" i="13"/>
  <c r="Q54" i="13"/>
  <c r="Q69" i="13"/>
  <c r="Q43" i="10"/>
  <c r="Q85" i="15"/>
  <c r="Q27" i="15"/>
  <c r="Q10" i="13"/>
  <c r="Q11" i="13"/>
  <c r="Q60" i="13"/>
  <c r="Q65" i="13"/>
  <c r="Q42" i="13"/>
  <c r="Q28" i="15"/>
  <c r="Q25" i="16"/>
  <c r="Q48" i="13"/>
  <c r="Q32" i="15"/>
  <c r="Q20" i="9"/>
  <c r="Q44" i="9"/>
  <c r="Q46" i="15"/>
  <c r="Q100" i="9"/>
  <c r="Q68" i="13"/>
  <c r="Q22" i="15"/>
  <c r="Q84" i="15"/>
  <c r="Q79" i="13"/>
  <c r="Q92" i="9"/>
  <c r="Q43" i="13"/>
  <c r="Q25" i="15"/>
  <c r="Q38" i="15"/>
  <c r="Q61" i="13"/>
  <c r="Q86" i="15"/>
  <c r="Q39" i="15"/>
  <c r="Q53" i="15"/>
  <c r="Q29" i="15"/>
  <c r="Q17" i="16"/>
  <c r="Q21" i="13"/>
  <c r="Q31" i="11"/>
  <c r="Q81" i="13"/>
  <c r="Q36" i="15"/>
  <c r="Q54" i="15"/>
  <c r="Q17" i="15"/>
  <c r="Q46" i="13"/>
  <c r="Q29" i="13"/>
  <c r="Q175" i="9"/>
  <c r="Q47" i="13"/>
  <c r="Q64" i="13"/>
  <c r="Q49" i="11"/>
  <c r="Q7" i="13"/>
  <c r="Q44" i="10"/>
  <c r="Q65" i="15"/>
  <c r="Q45" i="9"/>
  <c r="Q58" i="15"/>
  <c r="Q51" i="13"/>
  <c r="Q52" i="13"/>
  <c r="Q50" i="13"/>
  <c r="Q18" i="15"/>
  <c r="Q45" i="11"/>
  <c r="Q19" i="17"/>
  <c r="Q53" i="11"/>
  <c r="Q85" i="13"/>
  <c r="Q25" i="10"/>
  <c r="Q64" i="15"/>
  <c r="Q39" i="13"/>
  <c r="Q76" i="13"/>
  <c r="Q22" i="13"/>
  <c r="Q62" i="9"/>
  <c r="Q87" i="9"/>
  <c r="Q49" i="15"/>
  <c r="Q26" i="13"/>
  <c r="Q39" i="9"/>
  <c r="Q169" i="15"/>
  <c r="Q37" i="15"/>
  <c r="Q28" i="13"/>
  <c r="Q88" i="9"/>
  <c r="Q73" i="13"/>
  <c r="Q71" i="10"/>
  <c r="Q17" i="13"/>
  <c r="Q18" i="13"/>
  <c r="Q16" i="13"/>
  <c r="Q10" i="11"/>
  <c r="Q62" i="13"/>
  <c r="Q50" i="11"/>
  <c r="Q59" i="9"/>
  <c r="Q18" i="10"/>
  <c r="Q15" i="13"/>
  <c r="Q23" i="13"/>
  <c r="Q12" i="11"/>
  <c r="Q38" i="7"/>
  <c r="Q26" i="11"/>
  <c r="Q35" i="13"/>
  <c r="Q25" i="13"/>
  <c r="Q74" i="13"/>
  <c r="Q80" i="13"/>
  <c r="Q72" i="13"/>
  <c r="Q63" i="9"/>
  <c r="Q13" i="10"/>
  <c r="Q22" i="7"/>
  <c r="Q149" i="9"/>
  <c r="Q38" i="13"/>
  <c r="Q24" i="13"/>
  <c r="Q42" i="10"/>
  <c r="Q59" i="11"/>
  <c r="Q140" i="9"/>
  <c r="Q20" i="11"/>
  <c r="Q13" i="16"/>
  <c r="Q63" i="13"/>
  <c r="Q94" i="9"/>
  <c r="Q17" i="11"/>
  <c r="Q38" i="9"/>
  <c r="Q13" i="13"/>
  <c r="Q98" i="9"/>
  <c r="Q15" i="11"/>
  <c r="Q51" i="11"/>
  <c r="Q34" i="9"/>
  <c r="Q36" i="13"/>
  <c r="Q12" i="10"/>
  <c r="Q53" i="9"/>
  <c r="Q138" i="9"/>
  <c r="Q19" i="10"/>
  <c r="Q65" i="11"/>
  <c r="Q40" i="7"/>
  <c r="Q52" i="9"/>
  <c r="Q36" i="9"/>
  <c r="Q75" i="9"/>
  <c r="Q46" i="11"/>
  <c r="Q16" i="11"/>
  <c r="Q42" i="9"/>
  <c r="Q159" i="15"/>
  <c r="Q31" i="9"/>
  <c r="Q85" i="9"/>
  <c r="Q160" i="15"/>
  <c r="Q21" i="10"/>
  <c r="Q15" i="10"/>
  <c r="Q7" i="15"/>
  <c r="Q144" i="9"/>
  <c r="Q48" i="15"/>
  <c r="Q63" i="15"/>
  <c r="Q60" i="15"/>
  <c r="Q70" i="9"/>
  <c r="Q31" i="13"/>
  <c r="Q193" i="9"/>
  <c r="Q142" i="9"/>
  <c r="Q158" i="15"/>
  <c r="Q55" i="11"/>
  <c r="Q40" i="9"/>
  <c r="Q8" i="13"/>
  <c r="Q139" i="9"/>
  <c r="Q21" i="9"/>
  <c r="Q20" i="13"/>
  <c r="Q26" i="15"/>
  <c r="Q33" i="15"/>
  <c r="Q25" i="11"/>
  <c r="Q48" i="11"/>
  <c r="Q37" i="7"/>
  <c r="Q45" i="13"/>
  <c r="Q71" i="13"/>
  <c r="Q37" i="13"/>
  <c r="Q42" i="7"/>
  <c r="Q83" i="9"/>
  <c r="Q33" i="9"/>
  <c r="Q12" i="15"/>
  <c r="Q43" i="11"/>
  <c r="Q21" i="11"/>
  <c r="Q99" i="15"/>
  <c r="Q96" i="9"/>
  <c r="Q41" i="10"/>
  <c r="Q81" i="9"/>
  <c r="Q95" i="9"/>
  <c r="Q192" i="9"/>
  <c r="Q14" i="15"/>
  <c r="Q118" i="16"/>
  <c r="Q136" i="15"/>
  <c r="Q163" i="9"/>
  <c r="Q18" i="9"/>
  <c r="Q11" i="11"/>
  <c r="Q22" i="10"/>
  <c r="Q157" i="15"/>
  <c r="Q23" i="9"/>
  <c r="Q9" i="10"/>
  <c r="Q12" i="13"/>
  <c r="Q133" i="15"/>
  <c r="Q22" i="11"/>
  <c r="Q146" i="15"/>
  <c r="Q100" i="15"/>
  <c r="Q54" i="9"/>
  <c r="Q8" i="15"/>
  <c r="Q58" i="9"/>
  <c r="Q15" i="15"/>
  <c r="Q8" i="9"/>
  <c r="Q68" i="9"/>
  <c r="Q24" i="9"/>
  <c r="Q16" i="15"/>
  <c r="Q186" i="9"/>
  <c r="Q48" i="9"/>
  <c r="Q18" i="16"/>
  <c r="Q57" i="13"/>
  <c r="Q14" i="11"/>
  <c r="Q156" i="15"/>
  <c r="Q29" i="9"/>
  <c r="Q194" i="9"/>
  <c r="Q101" i="15"/>
  <c r="Q79" i="9"/>
  <c r="Q103" i="15"/>
  <c r="Q11" i="15"/>
  <c r="Q13" i="15"/>
  <c r="Q67" i="9"/>
  <c r="Q14" i="13"/>
  <c r="Q63" i="11"/>
  <c r="Q67" i="13"/>
  <c r="Q13" i="9"/>
  <c r="Q191" i="9"/>
  <c r="Q148" i="9"/>
  <c r="Q11" i="9"/>
  <c r="Q9" i="15"/>
  <c r="Q22" i="9"/>
  <c r="Q141" i="9"/>
  <c r="Q49" i="9"/>
  <c r="Q72" i="9"/>
  <c r="Q135" i="15"/>
  <c r="Q86" i="9"/>
  <c r="Q64" i="11"/>
  <c r="Q27" i="9"/>
  <c r="Q162" i="15"/>
  <c r="Q144" i="15"/>
  <c r="Q74" i="9"/>
  <c r="Q61" i="9"/>
  <c r="Q142" i="15"/>
  <c r="Q25" i="9"/>
  <c r="Q76" i="9"/>
  <c r="Q12" i="9"/>
  <c r="Q163" i="15"/>
  <c r="Q55" i="9"/>
  <c r="Q10" i="15"/>
  <c r="Q181" i="9"/>
  <c r="Q64" i="9"/>
  <c r="Q16" i="9"/>
  <c r="Q119" i="15"/>
  <c r="Q143" i="9"/>
  <c r="Q145" i="15"/>
  <c r="Q60" i="9"/>
  <c r="Q71" i="9"/>
  <c r="Q66" i="9"/>
  <c r="Q14" i="9"/>
  <c r="Q77" i="9"/>
  <c r="Q9" i="9"/>
  <c r="Q104" i="15"/>
  <c r="Q17" i="9"/>
  <c r="Q15" i="9"/>
  <c r="Q134" i="15"/>
  <c r="Q128" i="15"/>
  <c r="Q154" i="15"/>
  <c r="Q138" i="15"/>
  <c r="Q65" i="9"/>
  <c r="Q21" i="7"/>
  <c r="Q19" i="9"/>
  <c r="Q143" i="15"/>
  <c r="Q50" i="9"/>
  <c r="Q8" i="7"/>
  <c r="Q118" i="15"/>
  <c r="Q7" i="9"/>
  <c r="Q15" i="7"/>
  <c r="Q17" i="7"/>
  <c r="Q30" i="7"/>
  <c r="Q31" i="7"/>
  <c r="Q32" i="7"/>
  <c r="Q33" i="7"/>
  <c r="Q34" i="7"/>
  <c r="Q35" i="7"/>
  <c r="Q36" i="7"/>
  <c r="Q97" i="15"/>
  <c r="Q181" i="15"/>
  <c r="Q96" i="15"/>
  <c r="Q69" i="15"/>
  <c r="Q83" i="15"/>
  <c r="Q82" i="15"/>
  <c r="Q81" i="15"/>
  <c r="Q80" i="15"/>
  <c r="Q79" i="15"/>
  <c r="Q19" i="16"/>
  <c r="Q20" i="16"/>
  <c r="Q21" i="16"/>
  <c r="Q23" i="16"/>
  <c r="Q24" i="16"/>
  <c r="Q12" i="16"/>
  <c r="Q26" i="16"/>
  <c r="Q27" i="16"/>
  <c r="Q28" i="16"/>
  <c r="Q29" i="16"/>
  <c r="Q30" i="16"/>
  <c r="Q31" i="16"/>
  <c r="Q32" i="16"/>
  <c r="Q33" i="16"/>
  <c r="Q35" i="16"/>
  <c r="Q37" i="16"/>
  <c r="Q38" i="16"/>
  <c r="Q39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60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6" i="16"/>
  <c r="Q87" i="16"/>
  <c r="Q88" i="16"/>
  <c r="Q89" i="16"/>
  <c r="Q90" i="16"/>
  <c r="Q91" i="16"/>
  <c r="Q92" i="16"/>
  <c r="Q93" i="16"/>
  <c r="Q94" i="16"/>
  <c r="Q95" i="16"/>
  <c r="Q96" i="16"/>
  <c r="Q97" i="16"/>
  <c r="Q98" i="16"/>
  <c r="Q10" i="16"/>
  <c r="Q99" i="16"/>
  <c r="Q100" i="16"/>
  <c r="Q101" i="16"/>
  <c r="Q103" i="16"/>
  <c r="Q104" i="16"/>
  <c r="Q105" i="16"/>
  <c r="Q106" i="16"/>
  <c r="Q107" i="16"/>
  <c r="Q108" i="16"/>
  <c r="Q109" i="16"/>
  <c r="Q110" i="16"/>
  <c r="Q111" i="16"/>
  <c r="Q8" i="16"/>
  <c r="Q114" i="16"/>
  <c r="Q115" i="16"/>
  <c r="Q116" i="16"/>
  <c r="Q7" i="17"/>
  <c r="Q8" i="17"/>
  <c r="Q9" i="17"/>
  <c r="Q10" i="17"/>
  <c r="Q11" i="17"/>
  <c r="Q12" i="17"/>
  <c r="Q13" i="17"/>
  <c r="Q14" i="17"/>
  <c r="Q15" i="17"/>
  <c r="Q16" i="17"/>
  <c r="Q17" i="17"/>
  <c r="Q18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101" i="9"/>
  <c r="Q102" i="9"/>
  <c r="Q103" i="9"/>
  <c r="Q104" i="9"/>
  <c r="Q105" i="9"/>
  <c r="Q106" i="9"/>
  <c r="Q107" i="9"/>
  <c r="Q108" i="9"/>
  <c r="Q113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55" i="12"/>
  <c r="Q27" i="12"/>
  <c r="Q54" i="12"/>
  <c r="Q56" i="12"/>
  <c r="Q45" i="12"/>
  <c r="Q26" i="12"/>
  <c r="Q14" i="12"/>
  <c r="Q15" i="12"/>
  <c r="Q52" i="12"/>
  <c r="Q16" i="12"/>
  <c r="Q36" i="12"/>
  <c r="Q17" i="12"/>
  <c r="Q48" i="12"/>
  <c r="Q47" i="12"/>
  <c r="Q50" i="12"/>
  <c r="Q46" i="12"/>
  <c r="Q49" i="12"/>
  <c r="Q19" i="12"/>
  <c r="Q20" i="12"/>
  <c r="Q22" i="12"/>
  <c r="Q23" i="12"/>
  <c r="Q21" i="12"/>
  <c r="Q101" i="10"/>
  <c r="Q36" i="11"/>
  <c r="Q100" i="10"/>
  <c r="Q99" i="10"/>
  <c r="Q98" i="10"/>
  <c r="Q37" i="11"/>
  <c r="Q38" i="11"/>
  <c r="Q39" i="11"/>
  <c r="Q40" i="11"/>
  <c r="Q97" i="10"/>
  <c r="Q41" i="11"/>
  <c r="Q96" i="10"/>
  <c r="Q95" i="10"/>
  <c r="Q94" i="10"/>
  <c r="Q93" i="10"/>
  <c r="Q89" i="10"/>
  <c r="Q88" i="10"/>
  <c r="Q90" i="10"/>
  <c r="Q91" i="10"/>
  <c r="Q92" i="10"/>
  <c r="Q87" i="10"/>
  <c r="Q86" i="10"/>
  <c r="Q85" i="10"/>
  <c r="Q84" i="10"/>
  <c r="Q83" i="10"/>
  <c r="Q82" i="10"/>
  <c r="Q81" i="10"/>
  <c r="Q80" i="10"/>
  <c r="Q78" i="10"/>
  <c r="Q79" i="10"/>
  <c r="Q77" i="10"/>
  <c r="Q76" i="10"/>
  <c r="Q75" i="10"/>
  <c r="Q74" i="10"/>
  <c r="Q73" i="10"/>
  <c r="Q72" i="10"/>
  <c r="Q17" i="10"/>
  <c r="Q69" i="10"/>
  <c r="Q68" i="10"/>
  <c r="Q67" i="10"/>
  <c r="Q66" i="10"/>
  <c r="Q65" i="10"/>
  <c r="Q64" i="10"/>
  <c r="Q63" i="10"/>
  <c r="Q62" i="10"/>
  <c r="Q58" i="10"/>
  <c r="Q56" i="10"/>
  <c r="Q55" i="10"/>
  <c r="Q54" i="10"/>
  <c r="Q53" i="10"/>
  <c r="Q52" i="10"/>
  <c r="Q51" i="10"/>
  <c r="Q42" i="11"/>
  <c r="Q50" i="10"/>
  <c r="Q49" i="10"/>
  <c r="Q46" i="9"/>
  <c r="Q48" i="10"/>
  <c r="Q47" i="10"/>
  <c r="Q46" i="10"/>
  <c r="Q45" i="10"/>
  <c r="Q41" i="7"/>
  <c r="Q29" i="7"/>
  <c r="Q13" i="7"/>
  <c r="Q16" i="7"/>
  <c r="Q14" i="7"/>
  <c r="Q141" i="15"/>
  <c r="Q137" i="15"/>
  <c r="Q139" i="15"/>
  <c r="Q129" i="15"/>
  <c r="Q130" i="15"/>
  <c r="Q131" i="15"/>
  <c r="Q140" i="15"/>
  <c r="Q132" i="15"/>
  <c r="Q170" i="15"/>
  <c r="Q165" i="15"/>
  <c r="Q168" i="15"/>
  <c r="Q167" i="15"/>
  <c r="Q166" i="15"/>
  <c r="Q178" i="15"/>
  <c r="Q174" i="15"/>
  <c r="Q177" i="15"/>
  <c r="Q176" i="15"/>
  <c r="Q175" i="15"/>
  <c r="Q173" i="15"/>
  <c r="Q171" i="15"/>
  <c r="Q172" i="15"/>
  <c r="Q161" i="15"/>
  <c r="Q153" i="15"/>
  <c r="Q152" i="15"/>
  <c r="Q155" i="15"/>
  <c r="Q164" i="15"/>
  <c r="Q151" i="15"/>
  <c r="Q150" i="15"/>
  <c r="Q147" i="15"/>
  <c r="Q148" i="15"/>
  <c r="Q149" i="15"/>
  <c r="Q180" i="15"/>
  <c r="Q122" i="15"/>
  <c r="Q124" i="15"/>
  <c r="Q120" i="15"/>
  <c r="Q119" i="16"/>
  <c r="Q122" i="16"/>
  <c r="Q123" i="16"/>
  <c r="Q124" i="16"/>
  <c r="Q126" i="16"/>
  <c r="Q127" i="16"/>
  <c r="Q128" i="16"/>
  <c r="Q129" i="16"/>
  <c r="Q130" i="16"/>
  <c r="Q131" i="16"/>
  <c r="Q132" i="16"/>
  <c r="Q133" i="16"/>
  <c r="Q134" i="16"/>
  <c r="Q65" i="17"/>
  <c r="Q66" i="17"/>
  <c r="Q67" i="17"/>
  <c r="Q68" i="17"/>
  <c r="Q69" i="17"/>
  <c r="Q70" i="17"/>
  <c r="Q71" i="17"/>
  <c r="Q72" i="17"/>
  <c r="Q73" i="17"/>
  <c r="Q74" i="17"/>
  <c r="Q151" i="9"/>
  <c r="Q152" i="9"/>
  <c r="Q154" i="9"/>
  <c r="Q155" i="9"/>
  <c r="Q156" i="9"/>
  <c r="Q157" i="9"/>
  <c r="Q158" i="9"/>
  <c r="Q159" i="9"/>
  <c r="Q160" i="9"/>
  <c r="Q161" i="9"/>
  <c r="Q162" i="9"/>
  <c r="Q164" i="9"/>
  <c r="Q165" i="9"/>
  <c r="Q166" i="9"/>
  <c r="Q167" i="9"/>
  <c r="Q168" i="9"/>
  <c r="Q169" i="9"/>
  <c r="Q170" i="9"/>
  <c r="Q188" i="9"/>
  <c r="Q171" i="9"/>
  <c r="Q173" i="9"/>
  <c r="Q174" i="9"/>
  <c r="Q176" i="9"/>
  <c r="Q179" i="9"/>
  <c r="Q180" i="9"/>
  <c r="Q182" i="9"/>
  <c r="Q183" i="9"/>
  <c r="Q185" i="9"/>
  <c r="Q187" i="9"/>
  <c r="Q189" i="9"/>
  <c r="Q190" i="9"/>
  <c r="Q195" i="9"/>
  <c r="Q196" i="9"/>
  <c r="Q197" i="9"/>
  <c r="Q107" i="10"/>
  <c r="Q108" i="10"/>
  <c r="Q109" i="10"/>
  <c r="Q110" i="10"/>
  <c r="Q105" i="10"/>
  <c r="Q102" i="10"/>
  <c r="Q103" i="10"/>
  <c r="Q104" i="10"/>
  <c r="Q106" i="10"/>
  <c r="Q69" i="11"/>
  <c r="Q70" i="11"/>
  <c r="Q71" i="11"/>
  <c r="Q72" i="11"/>
  <c r="Q73" i="11"/>
  <c r="Q74" i="11"/>
  <c r="Q75" i="11"/>
  <c r="Q76" i="11"/>
  <c r="Q77" i="11"/>
  <c r="Q78" i="11"/>
  <c r="Q79" i="11"/>
  <c r="Q80" i="11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95" i="13"/>
  <c r="Q196" i="13"/>
  <c r="Q197" i="13"/>
  <c r="Q198" i="13"/>
  <c r="Q199" i="13"/>
  <c r="Q200" i="13"/>
  <c r="Q201" i="13"/>
  <c r="Q202" i="13"/>
  <c r="Q203" i="13"/>
  <c r="Q204" i="13"/>
  <c r="Q205" i="13"/>
  <c r="Q206" i="13"/>
  <c r="Q207" i="13"/>
  <c r="Q208" i="13"/>
  <c r="Q209" i="13"/>
  <c r="Q210" i="13"/>
  <c r="Q211" i="13"/>
  <c r="Q14" i="20"/>
  <c r="Q15" i="20"/>
  <c r="Q16" i="20"/>
  <c r="Q17" i="20"/>
  <c r="Q18" i="20"/>
  <c r="Q19" i="20"/>
  <c r="Q20" i="20"/>
  <c r="Q21" i="20"/>
  <c r="Q1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13" i="20"/>
  <c r="Q12" i="20"/>
  <c r="Q7" i="20"/>
  <c r="Q71" i="20"/>
  <c r="Q72" i="20"/>
  <c r="Q73" i="20"/>
  <c r="Q74" i="20"/>
  <c r="Q10" i="20"/>
  <c r="Q75" i="20"/>
  <c r="Q76" i="20"/>
  <c r="Q77" i="20"/>
  <c r="Q78" i="20"/>
  <c r="Q79" i="20"/>
  <c r="Q8" i="20"/>
  <c r="Q80" i="20"/>
  <c r="Q9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7" i="12"/>
  <c r="Q8" i="12"/>
  <c r="N8" i="12" l="1"/>
  <c r="O8" i="12"/>
  <c r="P8" i="12" s="1"/>
  <c r="N7" i="12"/>
  <c r="O7" i="12"/>
  <c r="P7" i="12" s="1"/>
  <c r="Q178" i="9"/>
  <c r="Q199" i="9"/>
  <c r="Q153" i="9"/>
  <c r="Q198" i="9"/>
  <c r="Q115" i="9"/>
  <c r="Q137" i="9"/>
  <c r="Q109" i="9"/>
  <c r="Q136" i="9"/>
  <c r="R7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119" i="16"/>
  <c r="R7" i="16"/>
  <c r="R120" i="16"/>
  <c r="R14" i="16"/>
  <c r="R15" i="16"/>
  <c r="R118" i="16"/>
  <c r="R11" i="16"/>
  <c r="R16" i="16"/>
  <c r="R121" i="16"/>
  <c r="R9" i="16"/>
  <c r="R13" i="16"/>
  <c r="R17" i="16"/>
  <c r="R18" i="16"/>
  <c r="R122" i="16"/>
  <c r="R19" i="16"/>
  <c r="R20" i="16"/>
  <c r="R21" i="16"/>
  <c r="R123" i="16"/>
  <c r="R22" i="16"/>
  <c r="R23" i="16"/>
  <c r="R24" i="16"/>
  <c r="R12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124" i="16"/>
  <c r="R125" i="16"/>
  <c r="R89" i="16"/>
  <c r="R90" i="16"/>
  <c r="R91" i="16"/>
  <c r="R92" i="16"/>
  <c r="R93" i="16"/>
  <c r="R94" i="16"/>
  <c r="R95" i="16"/>
  <c r="R96" i="16"/>
  <c r="R97" i="16"/>
  <c r="R98" i="16"/>
  <c r="R10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8" i="16"/>
  <c r="R113" i="16"/>
  <c r="R114" i="16"/>
  <c r="R115" i="16"/>
  <c r="R116" i="16"/>
  <c r="R117" i="16"/>
  <c r="R126" i="16"/>
  <c r="R127" i="16"/>
  <c r="R128" i="16"/>
  <c r="R129" i="16"/>
  <c r="R130" i="16"/>
  <c r="R131" i="16"/>
  <c r="R132" i="16"/>
  <c r="R133" i="16"/>
  <c r="R134" i="16"/>
  <c r="R99" i="15"/>
  <c r="R100" i="15"/>
  <c r="R120" i="15"/>
  <c r="R7" i="15"/>
  <c r="R8" i="15"/>
  <c r="R12" i="15"/>
  <c r="R9" i="15"/>
  <c r="R11" i="15"/>
  <c r="R15" i="15"/>
  <c r="R13" i="15"/>
  <c r="R16" i="15"/>
  <c r="R101" i="15"/>
  <c r="R10" i="15"/>
  <c r="R14" i="15"/>
  <c r="R44" i="15"/>
  <c r="R22" i="15"/>
  <c r="R18" i="15"/>
  <c r="R49" i="15"/>
  <c r="R24" i="15"/>
  <c r="R36" i="15"/>
  <c r="R17" i="15"/>
  <c r="R25" i="15"/>
  <c r="R45" i="15"/>
  <c r="R31" i="15"/>
  <c r="R42" i="15"/>
  <c r="R50" i="15"/>
  <c r="R20" i="15"/>
  <c r="R21" i="15"/>
  <c r="R30" i="15"/>
  <c r="R51" i="15"/>
  <c r="R52" i="15"/>
  <c r="R28" i="15"/>
  <c r="R48" i="15"/>
  <c r="R32" i="15"/>
  <c r="R53" i="15"/>
  <c r="R37" i="15"/>
  <c r="R33" i="15"/>
  <c r="R40" i="15"/>
  <c r="R38" i="15"/>
  <c r="R26" i="15"/>
  <c r="R29" i="15"/>
  <c r="R43" i="15"/>
  <c r="R39" i="15"/>
  <c r="R46" i="15"/>
  <c r="R47" i="15"/>
  <c r="R54" i="15"/>
  <c r="R41" i="15"/>
  <c r="R55" i="15"/>
  <c r="R56" i="15"/>
  <c r="R57" i="15"/>
  <c r="R58" i="15"/>
  <c r="R59" i="15"/>
  <c r="R60" i="15"/>
  <c r="R61" i="15"/>
  <c r="R62" i="15"/>
  <c r="R19" i="15"/>
  <c r="R23" i="15"/>
  <c r="R63" i="15"/>
  <c r="R64" i="15"/>
  <c r="R65" i="15"/>
  <c r="R27" i="15"/>
  <c r="R66" i="15"/>
  <c r="R121" i="15"/>
  <c r="R122" i="15"/>
  <c r="R123" i="15"/>
  <c r="R124" i="15"/>
  <c r="R125" i="15"/>
  <c r="R12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85" i="15"/>
  <c r="R141" i="15"/>
  <c r="R142" i="15"/>
  <c r="R115" i="15"/>
  <c r="R86" i="15"/>
  <c r="R116" i="15"/>
  <c r="R87" i="15"/>
  <c r="R104" i="15"/>
  <c r="R105" i="15"/>
  <c r="R143" i="15"/>
  <c r="R144" i="15"/>
  <c r="R145" i="15"/>
  <c r="R146" i="15"/>
  <c r="R88" i="15"/>
  <c r="R35" i="15"/>
  <c r="R106" i="15"/>
  <c r="R147" i="15"/>
  <c r="R107" i="15"/>
  <c r="R148" i="15"/>
  <c r="R108" i="15"/>
  <c r="R149" i="15"/>
  <c r="R109" i="15"/>
  <c r="R150" i="15"/>
  <c r="R110" i="15"/>
  <c r="R151" i="15"/>
  <c r="R89" i="15"/>
  <c r="R152" i="15"/>
  <c r="R90" i="15"/>
  <c r="R153" i="15"/>
  <c r="R117" i="15"/>
  <c r="R118" i="15"/>
  <c r="R119" i="15"/>
  <c r="R154" i="15"/>
  <c r="R155" i="15"/>
  <c r="R156" i="15"/>
  <c r="R157" i="15"/>
  <c r="R158" i="15"/>
  <c r="R159" i="15"/>
  <c r="R160" i="15"/>
  <c r="R91" i="15"/>
  <c r="R161" i="15"/>
  <c r="R162" i="15"/>
  <c r="R163" i="15"/>
  <c r="R164" i="15"/>
  <c r="R111" i="15"/>
  <c r="R165" i="15"/>
  <c r="R112" i="15"/>
  <c r="R166" i="15"/>
  <c r="R113" i="15"/>
  <c r="R167" i="15"/>
  <c r="R114" i="15"/>
  <c r="R168" i="15"/>
  <c r="R169" i="15"/>
  <c r="R170" i="15"/>
  <c r="R92" i="15"/>
  <c r="R171" i="15"/>
  <c r="R172" i="15"/>
  <c r="R173" i="15"/>
  <c r="R174" i="15"/>
  <c r="R175" i="15"/>
  <c r="R176" i="15"/>
  <c r="R177" i="15"/>
  <c r="R178" i="15"/>
  <c r="R93" i="15"/>
  <c r="R94" i="15"/>
  <c r="R34" i="15"/>
  <c r="R95" i="15"/>
  <c r="R96" i="15"/>
  <c r="R179" i="15"/>
  <c r="R180" i="15"/>
  <c r="R97" i="15"/>
  <c r="R102" i="15"/>
  <c r="R181" i="15"/>
  <c r="R103" i="15"/>
  <c r="R98" i="15"/>
  <c r="R32" i="13"/>
  <c r="R41" i="13"/>
  <c r="R12" i="13"/>
  <c r="R49" i="13"/>
  <c r="R13" i="13"/>
  <c r="R14" i="13"/>
  <c r="R22" i="13"/>
  <c r="R39" i="13"/>
  <c r="R50" i="13"/>
  <c r="R35" i="13"/>
  <c r="R8" i="13"/>
  <c r="R21" i="13"/>
  <c r="R62" i="13"/>
  <c r="R33" i="13"/>
  <c r="R20" i="13"/>
  <c r="R63" i="13"/>
  <c r="R37" i="13"/>
  <c r="R36" i="13"/>
  <c r="R40" i="13"/>
  <c r="R73" i="13"/>
  <c r="R31" i="13"/>
  <c r="R64" i="13"/>
  <c r="R57" i="13"/>
  <c r="R67" i="13"/>
  <c r="R11" i="13"/>
  <c r="R79" i="13"/>
  <c r="R38" i="13"/>
  <c r="R75" i="13"/>
  <c r="R87" i="13"/>
  <c r="R28" i="13"/>
  <c r="R19" i="13"/>
  <c r="R52" i="13"/>
  <c r="R70" i="13"/>
  <c r="R82" i="13"/>
  <c r="R69" i="13"/>
  <c r="R84" i="13"/>
  <c r="R10" i="13"/>
  <c r="R30" i="13"/>
  <c r="R45" i="13"/>
  <c r="R71" i="13"/>
  <c r="R72" i="13"/>
  <c r="R66" i="13"/>
  <c r="R34" i="13"/>
  <c r="R60" i="13"/>
  <c r="R92" i="13"/>
  <c r="R16" i="13"/>
  <c r="R48" i="13"/>
  <c r="R76" i="13"/>
  <c r="R27" i="13"/>
  <c r="R46" i="13"/>
  <c r="R51" i="13"/>
  <c r="R61" i="13"/>
  <c r="R18" i="13"/>
  <c r="R29" i="13"/>
  <c r="R7" i="13"/>
  <c r="R9" i="13"/>
  <c r="R95" i="13"/>
  <c r="R77" i="13"/>
  <c r="R68" i="13"/>
  <c r="R89" i="13"/>
  <c r="R42" i="13"/>
  <c r="R97" i="13"/>
  <c r="R55" i="13"/>
  <c r="R65" i="13"/>
  <c r="R74" i="13"/>
  <c r="R93" i="13"/>
  <c r="R99" i="13"/>
  <c r="R100" i="13"/>
  <c r="R101" i="13"/>
  <c r="R102" i="13"/>
  <c r="R103" i="13"/>
  <c r="R104" i="13"/>
  <c r="R105" i="13"/>
  <c r="R23" i="13"/>
  <c r="R81" i="13"/>
  <c r="R53" i="13"/>
  <c r="R86" i="13"/>
  <c r="R83" i="13"/>
  <c r="R15" i="13"/>
  <c r="R24" i="13"/>
  <c r="R94" i="13"/>
  <c r="R43" i="13"/>
  <c r="R17" i="13"/>
  <c r="R90" i="13"/>
  <c r="R91" i="13"/>
  <c r="R47" i="13"/>
  <c r="R96" i="13"/>
  <c r="R85" i="13"/>
  <c r="R44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4" i="13"/>
  <c r="R195" i="13"/>
  <c r="R196" i="13"/>
  <c r="R197" i="13"/>
  <c r="R198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78" i="13"/>
  <c r="R54" i="13"/>
  <c r="R25" i="13"/>
  <c r="R58" i="13"/>
  <c r="R88" i="13"/>
  <c r="R26" i="13"/>
  <c r="R80" i="13"/>
  <c r="R98" i="13"/>
  <c r="R59" i="13"/>
  <c r="R56" i="13"/>
  <c r="R13" i="20"/>
  <c r="R12" i="20"/>
  <c r="R7" i="20"/>
  <c r="R8" i="20"/>
  <c r="R9" i="20"/>
  <c r="R14" i="20"/>
  <c r="R15" i="20"/>
  <c r="R16" i="20"/>
  <c r="R17" i="20"/>
  <c r="R18" i="20"/>
  <c r="R19" i="20"/>
  <c r="R20" i="20"/>
  <c r="R21" i="20"/>
  <c r="R1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10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11" i="12"/>
  <c r="R12" i="12"/>
  <c r="R9" i="12"/>
  <c r="R10" i="12"/>
  <c r="R25" i="12"/>
  <c r="R61" i="12"/>
  <c r="R64" i="12"/>
  <c r="R27" i="12"/>
  <c r="R28" i="12"/>
  <c r="R26" i="12"/>
  <c r="R31" i="12"/>
  <c r="R30" i="12"/>
  <c r="R33" i="12"/>
  <c r="R36" i="12"/>
  <c r="R65" i="12"/>
  <c r="R42" i="12"/>
  <c r="R32" i="12"/>
  <c r="R24" i="12"/>
  <c r="R66" i="12"/>
  <c r="R29" i="12"/>
  <c r="R43" i="12"/>
  <c r="R34" i="12"/>
  <c r="R39" i="12"/>
  <c r="R35" i="12"/>
  <c r="R63" i="12"/>
  <c r="R44" i="12"/>
  <c r="R18" i="12"/>
  <c r="R40" i="12"/>
  <c r="R41" i="12"/>
  <c r="R38" i="12"/>
  <c r="R37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13" i="12"/>
  <c r="R57" i="12"/>
  <c r="R58" i="12"/>
  <c r="R62" i="12"/>
  <c r="R59" i="12"/>
  <c r="R60" i="12"/>
  <c r="R21" i="12"/>
  <c r="R20" i="12"/>
  <c r="R17" i="12"/>
  <c r="R16" i="12"/>
  <c r="R14" i="12"/>
  <c r="R15" i="12"/>
  <c r="R22" i="12"/>
  <c r="R23" i="12"/>
  <c r="R19" i="12"/>
  <c r="R7" i="11"/>
  <c r="R8" i="11"/>
  <c r="R9" i="11"/>
  <c r="R10" i="11"/>
  <c r="R30" i="11"/>
  <c r="R12" i="11"/>
  <c r="R11" i="11"/>
  <c r="R13" i="11"/>
  <c r="R17" i="11"/>
  <c r="R14" i="11"/>
  <c r="R23" i="11"/>
  <c r="R66" i="11"/>
  <c r="R65" i="11"/>
  <c r="R21" i="11"/>
  <c r="R69" i="11"/>
  <c r="R70" i="11"/>
  <c r="R71" i="11"/>
  <c r="R72" i="11"/>
  <c r="R73" i="11"/>
  <c r="R27" i="11"/>
  <c r="R16" i="11"/>
  <c r="R22" i="11"/>
  <c r="R26" i="11"/>
  <c r="R74" i="11"/>
  <c r="R67" i="11"/>
  <c r="R68" i="11"/>
  <c r="R75" i="11"/>
  <c r="R76" i="11"/>
  <c r="R77" i="11"/>
  <c r="R78" i="11"/>
  <c r="R79" i="11"/>
  <c r="R80" i="11"/>
  <c r="R24" i="11"/>
  <c r="R15" i="11"/>
  <c r="R25" i="11"/>
  <c r="R18" i="11"/>
  <c r="R33" i="11"/>
  <c r="R29" i="11"/>
  <c r="R19" i="11"/>
  <c r="R20" i="11"/>
  <c r="R28" i="11"/>
  <c r="R31" i="11"/>
  <c r="R32" i="11"/>
  <c r="R35" i="11"/>
  <c r="R34" i="11"/>
  <c r="R36" i="11"/>
  <c r="R37" i="11"/>
  <c r="R38" i="11"/>
  <c r="R39" i="11"/>
  <c r="R40" i="11"/>
  <c r="R41" i="11"/>
  <c r="R42" i="11"/>
  <c r="R64" i="11"/>
  <c r="R63" i="11"/>
  <c r="R47" i="11"/>
  <c r="R50" i="11"/>
  <c r="R44" i="11"/>
  <c r="R48" i="11"/>
  <c r="R43" i="11"/>
  <c r="R45" i="11"/>
  <c r="R55" i="11"/>
  <c r="R49" i="11"/>
  <c r="R46" i="11"/>
  <c r="R51" i="11"/>
  <c r="R52" i="11"/>
  <c r="R53" i="11"/>
  <c r="R58" i="11"/>
  <c r="R61" i="11"/>
  <c r="R62" i="11"/>
  <c r="R54" i="11"/>
  <c r="R57" i="11"/>
  <c r="R59" i="11"/>
  <c r="R56" i="11"/>
  <c r="R60" i="11"/>
  <c r="R107" i="10"/>
  <c r="R108" i="10"/>
  <c r="R109" i="10"/>
  <c r="R110" i="10"/>
  <c r="R7" i="10"/>
  <c r="R8" i="10"/>
  <c r="R9" i="10"/>
  <c r="R25" i="10"/>
  <c r="R10" i="10"/>
  <c r="R11" i="10"/>
  <c r="R26" i="10"/>
  <c r="R27" i="10"/>
  <c r="R36" i="10"/>
  <c r="R28" i="10"/>
  <c r="R20" i="10"/>
  <c r="R29" i="10"/>
  <c r="R30" i="10"/>
  <c r="R19" i="10"/>
  <c r="R15" i="10"/>
  <c r="R13" i="10"/>
  <c r="R31" i="10"/>
  <c r="R38" i="10"/>
  <c r="R16" i="10"/>
  <c r="R39" i="10"/>
  <c r="R32" i="10"/>
  <c r="R33" i="10"/>
  <c r="R21" i="10"/>
  <c r="R22" i="10"/>
  <c r="R37" i="10"/>
  <c r="R34" i="10"/>
  <c r="R18" i="10"/>
  <c r="R23" i="10"/>
  <c r="R35" i="10"/>
  <c r="R24" i="10"/>
  <c r="R40" i="10"/>
  <c r="R41" i="10"/>
  <c r="R42" i="10"/>
  <c r="R1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17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1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7" i="9"/>
  <c r="R9" i="9"/>
  <c r="R11" i="9"/>
  <c r="R8" i="9"/>
  <c r="R13" i="9"/>
  <c r="R148" i="9"/>
  <c r="R16" i="9"/>
  <c r="R14" i="9"/>
  <c r="R17" i="9"/>
  <c r="R15" i="9"/>
  <c r="R29" i="9"/>
  <c r="R151" i="9"/>
  <c r="R152" i="9"/>
  <c r="R153" i="9"/>
  <c r="R24" i="9"/>
  <c r="R154" i="9"/>
  <c r="R155" i="9"/>
  <c r="R156" i="9"/>
  <c r="R157" i="9"/>
  <c r="R158" i="9"/>
  <c r="R159" i="9"/>
  <c r="R160" i="9"/>
  <c r="R161" i="9"/>
  <c r="R162" i="9"/>
  <c r="R138" i="9"/>
  <c r="R163" i="9"/>
  <c r="R164" i="9"/>
  <c r="R20" i="9"/>
  <c r="R12" i="9"/>
  <c r="R19" i="9"/>
  <c r="R21" i="9"/>
  <c r="R165" i="9"/>
  <c r="R166" i="9"/>
  <c r="R25" i="9"/>
  <c r="R167" i="9"/>
  <c r="R168" i="9"/>
  <c r="R169" i="9"/>
  <c r="R170" i="9"/>
  <c r="R188" i="9"/>
  <c r="R171" i="9"/>
  <c r="R172" i="9"/>
  <c r="R173" i="9"/>
  <c r="R27" i="9"/>
  <c r="R174" i="9"/>
  <c r="R175" i="9"/>
  <c r="R176" i="9"/>
  <c r="R177" i="9"/>
  <c r="R22" i="9"/>
  <c r="R18" i="9"/>
  <c r="R33" i="9"/>
  <c r="R178" i="9"/>
  <c r="R39" i="9"/>
  <c r="R179" i="9"/>
  <c r="R180" i="9"/>
  <c r="R40" i="9"/>
  <c r="R35" i="9"/>
  <c r="R26" i="9"/>
  <c r="R28" i="9"/>
  <c r="R23" i="9"/>
  <c r="R36" i="9"/>
  <c r="R43" i="9"/>
  <c r="R10" i="9"/>
  <c r="R32" i="9"/>
  <c r="R34" i="9"/>
  <c r="R30" i="9"/>
  <c r="R44" i="9"/>
  <c r="R45" i="9"/>
  <c r="R42" i="9"/>
  <c r="R41" i="9"/>
  <c r="R31" i="9"/>
  <c r="R38" i="9"/>
  <c r="R37" i="9"/>
  <c r="R46" i="9"/>
  <c r="R47" i="9"/>
  <c r="R143" i="9"/>
  <c r="R142" i="9"/>
  <c r="R48" i="9"/>
  <c r="R57" i="9"/>
  <c r="R56" i="9"/>
  <c r="R139" i="9"/>
  <c r="R140" i="9"/>
  <c r="R59" i="9"/>
  <c r="R51" i="9"/>
  <c r="R50" i="9"/>
  <c r="R54" i="9"/>
  <c r="R78" i="9"/>
  <c r="R49" i="9"/>
  <c r="R52" i="9"/>
  <c r="R80" i="9"/>
  <c r="R63" i="9"/>
  <c r="R66" i="9"/>
  <c r="R181" i="9"/>
  <c r="R61" i="9"/>
  <c r="R72" i="9"/>
  <c r="R65" i="9"/>
  <c r="R58" i="9"/>
  <c r="R74" i="9"/>
  <c r="R182" i="9"/>
  <c r="R70" i="9"/>
  <c r="R64" i="9"/>
  <c r="R183" i="9"/>
  <c r="R68" i="9"/>
  <c r="R149" i="9"/>
  <c r="R87" i="9"/>
  <c r="R184" i="9"/>
  <c r="R77" i="9"/>
  <c r="R141" i="9"/>
  <c r="R55" i="9"/>
  <c r="R73" i="9"/>
  <c r="R69" i="9"/>
  <c r="R185" i="9"/>
  <c r="R82" i="9"/>
  <c r="R60" i="9"/>
  <c r="R84" i="9"/>
  <c r="R186" i="9"/>
  <c r="R71" i="9"/>
  <c r="R83" i="9"/>
  <c r="R76" i="9"/>
  <c r="R62" i="9"/>
  <c r="R53" i="9"/>
  <c r="R79" i="9"/>
  <c r="R94" i="9"/>
  <c r="R98" i="9"/>
  <c r="R144" i="9"/>
  <c r="R81" i="9"/>
  <c r="R75" i="9"/>
  <c r="R67" i="9"/>
  <c r="R145" i="9"/>
  <c r="R100" i="9"/>
  <c r="R88" i="9"/>
  <c r="R96" i="9"/>
  <c r="R93" i="9"/>
  <c r="R90" i="9"/>
  <c r="R89" i="9"/>
  <c r="R86" i="9"/>
  <c r="R91" i="9"/>
  <c r="R97" i="9"/>
  <c r="R187" i="9"/>
  <c r="R95" i="9"/>
  <c r="R92" i="9"/>
  <c r="R99" i="9"/>
  <c r="R85" i="9"/>
  <c r="R101" i="9"/>
  <c r="R102" i="9"/>
  <c r="R103" i="9"/>
  <c r="R146" i="9"/>
  <c r="R147" i="9"/>
  <c r="R104" i="9"/>
  <c r="R105" i="9"/>
  <c r="R106" i="9"/>
  <c r="R107" i="9"/>
  <c r="R108" i="9"/>
  <c r="R109" i="9"/>
  <c r="R189" i="9"/>
  <c r="R110" i="9"/>
  <c r="R111" i="9"/>
  <c r="R112" i="9"/>
  <c r="R113" i="9"/>
  <c r="R114" i="9"/>
  <c r="R115" i="9"/>
  <c r="R116" i="9"/>
  <c r="R190" i="9"/>
  <c r="R117" i="9"/>
  <c r="R118" i="9"/>
  <c r="R119" i="9"/>
  <c r="R120" i="9"/>
  <c r="R121" i="9"/>
  <c r="R122" i="9"/>
  <c r="R191" i="9"/>
  <c r="R192" i="9"/>
  <c r="R123" i="9"/>
  <c r="R124" i="9"/>
  <c r="R193" i="9"/>
  <c r="R194" i="9"/>
  <c r="R125" i="9"/>
  <c r="R126" i="9"/>
  <c r="R127" i="9"/>
  <c r="R128" i="9"/>
  <c r="R129" i="9"/>
  <c r="R130" i="9"/>
  <c r="R195" i="9"/>
  <c r="R131" i="9"/>
  <c r="R132" i="9"/>
  <c r="R133" i="9"/>
  <c r="R134" i="9"/>
  <c r="R196" i="9"/>
  <c r="R197" i="9"/>
  <c r="R150" i="9"/>
  <c r="R135" i="9"/>
  <c r="R198" i="9"/>
  <c r="R136" i="9"/>
  <c r="R199" i="9"/>
  <c r="R137" i="9"/>
  <c r="R36" i="7"/>
  <c r="T36" i="7" s="1"/>
  <c r="R35" i="7"/>
  <c r="T35" i="7" s="1"/>
  <c r="R42" i="7"/>
  <c r="R41" i="7"/>
  <c r="R34" i="7"/>
  <c r="T34" i="7" s="1"/>
  <c r="R33" i="7"/>
  <c r="T33" i="7" s="1"/>
  <c r="R32" i="7"/>
  <c r="T32" i="7" s="1"/>
  <c r="R31" i="7"/>
  <c r="T31" i="7" s="1"/>
  <c r="R30" i="7"/>
  <c r="T30" i="7" s="1"/>
  <c r="R26" i="7"/>
  <c r="T26" i="7" s="1"/>
  <c r="R29" i="7"/>
  <c r="T29" i="7" s="1"/>
  <c r="R19" i="7"/>
  <c r="T19" i="7" s="1"/>
  <c r="R28" i="7"/>
  <c r="T28" i="7" s="1"/>
  <c r="R38" i="7"/>
  <c r="R27" i="7"/>
  <c r="T27" i="7" s="1"/>
  <c r="R40" i="7"/>
  <c r="R24" i="7"/>
  <c r="T24" i="7" s="1"/>
  <c r="R23" i="7"/>
  <c r="T23" i="7" s="1"/>
  <c r="R20" i="7"/>
  <c r="T20" i="7" s="1"/>
  <c r="R37" i="7"/>
  <c r="R39" i="7"/>
  <c r="R18" i="7"/>
  <c r="T18" i="7" s="1"/>
  <c r="R17" i="7"/>
  <c r="T17" i="7" s="1"/>
  <c r="R16" i="7"/>
  <c r="T16" i="7" s="1"/>
  <c r="R15" i="7"/>
  <c r="T15" i="7" s="1"/>
  <c r="R14" i="7"/>
  <c r="T14" i="7" s="1"/>
  <c r="R13" i="7"/>
  <c r="T13" i="7" s="1"/>
  <c r="R25" i="7"/>
  <c r="T25" i="7" s="1"/>
  <c r="R22" i="7"/>
  <c r="T22" i="7" s="1"/>
  <c r="R8" i="7"/>
  <c r="T8" i="7" s="1"/>
  <c r="R7" i="7"/>
  <c r="T7" i="7" s="1"/>
  <c r="R146" i="8"/>
  <c r="T146" i="8" s="1"/>
  <c r="R145" i="8"/>
  <c r="T145" i="8" s="1"/>
  <c r="R142" i="8"/>
  <c r="T142" i="8" s="1"/>
  <c r="R141" i="8"/>
  <c r="T141" i="8" s="1"/>
  <c r="R144" i="8"/>
  <c r="T144" i="8" s="1"/>
  <c r="R136" i="8"/>
  <c r="T136" i="8" s="1"/>
  <c r="R143" i="8"/>
  <c r="T143" i="8" s="1"/>
  <c r="R135" i="8"/>
  <c r="T135" i="8" s="1"/>
  <c r="R140" i="8"/>
  <c r="T140" i="8" s="1"/>
  <c r="R134" i="8"/>
  <c r="T134" i="8" s="1"/>
  <c r="R130" i="8"/>
  <c r="T130" i="8" s="1"/>
  <c r="R128" i="8"/>
  <c r="T128" i="8" s="1"/>
  <c r="R133" i="8"/>
  <c r="T133" i="8" s="1"/>
  <c r="R131" i="8"/>
  <c r="T131" i="8" s="1"/>
  <c r="R132" i="8"/>
  <c r="T132" i="8" s="1"/>
  <c r="R129" i="8"/>
  <c r="T129" i="8" s="1"/>
  <c r="R68" i="8"/>
  <c r="T68" i="8" s="1"/>
  <c r="R104" i="8"/>
  <c r="T104" i="8" s="1"/>
  <c r="R101" i="8"/>
  <c r="T101" i="8" s="1"/>
  <c r="R123" i="8"/>
  <c r="T123" i="8" s="1"/>
  <c r="R91" i="8"/>
  <c r="T91" i="8" s="1"/>
  <c r="R98" i="8"/>
  <c r="T98" i="8" s="1"/>
  <c r="R124" i="8"/>
  <c r="T124" i="8" s="1"/>
  <c r="R122" i="8"/>
  <c r="T122" i="8" s="1"/>
  <c r="R121" i="8"/>
  <c r="T121" i="8" s="1"/>
  <c r="R111" i="8"/>
  <c r="T111" i="8" s="1"/>
  <c r="R93" i="8"/>
  <c r="T93" i="8" s="1"/>
  <c r="R113" i="8"/>
  <c r="T113" i="8" s="1"/>
  <c r="R103" i="8"/>
  <c r="T103" i="8" s="1"/>
  <c r="R92" i="8"/>
  <c r="T92" i="8" s="1"/>
  <c r="R105" i="8"/>
  <c r="T105" i="8" s="1"/>
  <c r="R90" i="8"/>
  <c r="T90" i="8" s="1"/>
  <c r="R100" i="8"/>
  <c r="T100" i="8" s="1"/>
  <c r="R110" i="8"/>
  <c r="T110" i="8" s="1"/>
  <c r="R89" i="8"/>
  <c r="T89" i="8" s="1"/>
  <c r="R107" i="8"/>
  <c r="T107" i="8" s="1"/>
  <c r="R94" i="8"/>
  <c r="T94" i="8" s="1"/>
  <c r="R112" i="8"/>
  <c r="T112" i="8" s="1"/>
  <c r="R46" i="8"/>
  <c r="T46" i="8" s="1"/>
  <c r="R99" i="8"/>
  <c r="T99" i="8" s="1"/>
  <c r="R11" i="8"/>
  <c r="T11" i="8" s="1"/>
  <c r="R114" i="8"/>
  <c r="T114" i="8" s="1"/>
  <c r="R86" i="8"/>
  <c r="T86" i="8" s="1"/>
  <c r="R96" i="8"/>
  <c r="T96" i="8" s="1"/>
  <c r="R106" i="8"/>
  <c r="T106" i="8" s="1"/>
  <c r="R88" i="8"/>
  <c r="T88" i="8" s="1"/>
  <c r="R102" i="8"/>
  <c r="T102" i="8" s="1"/>
  <c r="R97" i="8"/>
  <c r="T97" i="8" s="1"/>
  <c r="R109" i="8"/>
  <c r="T109" i="8" s="1"/>
  <c r="R95" i="8"/>
  <c r="T95" i="8" s="1"/>
  <c r="R75" i="8"/>
  <c r="T75" i="8" s="1"/>
  <c r="R84" i="8"/>
  <c r="T84" i="8" s="1"/>
  <c r="R87" i="8"/>
  <c r="T87" i="8" s="1"/>
  <c r="R82" i="8"/>
  <c r="T82" i="8" s="1"/>
  <c r="R54" i="8"/>
  <c r="T54" i="8" s="1"/>
  <c r="R30" i="8"/>
  <c r="T30" i="8" s="1"/>
  <c r="R14" i="8"/>
  <c r="T14" i="8" s="1"/>
  <c r="R62" i="8"/>
  <c r="T62" i="8" s="1"/>
  <c r="R69" i="8"/>
  <c r="T69" i="8" s="1"/>
  <c r="R21" i="8"/>
  <c r="T21" i="8" s="1"/>
  <c r="R108" i="8"/>
  <c r="T108" i="8" s="1"/>
  <c r="R81" i="8"/>
  <c r="T81" i="8" s="1"/>
  <c r="R79" i="8"/>
  <c r="T79" i="8" s="1"/>
  <c r="R66" i="8"/>
  <c r="T66" i="8" s="1"/>
  <c r="R65" i="8"/>
  <c r="T65" i="8" s="1"/>
  <c r="R7" i="8"/>
  <c r="T7" i="8" s="1"/>
  <c r="R78" i="8"/>
  <c r="T78" i="8" s="1"/>
  <c r="R32" i="8"/>
  <c r="T32" i="8" s="1"/>
  <c r="R53" i="8"/>
  <c r="T53" i="8" s="1"/>
  <c r="R36" i="8"/>
  <c r="T36" i="8" s="1"/>
  <c r="R73" i="8"/>
  <c r="T73" i="8" s="1"/>
  <c r="R49" i="8"/>
  <c r="T49" i="8" s="1"/>
  <c r="R72" i="8"/>
  <c r="T72" i="8" s="1"/>
  <c r="R80" i="8"/>
  <c r="T80" i="8" s="1"/>
  <c r="R64" i="8"/>
  <c r="T64" i="8" s="1"/>
  <c r="R60" i="8"/>
  <c r="T60" i="8" s="1"/>
  <c r="R37" i="8"/>
  <c r="T37" i="8" s="1"/>
  <c r="R67" i="8"/>
  <c r="T67" i="8" s="1"/>
  <c r="R42" i="8"/>
  <c r="T42" i="8" s="1"/>
  <c r="R34" i="8"/>
  <c r="T34" i="8" s="1"/>
  <c r="R13" i="8"/>
  <c r="T13" i="8" s="1"/>
  <c r="R55" i="8"/>
  <c r="T55" i="8" s="1"/>
  <c r="R23" i="8"/>
  <c r="T23" i="8" s="1"/>
  <c r="R29" i="8"/>
  <c r="T29" i="8" s="1"/>
  <c r="R76" i="8"/>
  <c r="T76" i="8" s="1"/>
  <c r="R28" i="8"/>
  <c r="T28" i="8" s="1"/>
  <c r="R24" i="8"/>
  <c r="T24" i="8" s="1"/>
  <c r="R35" i="8"/>
  <c r="T35" i="8" s="1"/>
  <c r="R61" i="8"/>
  <c r="T61" i="8" s="1"/>
  <c r="R57" i="8"/>
  <c r="T57" i="8" s="1"/>
  <c r="R59" i="8"/>
  <c r="T59" i="8" s="1"/>
  <c r="R19" i="8"/>
  <c r="T19" i="8" s="1"/>
  <c r="R47" i="8"/>
  <c r="T47" i="8" s="1"/>
  <c r="R63" i="8"/>
  <c r="T63" i="8" s="1"/>
  <c r="R31" i="8"/>
  <c r="T31" i="8" s="1"/>
  <c r="R70" i="8"/>
  <c r="T70" i="8" s="1"/>
  <c r="R83" i="8"/>
  <c r="T83" i="8" s="1"/>
  <c r="R58" i="8"/>
  <c r="T58" i="8" s="1"/>
  <c r="R52" i="8"/>
  <c r="T52" i="8" s="1"/>
  <c r="R39" i="8"/>
  <c r="T39" i="8" s="1"/>
  <c r="R17" i="8"/>
  <c r="T17" i="8" s="1"/>
  <c r="R18" i="8"/>
  <c r="T18" i="8" s="1"/>
  <c r="R56" i="8"/>
  <c r="T56" i="8" s="1"/>
  <c r="R41" i="8"/>
  <c r="T41" i="8" s="1"/>
  <c r="R51" i="8"/>
  <c r="T51" i="8" s="1"/>
  <c r="R27" i="8"/>
  <c r="T27" i="8" s="1"/>
  <c r="R26" i="8"/>
  <c r="T26" i="8" s="1"/>
  <c r="R22" i="8"/>
  <c r="T22" i="8" s="1"/>
  <c r="R85" i="8"/>
  <c r="T85" i="8" s="1"/>
  <c r="R74" i="8"/>
  <c r="T74" i="8" s="1"/>
  <c r="R40" i="8"/>
  <c r="T40" i="8" s="1"/>
  <c r="R9" i="8"/>
  <c r="T9" i="8" s="1"/>
  <c r="R77" i="8"/>
  <c r="T77" i="8" s="1"/>
  <c r="R33" i="8"/>
  <c r="T33" i="8" s="1"/>
  <c r="R48" i="8"/>
  <c r="T48" i="8" s="1"/>
  <c r="R171" i="8"/>
  <c r="T171" i="8" s="1"/>
  <c r="R170" i="8"/>
  <c r="T170" i="8" s="1"/>
  <c r="R169" i="8"/>
  <c r="T169" i="8" s="1"/>
  <c r="R168" i="8"/>
  <c r="T168" i="8" s="1"/>
  <c r="R167" i="8"/>
  <c r="T167" i="8" s="1"/>
  <c r="R50" i="8"/>
  <c r="T50" i="8" s="1"/>
  <c r="R166" i="8"/>
  <c r="T166" i="8" s="1"/>
  <c r="R165" i="8"/>
  <c r="T165" i="8" s="1"/>
  <c r="R16" i="8"/>
  <c r="T16" i="8" s="1"/>
  <c r="R38" i="8"/>
  <c r="T38" i="8" s="1"/>
  <c r="R164" i="8"/>
  <c r="T164" i="8" s="1"/>
  <c r="R163" i="8"/>
  <c r="T163" i="8" s="1"/>
  <c r="R162" i="8"/>
  <c r="T162" i="8" s="1"/>
  <c r="R161" i="8"/>
  <c r="T161" i="8" s="1"/>
  <c r="R160" i="8"/>
  <c r="T160" i="8" s="1"/>
  <c r="R159" i="8"/>
  <c r="T159" i="8" s="1"/>
  <c r="R158" i="8"/>
  <c r="T158" i="8" s="1"/>
  <c r="R12" i="8"/>
  <c r="T12" i="8" s="1"/>
  <c r="R157" i="8"/>
  <c r="T157" i="8" s="1"/>
  <c r="R156" i="8"/>
  <c r="T156" i="8" s="1"/>
  <c r="R45" i="8"/>
  <c r="T45" i="8" s="1"/>
  <c r="R155" i="8"/>
  <c r="T155" i="8" s="1"/>
  <c r="R154" i="8"/>
  <c r="T154" i="8" s="1"/>
  <c r="R15" i="8"/>
  <c r="T15" i="8" s="1"/>
  <c r="R153" i="8"/>
  <c r="T153" i="8" s="1"/>
  <c r="R152" i="8"/>
  <c r="T152" i="8" s="1"/>
  <c r="R25" i="8"/>
  <c r="T25" i="8" s="1"/>
  <c r="R151" i="8"/>
  <c r="T151" i="8" s="1"/>
  <c r="R150" i="8"/>
  <c r="T150" i="8" s="1"/>
  <c r="R147" i="8"/>
  <c r="T147" i="8" s="1"/>
  <c r="R149" i="8"/>
  <c r="T149" i="8" s="1"/>
  <c r="R148" i="8"/>
  <c r="T148" i="8" s="1"/>
  <c r="R71" i="8"/>
  <c r="R43" i="8"/>
  <c r="T43" i="8" s="1"/>
  <c r="R20" i="8"/>
  <c r="T20" i="8" s="1"/>
  <c r="R8" i="8"/>
  <c r="T8" i="8" s="1"/>
  <c r="R10" i="8"/>
  <c r="T10" i="8" l="1"/>
  <c r="T71" i="8"/>
  <c r="K7" i="7"/>
  <c r="K8" i="7"/>
  <c r="K22" i="7"/>
  <c r="K21" i="7"/>
  <c r="K25" i="7"/>
  <c r="K39" i="7"/>
  <c r="K37" i="7"/>
  <c r="K20" i="7"/>
  <c r="K23" i="7"/>
  <c r="K24" i="7"/>
  <c r="K40" i="7"/>
  <c r="K27" i="7"/>
  <c r="K38" i="7"/>
  <c r="K28" i="7"/>
  <c r="K29" i="7"/>
  <c r="K26" i="7"/>
  <c r="K30" i="7"/>
  <c r="K31" i="7"/>
  <c r="K32" i="7"/>
  <c r="K33" i="7"/>
  <c r="K34" i="7"/>
  <c r="K41" i="7"/>
  <c r="K42" i="7"/>
  <c r="K35" i="7"/>
  <c r="K36" i="7"/>
  <c r="A13" i="20" l="1"/>
  <c r="A12" i="20"/>
  <c r="O12" i="20" s="1"/>
  <c r="A7" i="20"/>
  <c r="A71" i="20"/>
  <c r="A72" i="20"/>
  <c r="A73" i="20"/>
  <c r="O73" i="20" s="1"/>
  <c r="A74" i="20"/>
  <c r="A10" i="20"/>
  <c r="A75" i="20"/>
  <c r="A76" i="20"/>
  <c r="O76" i="20" s="1"/>
  <c r="A77" i="20"/>
  <c r="A78" i="20"/>
  <c r="A79" i="20"/>
  <c r="A8" i="20"/>
  <c r="O8" i="20" s="1"/>
  <c r="A80" i="20"/>
  <c r="A9" i="20"/>
  <c r="A81" i="20"/>
  <c r="A82" i="20"/>
  <c r="O82" i="20" s="1"/>
  <c r="A83" i="20"/>
  <c r="A84" i="20"/>
  <c r="A85" i="20"/>
  <c r="A86" i="20"/>
  <c r="O86" i="20" s="1"/>
  <c r="A87" i="20"/>
  <c r="A88" i="20"/>
  <c r="A89" i="20"/>
  <c r="A90" i="20"/>
  <c r="O90" i="20" s="1"/>
  <c r="A91" i="20"/>
  <c r="A92" i="20"/>
  <c r="A93" i="20"/>
  <c r="B12" i="20"/>
  <c r="K13" i="20"/>
  <c r="K12" i="20"/>
  <c r="K7" i="20"/>
  <c r="K71" i="20"/>
  <c r="K72" i="20"/>
  <c r="K73" i="20"/>
  <c r="K74" i="20"/>
  <c r="K10" i="20"/>
  <c r="K75" i="20"/>
  <c r="K76" i="20"/>
  <c r="K77" i="20"/>
  <c r="K78" i="20"/>
  <c r="K79" i="20"/>
  <c r="K8" i="20"/>
  <c r="K80" i="20"/>
  <c r="K9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L13" i="20"/>
  <c r="L12" i="20"/>
  <c r="L7" i="20"/>
  <c r="L71" i="20"/>
  <c r="L72" i="20"/>
  <c r="L73" i="20"/>
  <c r="L74" i="20"/>
  <c r="L10" i="20"/>
  <c r="L75" i="20"/>
  <c r="L76" i="20"/>
  <c r="L77" i="20"/>
  <c r="L78" i="20"/>
  <c r="L79" i="20"/>
  <c r="L8" i="20"/>
  <c r="L80" i="20"/>
  <c r="L9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U13" i="20"/>
  <c r="W13" i="20" s="1"/>
  <c r="U12" i="20"/>
  <c r="U7" i="20"/>
  <c r="W7" i="20" s="1"/>
  <c r="U71" i="20"/>
  <c r="U72" i="20"/>
  <c r="W72" i="20" s="1"/>
  <c r="U73" i="20"/>
  <c r="U74" i="20"/>
  <c r="W74" i="20" s="1"/>
  <c r="U10" i="20"/>
  <c r="U75" i="20"/>
  <c r="W75" i="20" s="1"/>
  <c r="U76" i="20"/>
  <c r="U77" i="20"/>
  <c r="W77" i="20" s="1"/>
  <c r="U78" i="20"/>
  <c r="U79" i="20"/>
  <c r="W79" i="20" s="1"/>
  <c r="U8" i="20"/>
  <c r="U80" i="20"/>
  <c r="W80" i="20" s="1"/>
  <c r="U9" i="20"/>
  <c r="U81" i="20"/>
  <c r="U82" i="20"/>
  <c r="U83" i="20"/>
  <c r="U84" i="20"/>
  <c r="U85" i="20"/>
  <c r="U86" i="20"/>
  <c r="U87" i="20"/>
  <c r="U88" i="20"/>
  <c r="U89" i="20"/>
  <c r="U90" i="20"/>
  <c r="U91" i="20"/>
  <c r="U92" i="20"/>
  <c r="U93" i="20"/>
  <c r="X13" i="20"/>
  <c r="X12" i="20"/>
  <c r="X7" i="20"/>
  <c r="X71" i="20"/>
  <c r="X72" i="20"/>
  <c r="X73" i="20"/>
  <c r="X74" i="20"/>
  <c r="X10" i="20"/>
  <c r="X75" i="20"/>
  <c r="X76" i="20"/>
  <c r="X77" i="20"/>
  <c r="X78" i="20"/>
  <c r="X79" i="20"/>
  <c r="X8" i="20"/>
  <c r="X80" i="20"/>
  <c r="X9" i="20"/>
  <c r="X81" i="20"/>
  <c r="X82" i="20"/>
  <c r="X83" i="20"/>
  <c r="X84" i="20"/>
  <c r="X85" i="20"/>
  <c r="X86" i="20"/>
  <c r="X87" i="20"/>
  <c r="X88" i="20"/>
  <c r="X89" i="20"/>
  <c r="X90" i="20"/>
  <c r="X91" i="20"/>
  <c r="X92" i="20"/>
  <c r="X93" i="20"/>
  <c r="Y13" i="20"/>
  <c r="Y12" i="20"/>
  <c r="Y7" i="20"/>
  <c r="Y71" i="20"/>
  <c r="Y72" i="20"/>
  <c r="Y73" i="20"/>
  <c r="Y74" i="20"/>
  <c r="Y10" i="20"/>
  <c r="Y75" i="20"/>
  <c r="Y76" i="20"/>
  <c r="Y77" i="20"/>
  <c r="Y78" i="20"/>
  <c r="Y79" i="20"/>
  <c r="Y8" i="20"/>
  <c r="Y80" i="20"/>
  <c r="Y9" i="20"/>
  <c r="Y81" i="20"/>
  <c r="Y82" i="20"/>
  <c r="Y83" i="20"/>
  <c r="Y84" i="20"/>
  <c r="Y85" i="20"/>
  <c r="Y86" i="20"/>
  <c r="Y87" i="20"/>
  <c r="Y88" i="20"/>
  <c r="Y89" i="20"/>
  <c r="Y90" i="20"/>
  <c r="Y91" i="20"/>
  <c r="Y92" i="20"/>
  <c r="Y93" i="20"/>
  <c r="Y70" i="20"/>
  <c r="X70" i="20"/>
  <c r="U70" i="20"/>
  <c r="L70" i="20"/>
  <c r="K70" i="20"/>
  <c r="A70" i="20"/>
  <c r="O70" i="20" s="1"/>
  <c r="Y69" i="20"/>
  <c r="X69" i="20"/>
  <c r="U69" i="20"/>
  <c r="L69" i="20"/>
  <c r="K69" i="20"/>
  <c r="A69" i="20"/>
  <c r="O69" i="20" s="1"/>
  <c r="Y68" i="20"/>
  <c r="X68" i="20"/>
  <c r="U68" i="20"/>
  <c r="L68" i="20"/>
  <c r="K68" i="20"/>
  <c r="A68" i="20"/>
  <c r="O68" i="20" s="1"/>
  <c r="Y67" i="20"/>
  <c r="X67" i="20"/>
  <c r="U67" i="20"/>
  <c r="L67" i="20"/>
  <c r="K67" i="20"/>
  <c r="A67" i="20"/>
  <c r="O67" i="20" s="1"/>
  <c r="Y66" i="20"/>
  <c r="X66" i="20"/>
  <c r="U66" i="20"/>
  <c r="L66" i="20"/>
  <c r="K66" i="20"/>
  <c r="A66" i="20"/>
  <c r="O66" i="20" s="1"/>
  <c r="Y65" i="20"/>
  <c r="X65" i="20"/>
  <c r="U65" i="20"/>
  <c r="L65" i="20"/>
  <c r="K65" i="20"/>
  <c r="A65" i="20"/>
  <c r="O65" i="20" s="1"/>
  <c r="Y64" i="20"/>
  <c r="X64" i="20"/>
  <c r="U64" i="20"/>
  <c r="L64" i="20"/>
  <c r="K64" i="20"/>
  <c r="A64" i="20"/>
  <c r="O64" i="20" s="1"/>
  <c r="Y63" i="20"/>
  <c r="X63" i="20"/>
  <c r="U63" i="20"/>
  <c r="L63" i="20"/>
  <c r="K63" i="20"/>
  <c r="A63" i="20"/>
  <c r="O63" i="20" s="1"/>
  <c r="Y62" i="20"/>
  <c r="X62" i="20"/>
  <c r="U62" i="20"/>
  <c r="L62" i="20"/>
  <c r="K62" i="20"/>
  <c r="A62" i="20"/>
  <c r="O62" i="20" s="1"/>
  <c r="Y61" i="20"/>
  <c r="X61" i="20"/>
  <c r="U61" i="20"/>
  <c r="L61" i="20"/>
  <c r="K61" i="20"/>
  <c r="A61" i="20"/>
  <c r="O61" i="20" s="1"/>
  <c r="Y60" i="20"/>
  <c r="X60" i="20"/>
  <c r="U60" i="20"/>
  <c r="L60" i="20"/>
  <c r="K60" i="20"/>
  <c r="A60" i="20"/>
  <c r="O60" i="20" s="1"/>
  <c r="Y59" i="20"/>
  <c r="X59" i="20"/>
  <c r="U59" i="20"/>
  <c r="L59" i="20"/>
  <c r="K59" i="20"/>
  <c r="A59" i="20"/>
  <c r="O59" i="20" s="1"/>
  <c r="Y58" i="20"/>
  <c r="X58" i="20"/>
  <c r="U58" i="20"/>
  <c r="L58" i="20"/>
  <c r="K58" i="20"/>
  <c r="A58" i="20"/>
  <c r="O58" i="20" s="1"/>
  <c r="Y57" i="20"/>
  <c r="X57" i="20"/>
  <c r="U57" i="20"/>
  <c r="L57" i="20"/>
  <c r="K57" i="20"/>
  <c r="A57" i="20"/>
  <c r="O57" i="20" s="1"/>
  <c r="Y56" i="20"/>
  <c r="X56" i="20"/>
  <c r="U56" i="20"/>
  <c r="L56" i="20"/>
  <c r="K56" i="20"/>
  <c r="A56" i="20"/>
  <c r="O56" i="20" s="1"/>
  <c r="Y55" i="20"/>
  <c r="X55" i="20"/>
  <c r="U55" i="20"/>
  <c r="L55" i="20"/>
  <c r="K55" i="20"/>
  <c r="A55" i="20"/>
  <c r="O55" i="20" s="1"/>
  <c r="Y54" i="20"/>
  <c r="X54" i="20"/>
  <c r="U54" i="20"/>
  <c r="L54" i="20"/>
  <c r="K54" i="20"/>
  <c r="A54" i="20"/>
  <c r="O54" i="20" s="1"/>
  <c r="Y53" i="20"/>
  <c r="X53" i="20"/>
  <c r="U53" i="20"/>
  <c r="L53" i="20"/>
  <c r="K53" i="20"/>
  <c r="A53" i="20"/>
  <c r="O53" i="20" s="1"/>
  <c r="Y52" i="20"/>
  <c r="X52" i="20"/>
  <c r="U52" i="20"/>
  <c r="L52" i="20"/>
  <c r="K52" i="20"/>
  <c r="A52" i="20"/>
  <c r="O52" i="20" s="1"/>
  <c r="Y51" i="20"/>
  <c r="X51" i="20"/>
  <c r="U51" i="20"/>
  <c r="L51" i="20"/>
  <c r="K51" i="20"/>
  <c r="A51" i="20"/>
  <c r="O51" i="20" s="1"/>
  <c r="Y50" i="20"/>
  <c r="X50" i="20"/>
  <c r="U50" i="20"/>
  <c r="L50" i="20"/>
  <c r="K50" i="20"/>
  <c r="A50" i="20"/>
  <c r="O50" i="20" s="1"/>
  <c r="Y49" i="20"/>
  <c r="X49" i="20"/>
  <c r="U49" i="20"/>
  <c r="L49" i="20"/>
  <c r="K49" i="20"/>
  <c r="A49" i="20"/>
  <c r="O49" i="20" s="1"/>
  <c r="Y48" i="20"/>
  <c r="X48" i="20"/>
  <c r="U48" i="20"/>
  <c r="L48" i="20"/>
  <c r="K48" i="20"/>
  <c r="A48" i="20"/>
  <c r="O48" i="20" s="1"/>
  <c r="Y47" i="20"/>
  <c r="X47" i="20"/>
  <c r="U47" i="20"/>
  <c r="L47" i="20"/>
  <c r="K47" i="20"/>
  <c r="A47" i="20"/>
  <c r="O47" i="20" s="1"/>
  <c r="Y46" i="20"/>
  <c r="X46" i="20"/>
  <c r="U46" i="20"/>
  <c r="L46" i="20"/>
  <c r="K46" i="20"/>
  <c r="A46" i="20"/>
  <c r="O46" i="20" s="1"/>
  <c r="Y45" i="20"/>
  <c r="X45" i="20"/>
  <c r="U45" i="20"/>
  <c r="L45" i="20"/>
  <c r="K45" i="20"/>
  <c r="A45" i="20"/>
  <c r="O45" i="20" s="1"/>
  <c r="Y44" i="20"/>
  <c r="X44" i="20"/>
  <c r="U44" i="20"/>
  <c r="L44" i="20"/>
  <c r="K44" i="20"/>
  <c r="A44" i="20"/>
  <c r="O44" i="20" s="1"/>
  <c r="Y43" i="20"/>
  <c r="X43" i="20"/>
  <c r="U43" i="20"/>
  <c r="L43" i="20"/>
  <c r="K43" i="20"/>
  <c r="A43" i="20"/>
  <c r="O43" i="20" s="1"/>
  <c r="Y42" i="20"/>
  <c r="X42" i="20"/>
  <c r="U42" i="20"/>
  <c r="L42" i="20"/>
  <c r="K42" i="20"/>
  <c r="A42" i="20"/>
  <c r="O42" i="20" s="1"/>
  <c r="Y41" i="20"/>
  <c r="X41" i="20"/>
  <c r="U41" i="20"/>
  <c r="L41" i="20"/>
  <c r="K41" i="20"/>
  <c r="A41" i="20"/>
  <c r="O41" i="20" s="1"/>
  <c r="Y40" i="20"/>
  <c r="X40" i="20"/>
  <c r="U40" i="20"/>
  <c r="L40" i="20"/>
  <c r="K40" i="20"/>
  <c r="A40" i="20"/>
  <c r="O40" i="20" s="1"/>
  <c r="Y39" i="20"/>
  <c r="X39" i="20"/>
  <c r="U39" i="20"/>
  <c r="L39" i="20"/>
  <c r="K39" i="20"/>
  <c r="A39" i="20"/>
  <c r="O39" i="20" s="1"/>
  <c r="Y38" i="20"/>
  <c r="X38" i="20"/>
  <c r="U38" i="20"/>
  <c r="L38" i="20"/>
  <c r="K38" i="20"/>
  <c r="A38" i="20"/>
  <c r="O38" i="20" s="1"/>
  <c r="Y37" i="20"/>
  <c r="X37" i="20"/>
  <c r="U37" i="20"/>
  <c r="L37" i="20"/>
  <c r="K37" i="20"/>
  <c r="A37" i="20"/>
  <c r="O37" i="20" s="1"/>
  <c r="Y36" i="20"/>
  <c r="X36" i="20"/>
  <c r="U36" i="20"/>
  <c r="L36" i="20"/>
  <c r="K36" i="20"/>
  <c r="A36" i="20"/>
  <c r="O36" i="20" s="1"/>
  <c r="Y35" i="20"/>
  <c r="X35" i="20"/>
  <c r="U35" i="20"/>
  <c r="L35" i="20"/>
  <c r="K35" i="20"/>
  <c r="A35" i="20"/>
  <c r="O35" i="20" s="1"/>
  <c r="Y34" i="20"/>
  <c r="X34" i="20"/>
  <c r="U34" i="20"/>
  <c r="L34" i="20"/>
  <c r="K34" i="20"/>
  <c r="A34" i="20"/>
  <c r="O34" i="20" s="1"/>
  <c r="Y33" i="20"/>
  <c r="X33" i="20"/>
  <c r="U33" i="20"/>
  <c r="L33" i="20"/>
  <c r="K33" i="20"/>
  <c r="A33" i="20"/>
  <c r="O33" i="20" s="1"/>
  <c r="Y32" i="20"/>
  <c r="X32" i="20"/>
  <c r="U32" i="20"/>
  <c r="L32" i="20"/>
  <c r="K32" i="20"/>
  <c r="A32" i="20"/>
  <c r="O32" i="20" s="1"/>
  <c r="Y31" i="20"/>
  <c r="X31" i="20"/>
  <c r="U31" i="20"/>
  <c r="L31" i="20"/>
  <c r="K31" i="20"/>
  <c r="A31" i="20"/>
  <c r="O31" i="20" s="1"/>
  <c r="Y30" i="20"/>
  <c r="X30" i="20"/>
  <c r="U30" i="20"/>
  <c r="L30" i="20"/>
  <c r="K30" i="20"/>
  <c r="A30" i="20"/>
  <c r="O30" i="20" s="1"/>
  <c r="Y29" i="20"/>
  <c r="X29" i="20"/>
  <c r="U29" i="20"/>
  <c r="L29" i="20"/>
  <c r="K29" i="20"/>
  <c r="A29" i="20"/>
  <c r="O29" i="20" s="1"/>
  <c r="Y28" i="20"/>
  <c r="X28" i="20"/>
  <c r="U28" i="20"/>
  <c r="L28" i="20"/>
  <c r="K28" i="20"/>
  <c r="A28" i="20"/>
  <c r="O28" i="20" s="1"/>
  <c r="Y27" i="20"/>
  <c r="X27" i="20"/>
  <c r="U27" i="20"/>
  <c r="L27" i="20"/>
  <c r="K27" i="20"/>
  <c r="A27" i="20"/>
  <c r="O27" i="20" s="1"/>
  <c r="Y26" i="20"/>
  <c r="X26" i="20"/>
  <c r="U26" i="20"/>
  <c r="L26" i="20"/>
  <c r="K26" i="20"/>
  <c r="A26" i="20"/>
  <c r="O26" i="20" s="1"/>
  <c r="Y25" i="20"/>
  <c r="X25" i="20"/>
  <c r="U25" i="20"/>
  <c r="L25" i="20"/>
  <c r="K25" i="20"/>
  <c r="A25" i="20"/>
  <c r="O25" i="20" s="1"/>
  <c r="Y24" i="20"/>
  <c r="X24" i="20"/>
  <c r="U24" i="20"/>
  <c r="L24" i="20"/>
  <c r="K24" i="20"/>
  <c r="A24" i="20"/>
  <c r="O24" i="20" s="1"/>
  <c r="Y23" i="20"/>
  <c r="X23" i="20"/>
  <c r="U23" i="20"/>
  <c r="L23" i="20"/>
  <c r="K23" i="20"/>
  <c r="A23" i="20"/>
  <c r="O23" i="20" s="1"/>
  <c r="Y22" i="20"/>
  <c r="X22" i="20"/>
  <c r="U22" i="20"/>
  <c r="L22" i="20"/>
  <c r="K22" i="20"/>
  <c r="A22" i="20"/>
  <c r="O22" i="20" s="1"/>
  <c r="Y11" i="20"/>
  <c r="X11" i="20"/>
  <c r="U11" i="20"/>
  <c r="L11" i="20"/>
  <c r="K11" i="20"/>
  <c r="A11" i="20"/>
  <c r="O11" i="20" s="1"/>
  <c r="Y21" i="20"/>
  <c r="X21" i="20"/>
  <c r="U21" i="20"/>
  <c r="L21" i="20"/>
  <c r="K21" i="20"/>
  <c r="A21" i="20"/>
  <c r="O21" i="20" s="1"/>
  <c r="Y20" i="20"/>
  <c r="X20" i="20"/>
  <c r="U20" i="20"/>
  <c r="L20" i="20"/>
  <c r="K20" i="20"/>
  <c r="A20" i="20"/>
  <c r="O20" i="20" s="1"/>
  <c r="Y19" i="20"/>
  <c r="X19" i="20"/>
  <c r="U19" i="20"/>
  <c r="L19" i="20"/>
  <c r="K19" i="20"/>
  <c r="A19" i="20"/>
  <c r="O19" i="20" s="1"/>
  <c r="Y18" i="20"/>
  <c r="X18" i="20"/>
  <c r="U18" i="20"/>
  <c r="L18" i="20"/>
  <c r="K18" i="20"/>
  <c r="A18" i="20"/>
  <c r="O18" i="20" s="1"/>
  <c r="Y17" i="20"/>
  <c r="X17" i="20"/>
  <c r="U17" i="20"/>
  <c r="L17" i="20"/>
  <c r="K17" i="20"/>
  <c r="A17" i="20"/>
  <c r="O17" i="20" s="1"/>
  <c r="Y16" i="20"/>
  <c r="X16" i="20"/>
  <c r="U16" i="20"/>
  <c r="L16" i="20"/>
  <c r="K16" i="20"/>
  <c r="A16" i="20"/>
  <c r="O16" i="20" s="1"/>
  <c r="Y15" i="20"/>
  <c r="X15" i="20"/>
  <c r="U15" i="20"/>
  <c r="L15" i="20"/>
  <c r="K15" i="20"/>
  <c r="A15" i="20"/>
  <c r="O15" i="20" s="1"/>
  <c r="Y14" i="20"/>
  <c r="X14" i="20"/>
  <c r="U14" i="20"/>
  <c r="L14" i="20"/>
  <c r="K14" i="20"/>
  <c r="A14" i="20"/>
  <c r="O14" i="20" s="1"/>
  <c r="L1" i="20"/>
  <c r="B82" i="20" l="1"/>
  <c r="B90" i="20"/>
  <c r="B76" i="20"/>
  <c r="B86" i="20"/>
  <c r="B8" i="20"/>
  <c r="B73" i="20"/>
  <c r="B92" i="20"/>
  <c r="O92" i="20"/>
  <c r="B88" i="20"/>
  <c r="O88" i="20"/>
  <c r="B84" i="20"/>
  <c r="O84" i="20"/>
  <c r="B9" i="20"/>
  <c r="O9" i="20"/>
  <c r="B78" i="20"/>
  <c r="O78" i="20"/>
  <c r="B10" i="20"/>
  <c r="O10" i="20"/>
  <c r="B71" i="20"/>
  <c r="O71" i="20"/>
  <c r="B93" i="20"/>
  <c r="O93" i="20"/>
  <c r="B91" i="20"/>
  <c r="O91" i="20"/>
  <c r="B89" i="20"/>
  <c r="O89" i="20"/>
  <c r="B87" i="20"/>
  <c r="O87" i="20"/>
  <c r="B85" i="20"/>
  <c r="O85" i="20"/>
  <c r="B83" i="20"/>
  <c r="O83" i="20"/>
  <c r="B81" i="20"/>
  <c r="O81" i="20"/>
  <c r="B80" i="20"/>
  <c r="O80" i="20"/>
  <c r="B79" i="20"/>
  <c r="O79" i="20"/>
  <c r="B77" i="20"/>
  <c r="O77" i="20"/>
  <c r="B75" i="20"/>
  <c r="O75" i="20"/>
  <c r="B74" i="20"/>
  <c r="O74" i="20"/>
  <c r="B72" i="20"/>
  <c r="O72" i="20"/>
  <c r="B7" i="20"/>
  <c r="O7" i="20"/>
  <c r="B13" i="20"/>
  <c r="O13" i="20"/>
  <c r="W8" i="20"/>
  <c r="Z13" i="20"/>
  <c r="W73" i="20"/>
  <c r="Z73" i="20"/>
  <c r="Z71" i="20"/>
  <c r="Z12" i="20"/>
  <c r="W18" i="20"/>
  <c r="W11" i="20"/>
  <c r="W25" i="20"/>
  <c r="W29" i="20"/>
  <c r="W33" i="20"/>
  <c r="W76" i="20"/>
  <c r="W12" i="20"/>
  <c r="M92" i="20"/>
  <c r="N92" i="20" s="1"/>
  <c r="M90" i="20"/>
  <c r="N90" i="20" s="1"/>
  <c r="M88" i="20"/>
  <c r="N88" i="20" s="1"/>
  <c r="M86" i="20"/>
  <c r="N86" i="20" s="1"/>
  <c r="M84" i="20"/>
  <c r="N84" i="20" s="1"/>
  <c r="M82" i="20"/>
  <c r="N82" i="20" s="1"/>
  <c r="M9" i="20"/>
  <c r="N9" i="20" s="1"/>
  <c r="M8" i="20"/>
  <c r="N8" i="20" s="1"/>
  <c r="M78" i="20"/>
  <c r="N78" i="20" s="1"/>
  <c r="M76" i="20"/>
  <c r="N76" i="20" s="1"/>
  <c r="M10" i="20"/>
  <c r="N10" i="20" s="1"/>
  <c r="M73" i="20"/>
  <c r="N73" i="20" s="1"/>
  <c r="M71" i="20"/>
  <c r="N71" i="20" s="1"/>
  <c r="M20" i="20"/>
  <c r="N20" i="20" s="1"/>
  <c r="M23" i="20"/>
  <c r="N23" i="20" s="1"/>
  <c r="M27" i="20"/>
  <c r="N27" i="20" s="1"/>
  <c r="M31" i="20"/>
  <c r="N31" i="20" s="1"/>
  <c r="M35" i="20"/>
  <c r="N35" i="20" s="1"/>
  <c r="M47" i="20"/>
  <c r="N47" i="20" s="1"/>
  <c r="M53" i="20"/>
  <c r="N53" i="20" s="1"/>
  <c r="M57" i="20"/>
  <c r="N57" i="20" s="1"/>
  <c r="M61" i="20"/>
  <c r="N61" i="20" s="1"/>
  <c r="M65" i="20"/>
  <c r="N65" i="20" s="1"/>
  <c r="M69" i="20"/>
  <c r="N69" i="20" s="1"/>
  <c r="M91" i="20"/>
  <c r="N91" i="20" s="1"/>
  <c r="M89" i="20"/>
  <c r="N89" i="20" s="1"/>
  <c r="M87" i="20"/>
  <c r="N87" i="20" s="1"/>
  <c r="M85" i="20"/>
  <c r="N85" i="20" s="1"/>
  <c r="M83" i="20"/>
  <c r="N83" i="20" s="1"/>
  <c r="M81" i="20"/>
  <c r="N81" i="20" s="1"/>
  <c r="M80" i="20"/>
  <c r="N80" i="20" s="1"/>
  <c r="M79" i="20"/>
  <c r="N79" i="20" s="1"/>
  <c r="M77" i="20"/>
  <c r="N77" i="20" s="1"/>
  <c r="M75" i="20"/>
  <c r="N75" i="20" s="1"/>
  <c r="M74" i="20"/>
  <c r="N74" i="20" s="1"/>
  <c r="M72" i="20"/>
  <c r="N72" i="20" s="1"/>
  <c r="M7" i="20"/>
  <c r="N7" i="20" s="1"/>
  <c r="M13" i="20"/>
  <c r="N13" i="20" s="1"/>
  <c r="M14" i="20"/>
  <c r="N14" i="20" s="1"/>
  <c r="B16" i="20"/>
  <c r="M17" i="20"/>
  <c r="N17" i="20" s="1"/>
  <c r="M21" i="20"/>
  <c r="N21" i="20" s="1"/>
  <c r="M24" i="20"/>
  <c r="N24" i="20" s="1"/>
  <c r="M28" i="20"/>
  <c r="N28" i="20" s="1"/>
  <c r="M32" i="20"/>
  <c r="N32" i="20" s="1"/>
  <c r="M36" i="20"/>
  <c r="N36" i="20" s="1"/>
  <c r="M40" i="20"/>
  <c r="N40" i="20" s="1"/>
  <c r="M44" i="20"/>
  <c r="N44" i="20" s="1"/>
  <c r="M48" i="20"/>
  <c r="N48" i="20" s="1"/>
  <c r="Z48" i="20"/>
  <c r="M56" i="20"/>
  <c r="W58" i="20"/>
  <c r="M60" i="20"/>
  <c r="W62" i="20"/>
  <c r="M64" i="20"/>
  <c r="N64" i="20" s="1"/>
  <c r="W66" i="20"/>
  <c r="M68" i="20"/>
  <c r="N68" i="20" s="1"/>
  <c r="W70" i="20"/>
  <c r="Z93" i="20"/>
  <c r="W10" i="20"/>
  <c r="W71" i="20"/>
  <c r="M93" i="20"/>
  <c r="N93" i="20" s="1"/>
  <c r="M12" i="20"/>
  <c r="N12" i="20" s="1"/>
  <c r="Z17" i="20"/>
  <c r="Z21" i="20"/>
  <c r="Z24" i="20"/>
  <c r="Z28" i="20"/>
  <c r="Z32" i="20"/>
  <c r="Z36" i="20"/>
  <c r="Z40" i="20"/>
  <c r="Z44" i="20"/>
  <c r="Z91" i="20"/>
  <c r="Z89" i="20"/>
  <c r="Z87" i="20"/>
  <c r="Z85" i="20"/>
  <c r="Z83" i="20"/>
  <c r="Z81" i="20"/>
  <c r="Z80" i="20"/>
  <c r="Z79" i="20"/>
  <c r="Z77" i="20"/>
  <c r="Z75" i="20"/>
  <c r="Z74" i="20"/>
  <c r="Z72" i="20"/>
  <c r="Z7" i="20"/>
  <c r="W78" i="20"/>
  <c r="Z49" i="20"/>
  <c r="Z53" i="20"/>
  <c r="Z57" i="20"/>
  <c r="Z61" i="20"/>
  <c r="Z65" i="20"/>
  <c r="Z69" i="20"/>
  <c r="W50" i="20"/>
  <c r="W54" i="20"/>
  <c r="T87" i="20"/>
  <c r="W37" i="20"/>
  <c r="W41" i="20"/>
  <c r="W45" i="20"/>
  <c r="W93" i="20"/>
  <c r="W91" i="20"/>
  <c r="W89" i="20"/>
  <c r="W87" i="20"/>
  <c r="W85" i="20"/>
  <c r="W83" i="20"/>
  <c r="W81" i="20"/>
  <c r="T74" i="20"/>
  <c r="W14" i="20"/>
  <c r="T17" i="20"/>
  <c r="T21" i="20"/>
  <c r="T24" i="20"/>
  <c r="T28" i="20"/>
  <c r="T32" i="20"/>
  <c r="T36" i="20"/>
  <c r="T40" i="20"/>
  <c r="T44" i="20"/>
  <c r="T48" i="20"/>
  <c r="T80" i="20"/>
  <c r="T53" i="20"/>
  <c r="T57" i="20"/>
  <c r="T61" i="20"/>
  <c r="T65" i="20"/>
  <c r="T69" i="20"/>
  <c r="Z16" i="20"/>
  <c r="T20" i="20"/>
  <c r="Z20" i="20"/>
  <c r="Z23" i="20"/>
  <c r="T31" i="20"/>
  <c r="Z31" i="20"/>
  <c r="T39" i="20"/>
  <c r="Z39" i="20"/>
  <c r="W51" i="20"/>
  <c r="W55" i="20"/>
  <c r="Z78" i="20"/>
  <c r="Z76" i="20"/>
  <c r="Z10" i="20"/>
  <c r="Z9" i="20"/>
  <c r="Z8" i="20"/>
  <c r="T83" i="20"/>
  <c r="T7" i="20"/>
  <c r="T91" i="20"/>
  <c r="T77" i="20"/>
  <c r="T93" i="20"/>
  <c r="T85" i="20"/>
  <c r="T79" i="20"/>
  <c r="T75" i="20"/>
  <c r="T13" i="20"/>
  <c r="T89" i="20"/>
  <c r="T81" i="20"/>
  <c r="T72" i="20"/>
  <c r="W15" i="20"/>
  <c r="T16" i="20"/>
  <c r="T23" i="20"/>
  <c r="T27" i="20"/>
  <c r="Z27" i="20"/>
  <c r="Z84" i="20"/>
  <c r="Z82" i="20"/>
  <c r="W46" i="20"/>
  <c r="W59" i="20"/>
  <c r="W63" i="20"/>
  <c r="W67" i="20"/>
  <c r="Z92" i="20"/>
  <c r="Z90" i="20"/>
  <c r="Z88" i="20"/>
  <c r="Z86" i="20"/>
  <c r="T90" i="20"/>
  <c r="T86" i="20"/>
  <c r="T82" i="20"/>
  <c r="T8" i="20"/>
  <c r="T76" i="20"/>
  <c r="T73" i="20"/>
  <c r="T12" i="20"/>
  <c r="T92" i="20"/>
  <c r="T88" i="20"/>
  <c r="T84" i="20"/>
  <c r="T9" i="20"/>
  <c r="T78" i="20"/>
  <c r="T10" i="20"/>
  <c r="T71" i="20"/>
  <c r="W19" i="20"/>
  <c r="W22" i="20"/>
  <c r="W26" i="20"/>
  <c r="W30" i="20"/>
  <c r="W34" i="20"/>
  <c r="W38" i="20"/>
  <c r="W42" i="20"/>
  <c r="T52" i="20"/>
  <c r="Z52" i="20"/>
  <c r="T56" i="20"/>
  <c r="Z56" i="20"/>
  <c r="T60" i="20"/>
  <c r="Z60" i="20"/>
  <c r="T64" i="20"/>
  <c r="Z64" i="20"/>
  <c r="T68" i="20"/>
  <c r="Z68" i="20"/>
  <c r="T35" i="20"/>
  <c r="Z35" i="20"/>
  <c r="T43" i="20"/>
  <c r="Z43" i="20"/>
  <c r="T47" i="20"/>
  <c r="Z47" i="20"/>
  <c r="W92" i="20"/>
  <c r="W90" i="20"/>
  <c r="W88" i="20"/>
  <c r="W86" i="20"/>
  <c r="W84" i="20"/>
  <c r="W82" i="20"/>
  <c r="W9" i="20"/>
  <c r="B14" i="20"/>
  <c r="T14" i="20"/>
  <c r="Z14" i="20"/>
  <c r="M15" i="20"/>
  <c r="N15" i="20" s="1"/>
  <c r="T15" i="20"/>
  <c r="Z15" i="20"/>
  <c r="M16" i="20"/>
  <c r="N16" i="20" s="1"/>
  <c r="W16" i="20"/>
  <c r="W17" i="20"/>
  <c r="M18" i="20"/>
  <c r="T18" i="20"/>
  <c r="Z18" i="20"/>
  <c r="M19" i="20"/>
  <c r="N19" i="20" s="1"/>
  <c r="T19" i="20"/>
  <c r="Z19" i="20"/>
  <c r="W20" i="20"/>
  <c r="W21" i="20"/>
  <c r="M11" i="20"/>
  <c r="N11" i="20" s="1"/>
  <c r="T11" i="20"/>
  <c r="Z11" i="20"/>
  <c r="M22" i="20"/>
  <c r="N22" i="20" s="1"/>
  <c r="T22" i="20"/>
  <c r="Z22" i="20"/>
  <c r="W23" i="20"/>
  <c r="W24" i="20"/>
  <c r="M25" i="20"/>
  <c r="N25" i="20" s="1"/>
  <c r="T25" i="20"/>
  <c r="Z25" i="20"/>
  <c r="M26" i="20"/>
  <c r="N26" i="20" s="1"/>
  <c r="T26" i="20"/>
  <c r="Z26" i="20"/>
  <c r="W27" i="20"/>
  <c r="W28" i="20"/>
  <c r="M29" i="20"/>
  <c r="N29" i="20" s="1"/>
  <c r="T29" i="20"/>
  <c r="Z29" i="20"/>
  <c r="M30" i="20"/>
  <c r="N30" i="20" s="1"/>
  <c r="T30" i="20"/>
  <c r="Z30" i="20"/>
  <c r="W31" i="20"/>
  <c r="W32" i="20"/>
  <c r="M33" i="20"/>
  <c r="N33" i="20" s="1"/>
  <c r="T33" i="20"/>
  <c r="Z33" i="20"/>
  <c r="M34" i="20"/>
  <c r="N34" i="20" s="1"/>
  <c r="T34" i="20"/>
  <c r="Z34" i="20"/>
  <c r="W35" i="20"/>
  <c r="W36" i="20"/>
  <c r="T37" i="20"/>
  <c r="Z37" i="20"/>
  <c r="M38" i="20"/>
  <c r="N38" i="20" s="1"/>
  <c r="T38" i="20"/>
  <c r="Z38" i="20"/>
  <c r="W39" i="20"/>
  <c r="W40" i="20"/>
  <c r="T41" i="20"/>
  <c r="Z41" i="20"/>
  <c r="M42" i="20"/>
  <c r="N42" i="20" s="1"/>
  <c r="T42" i="20"/>
  <c r="Z42" i="20"/>
  <c r="W43" i="20"/>
  <c r="W44" i="20"/>
  <c r="M45" i="20"/>
  <c r="T45" i="20"/>
  <c r="Z45" i="20"/>
  <c r="M46" i="20"/>
  <c r="N46" i="20" s="1"/>
  <c r="T46" i="20"/>
  <c r="Z46" i="20"/>
  <c r="W47" i="20"/>
  <c r="W48" i="20"/>
  <c r="M49" i="20"/>
  <c r="N49" i="20" s="1"/>
  <c r="T49" i="20"/>
  <c r="T50" i="20"/>
  <c r="Z50" i="20"/>
  <c r="M51" i="20"/>
  <c r="N51" i="20" s="1"/>
  <c r="T51" i="20"/>
  <c r="Z51" i="20"/>
  <c r="W52" i="20"/>
  <c r="W53" i="20"/>
  <c r="M54" i="20"/>
  <c r="T54" i="20"/>
  <c r="Z54" i="20"/>
  <c r="M55" i="20"/>
  <c r="N55" i="20" s="1"/>
  <c r="T55" i="20"/>
  <c r="Z55" i="20"/>
  <c r="W56" i="20"/>
  <c r="W57" i="20"/>
  <c r="M58" i="20"/>
  <c r="T58" i="20"/>
  <c r="Z58" i="20"/>
  <c r="M59" i="20"/>
  <c r="N59" i="20" s="1"/>
  <c r="T59" i="20"/>
  <c r="Z59" i="20"/>
  <c r="W60" i="20"/>
  <c r="W61" i="20"/>
  <c r="M62" i="20"/>
  <c r="T62" i="20"/>
  <c r="Z62" i="20"/>
  <c r="M63" i="20"/>
  <c r="N63" i="20" s="1"/>
  <c r="T63" i="20"/>
  <c r="Z63" i="20"/>
  <c r="W64" i="20"/>
  <c r="W65" i="20"/>
  <c r="M66" i="20"/>
  <c r="N66" i="20" s="1"/>
  <c r="T66" i="20"/>
  <c r="Z66" i="20"/>
  <c r="M67" i="20"/>
  <c r="N67" i="20" s="1"/>
  <c r="T67" i="20"/>
  <c r="Z67" i="20"/>
  <c r="W68" i="20"/>
  <c r="W69" i="20"/>
  <c r="M70" i="20"/>
  <c r="N70" i="20" s="1"/>
  <c r="T70" i="20"/>
  <c r="Z70" i="20"/>
  <c r="B20" i="20"/>
  <c r="B23" i="20"/>
  <c r="B27" i="20"/>
  <c r="B31" i="20"/>
  <c r="B35" i="20"/>
  <c r="B11" i="20"/>
  <c r="B25" i="20"/>
  <c r="B29" i="20"/>
  <c r="B33" i="20"/>
  <c r="B15" i="20"/>
  <c r="B17" i="20"/>
  <c r="B19" i="20"/>
  <c r="B21" i="20"/>
  <c r="B22" i="20"/>
  <c r="B24" i="20"/>
  <c r="B26" i="20"/>
  <c r="B28" i="20"/>
  <c r="B30" i="20"/>
  <c r="B32" i="20"/>
  <c r="B34" i="20"/>
  <c r="B36" i="20"/>
  <c r="M37" i="20"/>
  <c r="N37" i="20" s="1"/>
  <c r="M39" i="20"/>
  <c r="N39" i="20" s="1"/>
  <c r="M41" i="20"/>
  <c r="N41" i="20" s="1"/>
  <c r="M43" i="20"/>
  <c r="N43" i="20" s="1"/>
  <c r="B47" i="20"/>
  <c r="B38" i="20"/>
  <c r="B40" i="20"/>
  <c r="B42" i="20"/>
  <c r="B44" i="20"/>
  <c r="B46" i="20"/>
  <c r="B49" i="20"/>
  <c r="B48" i="20"/>
  <c r="W49" i="20"/>
  <c r="M50" i="20"/>
  <c r="N50" i="20" s="1"/>
  <c r="M52" i="20"/>
  <c r="N52" i="20" s="1"/>
  <c r="B64" i="20"/>
  <c r="B68" i="20"/>
  <c r="B51" i="20"/>
  <c r="B53" i="20"/>
  <c r="B55" i="20"/>
  <c r="B57" i="20"/>
  <c r="B59" i="20"/>
  <c r="B61" i="20"/>
  <c r="B63" i="20"/>
  <c r="B66" i="20"/>
  <c r="B70" i="20"/>
  <c r="B65" i="20"/>
  <c r="B67" i="20"/>
  <c r="B69" i="20"/>
  <c r="P71" i="20" l="1"/>
  <c r="P10" i="20"/>
  <c r="P78" i="20"/>
  <c r="P9" i="20"/>
  <c r="P84" i="20"/>
  <c r="P88" i="20"/>
  <c r="P92" i="20"/>
  <c r="P80" i="20"/>
  <c r="B62" i="20"/>
  <c r="N62" i="20"/>
  <c r="B58" i="20"/>
  <c r="N58" i="20"/>
  <c r="B54" i="20"/>
  <c r="N54" i="20"/>
  <c r="B45" i="20"/>
  <c r="N45" i="20"/>
  <c r="B18" i="20"/>
  <c r="N18" i="20"/>
  <c r="P27" i="20"/>
  <c r="P72" i="20"/>
  <c r="P81" i="20"/>
  <c r="P89" i="20"/>
  <c r="P13" i="20"/>
  <c r="P75" i="20"/>
  <c r="P79" i="20"/>
  <c r="P85" i="20"/>
  <c r="P20" i="20"/>
  <c r="B60" i="20"/>
  <c r="N60" i="20"/>
  <c r="B56" i="20"/>
  <c r="N56" i="20"/>
  <c r="P41" i="20"/>
  <c r="P83" i="20"/>
  <c r="P35" i="20"/>
  <c r="P73" i="20"/>
  <c r="P76" i="20"/>
  <c r="P8" i="20"/>
  <c r="P82" i="20"/>
  <c r="P86" i="20"/>
  <c r="P90" i="20"/>
  <c r="P50" i="20"/>
  <c r="P43" i="20"/>
  <c r="P39" i="20"/>
  <c r="P48" i="20"/>
  <c r="P64" i="20"/>
  <c r="P74" i="20"/>
  <c r="P87" i="20"/>
  <c r="P91" i="20"/>
  <c r="P31" i="20"/>
  <c r="P61" i="20"/>
  <c r="P53" i="20"/>
  <c r="P21" i="20"/>
  <c r="P69" i="20"/>
  <c r="P44" i="20"/>
  <c r="P36" i="20"/>
  <c r="P65" i="20"/>
  <c r="P17" i="20"/>
  <c r="P68" i="20"/>
  <c r="P60" i="20"/>
  <c r="P56" i="20"/>
  <c r="P14" i="20"/>
  <c r="P23" i="20"/>
  <c r="P57" i="20"/>
  <c r="P40" i="20"/>
  <c r="P32" i="20"/>
  <c r="P24" i="20"/>
  <c r="P47" i="20"/>
  <c r="P93" i="20"/>
  <c r="P77" i="20"/>
  <c r="P7" i="20"/>
  <c r="P28" i="20"/>
  <c r="P12" i="20"/>
  <c r="P33" i="20"/>
  <c r="P19" i="20"/>
  <c r="P30" i="20"/>
  <c r="P22" i="20"/>
  <c r="P49" i="20"/>
  <c r="P11" i="20"/>
  <c r="P70" i="20"/>
  <c r="P66" i="20"/>
  <c r="P25" i="20"/>
  <c r="P46" i="20"/>
  <c r="P42" i="20"/>
  <c r="P52" i="20"/>
  <c r="P37" i="20"/>
  <c r="P29" i="20"/>
  <c r="P34" i="20"/>
  <c r="P26" i="20"/>
  <c r="P51" i="20"/>
  <c r="P67" i="20"/>
  <c r="P63" i="20"/>
  <c r="P59" i="20"/>
  <c r="P55" i="20"/>
  <c r="P38" i="20"/>
  <c r="P15" i="20"/>
  <c r="P54" i="20"/>
  <c r="P18" i="20"/>
  <c r="P62" i="20"/>
  <c r="P58" i="20"/>
  <c r="P45" i="20"/>
  <c r="P16" i="20"/>
  <c r="B50" i="20"/>
  <c r="B41" i="20"/>
  <c r="B37" i="20"/>
  <c r="B52" i="20"/>
  <c r="B43" i="20"/>
  <c r="B39" i="20"/>
  <c r="C4" i="19" l="1"/>
  <c r="C5" i="19"/>
  <c r="C3" i="19"/>
  <c r="D4" i="19"/>
  <c r="D5" i="19"/>
  <c r="D3" i="19"/>
  <c r="E4" i="19"/>
  <c r="E5" i="19"/>
  <c r="E3" i="19"/>
  <c r="A7" i="17" l="1"/>
  <c r="O7" i="17" s="1"/>
  <c r="A8" i="17"/>
  <c r="O8" i="17" s="1"/>
  <c r="A9" i="17"/>
  <c r="O9" i="17" s="1"/>
  <c r="A10" i="17"/>
  <c r="O10" i="17" s="1"/>
  <c r="A11" i="17"/>
  <c r="O11" i="17" s="1"/>
  <c r="A12" i="17"/>
  <c r="O12" i="17" s="1"/>
  <c r="A13" i="17"/>
  <c r="O13" i="17" s="1"/>
  <c r="A14" i="17"/>
  <c r="O14" i="17" s="1"/>
  <c r="A15" i="17"/>
  <c r="O15" i="17" s="1"/>
  <c r="A16" i="17"/>
  <c r="O16" i="17" s="1"/>
  <c r="A17" i="17"/>
  <c r="O17" i="17" s="1"/>
  <c r="A18" i="17"/>
  <c r="O18" i="17" s="1"/>
  <c r="A19" i="17"/>
  <c r="O19" i="17" s="1"/>
  <c r="A20" i="17"/>
  <c r="O20" i="17" s="1"/>
  <c r="A21" i="17"/>
  <c r="O21" i="17" s="1"/>
  <c r="A22" i="17"/>
  <c r="O22" i="17" s="1"/>
  <c r="A23" i="17"/>
  <c r="O23" i="17" s="1"/>
  <c r="A24" i="17"/>
  <c r="O24" i="17" s="1"/>
  <c r="A25" i="17"/>
  <c r="O25" i="17" s="1"/>
  <c r="A26" i="17"/>
  <c r="O26" i="17" s="1"/>
  <c r="A27" i="17"/>
  <c r="O27" i="17" s="1"/>
  <c r="A28" i="17"/>
  <c r="O28" i="17" s="1"/>
  <c r="A29" i="17"/>
  <c r="O29" i="17" s="1"/>
  <c r="A30" i="17"/>
  <c r="O30" i="17" s="1"/>
  <c r="A31" i="17"/>
  <c r="O31" i="17" s="1"/>
  <c r="A32" i="17"/>
  <c r="O32" i="17" s="1"/>
  <c r="A33" i="17"/>
  <c r="O33" i="17" s="1"/>
  <c r="A34" i="17"/>
  <c r="O34" i="17" s="1"/>
  <c r="A35" i="17"/>
  <c r="O35" i="17" s="1"/>
  <c r="A36" i="17"/>
  <c r="O36" i="17" s="1"/>
  <c r="A37" i="17"/>
  <c r="O37" i="17" s="1"/>
  <c r="A38" i="17"/>
  <c r="O38" i="17" s="1"/>
  <c r="A39" i="17"/>
  <c r="O39" i="17" s="1"/>
  <c r="A40" i="17"/>
  <c r="O40" i="17" s="1"/>
  <c r="A41" i="17"/>
  <c r="O41" i="17" s="1"/>
  <c r="A42" i="17"/>
  <c r="O42" i="17" s="1"/>
  <c r="A43" i="17"/>
  <c r="O43" i="17" s="1"/>
  <c r="A44" i="17"/>
  <c r="O44" i="17" s="1"/>
  <c r="A45" i="17"/>
  <c r="O45" i="17" s="1"/>
  <c r="A46" i="17"/>
  <c r="O46" i="17" s="1"/>
  <c r="A47" i="17"/>
  <c r="O47" i="17" s="1"/>
  <c r="A48" i="17"/>
  <c r="O48" i="17" s="1"/>
  <c r="A49" i="17"/>
  <c r="O49" i="17" s="1"/>
  <c r="A50" i="17"/>
  <c r="O50" i="17" s="1"/>
  <c r="A51" i="17"/>
  <c r="O51" i="17" s="1"/>
  <c r="A52" i="17"/>
  <c r="O52" i="17" s="1"/>
  <c r="A53" i="17"/>
  <c r="O53" i="17" s="1"/>
  <c r="A54" i="17"/>
  <c r="O54" i="17" s="1"/>
  <c r="A55" i="17"/>
  <c r="O55" i="17" s="1"/>
  <c r="A56" i="17"/>
  <c r="O56" i="17" s="1"/>
  <c r="A57" i="17"/>
  <c r="O57" i="17" s="1"/>
  <c r="A58" i="17"/>
  <c r="O58" i="17" s="1"/>
  <c r="A59" i="17"/>
  <c r="O59" i="17" s="1"/>
  <c r="A60" i="17"/>
  <c r="O60" i="17" s="1"/>
  <c r="A61" i="17"/>
  <c r="O61" i="17" s="1"/>
  <c r="A62" i="17"/>
  <c r="O62" i="17" s="1"/>
  <c r="A63" i="17"/>
  <c r="O63" i="17" s="1"/>
  <c r="A64" i="17"/>
  <c r="O64" i="17" s="1"/>
  <c r="A65" i="17"/>
  <c r="O65" i="17" s="1"/>
  <c r="A66" i="17"/>
  <c r="O66" i="17" s="1"/>
  <c r="A67" i="17"/>
  <c r="O67" i="17" s="1"/>
  <c r="A68" i="17"/>
  <c r="O68" i="17" s="1"/>
  <c r="A69" i="17"/>
  <c r="O69" i="17" s="1"/>
  <c r="A70" i="17"/>
  <c r="O70" i="17" s="1"/>
  <c r="A71" i="17"/>
  <c r="O71" i="17" s="1"/>
  <c r="A72" i="17"/>
  <c r="O72" i="17" s="1"/>
  <c r="A73" i="17"/>
  <c r="O73" i="17" s="1"/>
  <c r="A74" i="17"/>
  <c r="O74" i="17" s="1"/>
  <c r="A119" i="16"/>
  <c r="O119" i="16" s="1"/>
  <c r="A7" i="16"/>
  <c r="O7" i="16" s="1"/>
  <c r="A120" i="16"/>
  <c r="O120" i="16" s="1"/>
  <c r="A17" i="16"/>
  <c r="O17" i="16" s="1"/>
  <c r="A14" i="16"/>
  <c r="O14" i="16" s="1"/>
  <c r="A118" i="16"/>
  <c r="O118" i="16" s="1"/>
  <c r="A15" i="16"/>
  <c r="O15" i="16" s="1"/>
  <c r="A18" i="16"/>
  <c r="O18" i="16" s="1"/>
  <c r="A121" i="16"/>
  <c r="O121" i="16" s="1"/>
  <c r="A11" i="16"/>
  <c r="O11" i="16" s="1"/>
  <c r="A16" i="16"/>
  <c r="O16" i="16" s="1"/>
  <c r="A13" i="16"/>
  <c r="O13" i="16" s="1"/>
  <c r="A9" i="16"/>
  <c r="O9" i="16" s="1"/>
  <c r="A122" i="16"/>
  <c r="O122" i="16" s="1"/>
  <c r="A19" i="16"/>
  <c r="O19" i="16" s="1"/>
  <c r="A20" i="16"/>
  <c r="O20" i="16" s="1"/>
  <c r="A21" i="16"/>
  <c r="O21" i="16" s="1"/>
  <c r="A123" i="16"/>
  <c r="O123" i="16" s="1"/>
  <c r="A22" i="16"/>
  <c r="O22" i="16" s="1"/>
  <c r="A23" i="16"/>
  <c r="O23" i="16" s="1"/>
  <c r="A24" i="16"/>
  <c r="O24" i="16" s="1"/>
  <c r="A12" i="16"/>
  <c r="O12" i="16" s="1"/>
  <c r="A25" i="16"/>
  <c r="O25" i="16" s="1"/>
  <c r="A26" i="16"/>
  <c r="O26" i="16" s="1"/>
  <c r="A27" i="16"/>
  <c r="O27" i="16" s="1"/>
  <c r="A28" i="16"/>
  <c r="O28" i="16" s="1"/>
  <c r="A29" i="16"/>
  <c r="O29" i="16" s="1"/>
  <c r="A30" i="16"/>
  <c r="O30" i="16" s="1"/>
  <c r="A31" i="16"/>
  <c r="O31" i="16" s="1"/>
  <c r="A32" i="16"/>
  <c r="O32" i="16" s="1"/>
  <c r="A33" i="16"/>
  <c r="O33" i="16" s="1"/>
  <c r="A34" i="16"/>
  <c r="O34" i="16" s="1"/>
  <c r="A35" i="16"/>
  <c r="O35" i="16" s="1"/>
  <c r="A36" i="16"/>
  <c r="O36" i="16" s="1"/>
  <c r="A37" i="16"/>
  <c r="O37" i="16" s="1"/>
  <c r="A38" i="16"/>
  <c r="O38" i="16" s="1"/>
  <c r="A39" i="16"/>
  <c r="O39" i="16" s="1"/>
  <c r="A40" i="16"/>
  <c r="O40" i="16" s="1"/>
  <c r="A41" i="16"/>
  <c r="O41" i="16" s="1"/>
  <c r="A42" i="16"/>
  <c r="O42" i="16" s="1"/>
  <c r="A43" i="16"/>
  <c r="O43" i="16" s="1"/>
  <c r="A44" i="16"/>
  <c r="O44" i="16" s="1"/>
  <c r="A45" i="16"/>
  <c r="O45" i="16" s="1"/>
  <c r="A46" i="16"/>
  <c r="O46" i="16" s="1"/>
  <c r="A47" i="16"/>
  <c r="O47" i="16" s="1"/>
  <c r="A48" i="16"/>
  <c r="O48" i="16" s="1"/>
  <c r="A49" i="16"/>
  <c r="O49" i="16" s="1"/>
  <c r="A50" i="16"/>
  <c r="O50" i="16" s="1"/>
  <c r="A51" i="16"/>
  <c r="O51" i="16" s="1"/>
  <c r="A52" i="16"/>
  <c r="O52" i="16" s="1"/>
  <c r="A53" i="16"/>
  <c r="O53" i="16" s="1"/>
  <c r="A54" i="16"/>
  <c r="O54" i="16" s="1"/>
  <c r="A55" i="16"/>
  <c r="O55" i="16" s="1"/>
  <c r="A56" i="16"/>
  <c r="O56" i="16" s="1"/>
  <c r="A57" i="16"/>
  <c r="O57" i="16" s="1"/>
  <c r="A58" i="16"/>
  <c r="O58" i="16" s="1"/>
  <c r="A59" i="16"/>
  <c r="O59" i="16" s="1"/>
  <c r="A60" i="16"/>
  <c r="O60" i="16" s="1"/>
  <c r="A61" i="16"/>
  <c r="O61" i="16" s="1"/>
  <c r="A62" i="16"/>
  <c r="O62" i="16" s="1"/>
  <c r="A63" i="16"/>
  <c r="O63" i="16" s="1"/>
  <c r="A64" i="16"/>
  <c r="O64" i="16" s="1"/>
  <c r="A65" i="16"/>
  <c r="O65" i="16" s="1"/>
  <c r="A66" i="16"/>
  <c r="O66" i="16" s="1"/>
  <c r="A67" i="16"/>
  <c r="O67" i="16" s="1"/>
  <c r="A68" i="16"/>
  <c r="O68" i="16" s="1"/>
  <c r="A69" i="16"/>
  <c r="O69" i="16" s="1"/>
  <c r="A70" i="16"/>
  <c r="O70" i="16" s="1"/>
  <c r="A71" i="16"/>
  <c r="O71" i="16" s="1"/>
  <c r="A72" i="16"/>
  <c r="O72" i="16" s="1"/>
  <c r="A73" i="16"/>
  <c r="O73" i="16" s="1"/>
  <c r="A74" i="16"/>
  <c r="O74" i="16" s="1"/>
  <c r="A75" i="16"/>
  <c r="O75" i="16" s="1"/>
  <c r="A76" i="16"/>
  <c r="O76" i="16" s="1"/>
  <c r="A77" i="16"/>
  <c r="O77" i="16" s="1"/>
  <c r="A78" i="16"/>
  <c r="O78" i="16" s="1"/>
  <c r="A79" i="16"/>
  <c r="O79" i="16" s="1"/>
  <c r="A80" i="16"/>
  <c r="O80" i="16" s="1"/>
  <c r="A81" i="16"/>
  <c r="O81" i="16" s="1"/>
  <c r="A82" i="16"/>
  <c r="O82" i="16" s="1"/>
  <c r="A83" i="16"/>
  <c r="O83" i="16" s="1"/>
  <c r="A84" i="16"/>
  <c r="O84" i="16" s="1"/>
  <c r="A85" i="16"/>
  <c r="O85" i="16" s="1"/>
  <c r="A86" i="16"/>
  <c r="O86" i="16" s="1"/>
  <c r="A87" i="16"/>
  <c r="O87" i="16" s="1"/>
  <c r="A88" i="16"/>
  <c r="O88" i="16" s="1"/>
  <c r="A124" i="16"/>
  <c r="O124" i="16" s="1"/>
  <c r="A125" i="16"/>
  <c r="O125" i="16" s="1"/>
  <c r="A89" i="16"/>
  <c r="O89" i="16" s="1"/>
  <c r="A90" i="16"/>
  <c r="O90" i="16" s="1"/>
  <c r="A91" i="16"/>
  <c r="O91" i="16" s="1"/>
  <c r="A92" i="16"/>
  <c r="O92" i="16" s="1"/>
  <c r="A93" i="16"/>
  <c r="O93" i="16" s="1"/>
  <c r="A94" i="16"/>
  <c r="O94" i="16" s="1"/>
  <c r="A95" i="16"/>
  <c r="O95" i="16" s="1"/>
  <c r="A96" i="16"/>
  <c r="O96" i="16" s="1"/>
  <c r="A97" i="16"/>
  <c r="O97" i="16" s="1"/>
  <c r="A98" i="16"/>
  <c r="O98" i="16" s="1"/>
  <c r="A10" i="16"/>
  <c r="O10" i="16" s="1"/>
  <c r="A99" i="16"/>
  <c r="O99" i="16" s="1"/>
  <c r="A100" i="16"/>
  <c r="O100" i="16" s="1"/>
  <c r="A101" i="16"/>
  <c r="O101" i="16" s="1"/>
  <c r="A102" i="16"/>
  <c r="O102" i="16" s="1"/>
  <c r="A103" i="16"/>
  <c r="O103" i="16" s="1"/>
  <c r="A104" i="16"/>
  <c r="O104" i="16" s="1"/>
  <c r="A105" i="16"/>
  <c r="O105" i="16" s="1"/>
  <c r="A106" i="16"/>
  <c r="O106" i="16" s="1"/>
  <c r="A107" i="16"/>
  <c r="O107" i="16" s="1"/>
  <c r="A108" i="16"/>
  <c r="O108" i="16" s="1"/>
  <c r="A109" i="16"/>
  <c r="O109" i="16" s="1"/>
  <c r="A110" i="16"/>
  <c r="O110" i="16" s="1"/>
  <c r="A111" i="16"/>
  <c r="O111" i="16" s="1"/>
  <c r="A112" i="16"/>
  <c r="O112" i="16" s="1"/>
  <c r="A8" i="16"/>
  <c r="O8" i="16" s="1"/>
  <c r="A113" i="16"/>
  <c r="O113" i="16" s="1"/>
  <c r="A114" i="16"/>
  <c r="O114" i="16" s="1"/>
  <c r="A115" i="16"/>
  <c r="O115" i="16" s="1"/>
  <c r="A116" i="16"/>
  <c r="O116" i="16" s="1"/>
  <c r="A117" i="16"/>
  <c r="O117" i="16" s="1"/>
  <c r="A126" i="16"/>
  <c r="O126" i="16" s="1"/>
  <c r="A127" i="16"/>
  <c r="O127" i="16" s="1"/>
  <c r="A128" i="16"/>
  <c r="O128" i="16" s="1"/>
  <c r="A129" i="16"/>
  <c r="O129" i="16" s="1"/>
  <c r="A130" i="16"/>
  <c r="O130" i="16" s="1"/>
  <c r="A131" i="16"/>
  <c r="O131" i="16" s="1"/>
  <c r="A132" i="16"/>
  <c r="O132" i="16" s="1"/>
  <c r="A133" i="16"/>
  <c r="O133" i="16" s="1"/>
  <c r="A134" i="16"/>
  <c r="O134" i="16" s="1"/>
  <c r="A7" i="15"/>
  <c r="A8" i="15"/>
  <c r="O8" i="15" s="1"/>
  <c r="A120" i="15"/>
  <c r="O120" i="15" s="1"/>
  <c r="A99" i="15"/>
  <c r="O99" i="15" s="1"/>
  <c r="A100" i="15"/>
  <c r="O100" i="15" s="1"/>
  <c r="A101" i="15"/>
  <c r="O101" i="15" s="1"/>
  <c r="A12" i="15"/>
  <c r="O12" i="15" s="1"/>
  <c r="A9" i="15"/>
  <c r="O9" i="15" s="1"/>
  <c r="A11" i="15"/>
  <c r="O11" i="15" s="1"/>
  <c r="A10" i="15"/>
  <c r="O10" i="15" s="1"/>
  <c r="A15" i="15"/>
  <c r="O15" i="15" s="1"/>
  <c r="A13" i="15"/>
  <c r="O13" i="15" s="1"/>
  <c r="A16" i="15"/>
  <c r="O16" i="15" s="1"/>
  <c r="A44" i="15"/>
  <c r="O44" i="15" s="1"/>
  <c r="A18" i="15"/>
  <c r="O18" i="15" s="1"/>
  <c r="A49" i="15"/>
  <c r="O49" i="15" s="1"/>
  <c r="A14" i="15"/>
  <c r="O14" i="15" s="1"/>
  <c r="A36" i="15"/>
  <c r="O36" i="15" s="1"/>
  <c r="A26" i="15"/>
  <c r="O26" i="15" s="1"/>
  <c r="A17" i="15"/>
  <c r="O17" i="15" s="1"/>
  <c r="A25" i="15"/>
  <c r="O25" i="15" s="1"/>
  <c r="A45" i="15"/>
  <c r="O45" i="15" s="1"/>
  <c r="A48" i="15"/>
  <c r="O48" i="15" s="1"/>
  <c r="A33" i="15"/>
  <c r="O33" i="15" s="1"/>
  <c r="A31" i="15"/>
  <c r="O31" i="15" s="1"/>
  <c r="A42" i="15"/>
  <c r="O42" i="15" s="1"/>
  <c r="A22" i="15"/>
  <c r="O22" i="15" s="1"/>
  <c r="A19" i="15"/>
  <c r="O19" i="15" s="1"/>
  <c r="A23" i="15"/>
  <c r="O23" i="15" s="1"/>
  <c r="A50" i="15"/>
  <c r="O50" i="15" s="1"/>
  <c r="A60" i="15"/>
  <c r="O60" i="15" s="1"/>
  <c r="A20" i="15"/>
  <c r="O20" i="15" s="1"/>
  <c r="A63" i="15"/>
  <c r="O63" i="15" s="1"/>
  <c r="A21" i="15"/>
  <c r="O21" i="15" s="1"/>
  <c r="A30" i="15"/>
  <c r="O30" i="15" s="1"/>
  <c r="A51" i="15"/>
  <c r="O51" i="15" s="1"/>
  <c r="A52" i="15"/>
  <c r="O52" i="15" s="1"/>
  <c r="A28" i="15"/>
  <c r="O28" i="15" s="1"/>
  <c r="A37" i="15"/>
  <c r="O37" i="15" s="1"/>
  <c r="A32" i="15"/>
  <c r="O32" i="15" s="1"/>
  <c r="A53" i="15"/>
  <c r="O53" i="15" s="1"/>
  <c r="A40" i="15"/>
  <c r="O40" i="15" s="1"/>
  <c r="A38" i="15"/>
  <c r="O38" i="15" s="1"/>
  <c r="A29" i="15"/>
  <c r="O29" i="15" s="1"/>
  <c r="A43" i="15"/>
  <c r="O43" i="15" s="1"/>
  <c r="A46" i="15"/>
  <c r="O46" i="15" s="1"/>
  <c r="A24" i="15"/>
  <c r="O24" i="15" s="1"/>
  <c r="A64" i="15"/>
  <c r="O64" i="15" s="1"/>
  <c r="A39" i="15"/>
  <c r="O39" i="15" s="1"/>
  <c r="A47" i="15"/>
  <c r="O47" i="15" s="1"/>
  <c r="A54" i="15"/>
  <c r="O54" i="15" s="1"/>
  <c r="A41" i="15"/>
  <c r="O41" i="15" s="1"/>
  <c r="A65" i="15"/>
  <c r="O65" i="15" s="1"/>
  <c r="A55" i="15"/>
  <c r="O55" i="15" s="1"/>
  <c r="A56" i="15"/>
  <c r="O56" i="15" s="1"/>
  <c r="A57" i="15"/>
  <c r="O57" i="15" s="1"/>
  <c r="A58" i="15"/>
  <c r="O58" i="15" s="1"/>
  <c r="A59" i="15"/>
  <c r="O59" i="15" s="1"/>
  <c r="A27" i="15"/>
  <c r="O27" i="15" s="1"/>
  <c r="A66" i="15"/>
  <c r="O66" i="15" s="1"/>
  <c r="A67" i="15"/>
  <c r="O67" i="15" s="1"/>
  <c r="A68" i="15"/>
  <c r="O68" i="15" s="1"/>
  <c r="A121" i="15"/>
  <c r="O121" i="15" s="1"/>
  <c r="A122" i="15"/>
  <c r="O122" i="15" s="1"/>
  <c r="A123" i="15"/>
  <c r="O123" i="15" s="1"/>
  <c r="A124" i="15"/>
  <c r="O124" i="15" s="1"/>
  <c r="A125" i="15"/>
  <c r="O125" i="15" s="1"/>
  <c r="A126" i="15"/>
  <c r="O126" i="15" s="1"/>
  <c r="A69" i="15"/>
  <c r="O69" i="15" s="1"/>
  <c r="A70" i="15"/>
  <c r="O70" i="15" s="1"/>
  <c r="A71" i="15"/>
  <c r="O71" i="15" s="1"/>
  <c r="A72" i="15"/>
  <c r="O72" i="15" s="1"/>
  <c r="A73" i="15"/>
  <c r="O73" i="15" s="1"/>
  <c r="A74" i="15"/>
  <c r="O74" i="15" s="1"/>
  <c r="A75" i="15"/>
  <c r="O75" i="15" s="1"/>
  <c r="A76" i="15"/>
  <c r="O76" i="15" s="1"/>
  <c r="A77" i="15"/>
  <c r="O77" i="15" s="1"/>
  <c r="A78" i="15"/>
  <c r="O78" i="15" s="1"/>
  <c r="A79" i="15"/>
  <c r="O79" i="15" s="1"/>
  <c r="A80" i="15"/>
  <c r="O80" i="15" s="1"/>
  <c r="A81" i="15"/>
  <c r="O81" i="15" s="1"/>
  <c r="A82" i="15"/>
  <c r="O82" i="15" s="1"/>
  <c r="A83" i="15"/>
  <c r="O83" i="15" s="1"/>
  <c r="A84" i="15"/>
  <c r="O84" i="15" s="1"/>
  <c r="A85" i="15"/>
  <c r="O85" i="15" s="1"/>
  <c r="A86" i="15"/>
  <c r="O86" i="15" s="1"/>
  <c r="A127" i="15"/>
  <c r="O127" i="15" s="1"/>
  <c r="A128" i="15"/>
  <c r="O128" i="15" s="1"/>
  <c r="A129" i="15"/>
  <c r="O129" i="15" s="1"/>
  <c r="A130" i="15"/>
  <c r="O130" i="15" s="1"/>
  <c r="A131" i="15"/>
  <c r="O131" i="15" s="1"/>
  <c r="A132" i="15"/>
  <c r="O132" i="15" s="1"/>
  <c r="A133" i="15"/>
  <c r="O133" i="15" s="1"/>
  <c r="A134" i="15"/>
  <c r="O134" i="15" s="1"/>
  <c r="A135" i="15"/>
  <c r="O135" i="15" s="1"/>
  <c r="A136" i="15"/>
  <c r="O136" i="15" s="1"/>
  <c r="A137" i="15"/>
  <c r="O137" i="15" s="1"/>
  <c r="A138" i="15"/>
  <c r="O138" i="15" s="1"/>
  <c r="A139" i="15"/>
  <c r="O139" i="15" s="1"/>
  <c r="A140" i="15"/>
  <c r="O140" i="15" s="1"/>
  <c r="A87" i="15"/>
  <c r="O87" i="15" s="1"/>
  <c r="A141" i="15"/>
  <c r="O141" i="15" s="1"/>
  <c r="A142" i="15"/>
  <c r="O142" i="15" s="1"/>
  <c r="A115" i="15"/>
  <c r="O115" i="15" s="1"/>
  <c r="A88" i="15"/>
  <c r="O88" i="15" s="1"/>
  <c r="A116" i="15"/>
  <c r="O116" i="15" s="1"/>
  <c r="A35" i="15"/>
  <c r="O35" i="15" s="1"/>
  <c r="A104" i="15"/>
  <c r="O104" i="15" s="1"/>
  <c r="A105" i="15"/>
  <c r="O105" i="15" s="1"/>
  <c r="A143" i="15"/>
  <c r="O143" i="15" s="1"/>
  <c r="A144" i="15"/>
  <c r="O144" i="15" s="1"/>
  <c r="A145" i="15"/>
  <c r="O145" i="15" s="1"/>
  <c r="A146" i="15"/>
  <c r="O146" i="15" s="1"/>
  <c r="A89" i="15"/>
  <c r="O89" i="15" s="1"/>
  <c r="A90" i="15"/>
  <c r="O90" i="15" s="1"/>
  <c r="A106" i="15"/>
  <c r="O106" i="15" s="1"/>
  <c r="A147" i="15"/>
  <c r="O147" i="15" s="1"/>
  <c r="A107" i="15"/>
  <c r="O107" i="15" s="1"/>
  <c r="A148" i="15"/>
  <c r="O148" i="15" s="1"/>
  <c r="A108" i="15"/>
  <c r="O108" i="15" s="1"/>
  <c r="A149" i="15"/>
  <c r="O149" i="15" s="1"/>
  <c r="A109" i="15"/>
  <c r="O109" i="15" s="1"/>
  <c r="A150" i="15"/>
  <c r="O150" i="15" s="1"/>
  <c r="A110" i="15"/>
  <c r="O110" i="15" s="1"/>
  <c r="A151" i="15"/>
  <c r="O151" i="15" s="1"/>
  <c r="A91" i="15"/>
  <c r="O91" i="15" s="1"/>
  <c r="A152" i="15"/>
  <c r="O152" i="15" s="1"/>
  <c r="A92" i="15"/>
  <c r="O92" i="15" s="1"/>
  <c r="A153" i="15"/>
  <c r="O153" i="15" s="1"/>
  <c r="A117" i="15"/>
  <c r="O117" i="15" s="1"/>
  <c r="A118" i="15"/>
  <c r="O118" i="15" s="1"/>
  <c r="A119" i="15"/>
  <c r="O119" i="15" s="1"/>
  <c r="A154" i="15"/>
  <c r="O154" i="15" s="1"/>
  <c r="A155" i="15"/>
  <c r="O155" i="15" s="1"/>
  <c r="A156" i="15"/>
  <c r="O156" i="15" s="1"/>
  <c r="A157" i="15"/>
  <c r="O157" i="15" s="1"/>
  <c r="A158" i="15"/>
  <c r="O158" i="15" s="1"/>
  <c r="A159" i="15"/>
  <c r="O159" i="15" s="1"/>
  <c r="A160" i="15"/>
  <c r="O160" i="15" s="1"/>
  <c r="A93" i="15"/>
  <c r="O93" i="15" s="1"/>
  <c r="A161" i="15"/>
  <c r="O161" i="15" s="1"/>
  <c r="A162" i="15"/>
  <c r="O162" i="15" s="1"/>
  <c r="A163" i="15"/>
  <c r="O163" i="15" s="1"/>
  <c r="A164" i="15"/>
  <c r="O164" i="15" s="1"/>
  <c r="A111" i="15"/>
  <c r="O111" i="15" s="1"/>
  <c r="A165" i="15"/>
  <c r="O165" i="15" s="1"/>
  <c r="A112" i="15"/>
  <c r="O112" i="15" s="1"/>
  <c r="A166" i="15"/>
  <c r="O166" i="15" s="1"/>
  <c r="A113" i="15"/>
  <c r="O113" i="15" s="1"/>
  <c r="A167" i="15"/>
  <c r="O167" i="15" s="1"/>
  <c r="A114" i="15"/>
  <c r="O114" i="15" s="1"/>
  <c r="A168" i="15"/>
  <c r="O168" i="15" s="1"/>
  <c r="A169" i="15"/>
  <c r="O169" i="15" s="1"/>
  <c r="A170" i="15"/>
  <c r="O170" i="15" s="1"/>
  <c r="A62" i="15"/>
  <c r="O62" i="15" s="1"/>
  <c r="A171" i="15"/>
  <c r="O171" i="15" s="1"/>
  <c r="A172" i="15"/>
  <c r="O172" i="15" s="1"/>
  <c r="A173" i="15"/>
  <c r="O173" i="15" s="1"/>
  <c r="A174" i="15"/>
  <c r="O174" i="15" s="1"/>
  <c r="A175" i="15"/>
  <c r="O175" i="15" s="1"/>
  <c r="A176" i="15"/>
  <c r="O176" i="15" s="1"/>
  <c r="A177" i="15"/>
  <c r="O177" i="15" s="1"/>
  <c r="A178" i="15"/>
  <c r="O178" i="15" s="1"/>
  <c r="A61" i="15"/>
  <c r="O61" i="15" s="1"/>
  <c r="A94" i="15"/>
  <c r="O94" i="15" s="1"/>
  <c r="A34" i="15"/>
  <c r="O34" i="15" s="1"/>
  <c r="A95" i="15"/>
  <c r="O95" i="15" s="1"/>
  <c r="A96" i="15"/>
  <c r="O96" i="15" s="1"/>
  <c r="A179" i="15"/>
  <c r="O179" i="15" s="1"/>
  <c r="A180" i="15"/>
  <c r="O180" i="15" s="1"/>
  <c r="A97" i="15"/>
  <c r="O97" i="15" s="1"/>
  <c r="A102" i="15"/>
  <c r="O102" i="15" s="1"/>
  <c r="A181" i="15"/>
  <c r="O181" i="15" s="1"/>
  <c r="A103" i="15"/>
  <c r="O103" i="15" s="1"/>
  <c r="A98" i="15"/>
  <c r="O98" i="15" s="1"/>
  <c r="A12" i="13"/>
  <c r="O12" i="13" s="1"/>
  <c r="A14" i="13"/>
  <c r="O14" i="13" s="1"/>
  <c r="A13" i="13"/>
  <c r="O13" i="13" s="1"/>
  <c r="A22" i="13"/>
  <c r="O22" i="13" s="1"/>
  <c r="A8" i="13"/>
  <c r="O8" i="13" s="1"/>
  <c r="A57" i="13"/>
  <c r="O57" i="13" s="1"/>
  <c r="A35" i="13"/>
  <c r="O35" i="13" s="1"/>
  <c r="A73" i="13"/>
  <c r="O73" i="13" s="1"/>
  <c r="A67" i="13"/>
  <c r="O67" i="13" s="1"/>
  <c r="A11" i="13"/>
  <c r="O11" i="13" s="1"/>
  <c r="A20" i="13"/>
  <c r="O20" i="13" s="1"/>
  <c r="A10" i="13"/>
  <c r="O10" i="13" s="1"/>
  <c r="A49" i="13"/>
  <c r="O49" i="13" s="1"/>
  <c r="A63" i="13"/>
  <c r="O63" i="13" s="1"/>
  <c r="A87" i="13"/>
  <c r="O87" i="13" s="1"/>
  <c r="A75" i="13"/>
  <c r="O75" i="13" s="1"/>
  <c r="A7" i="13"/>
  <c r="O7" i="13" s="1"/>
  <c r="A9" i="13"/>
  <c r="O9" i="13" s="1"/>
  <c r="A31" i="13"/>
  <c r="O31" i="13" s="1"/>
  <c r="A41" i="13"/>
  <c r="O41" i="13" s="1"/>
  <c r="A66" i="13"/>
  <c r="O66" i="13" s="1"/>
  <c r="A64" i="13"/>
  <c r="O64" i="13" s="1"/>
  <c r="A72" i="13"/>
  <c r="O72" i="13" s="1"/>
  <c r="A65" i="13"/>
  <c r="O65" i="13" s="1"/>
  <c r="A79" i="13"/>
  <c r="O79" i="13" s="1"/>
  <c r="A36" i="13"/>
  <c r="O36" i="13" s="1"/>
  <c r="A32" i="13"/>
  <c r="O32" i="13" s="1"/>
  <c r="A60" i="13"/>
  <c r="O60" i="13" s="1"/>
  <c r="A61" i="13"/>
  <c r="O61" i="13" s="1"/>
  <c r="A84" i="13"/>
  <c r="O84" i="13" s="1"/>
  <c r="A76" i="13"/>
  <c r="O76" i="13" s="1"/>
  <c r="A45" i="13"/>
  <c r="O45" i="13" s="1"/>
  <c r="A38" i="13"/>
  <c r="O38" i="13" s="1"/>
  <c r="A71" i="13"/>
  <c r="O71" i="13" s="1"/>
  <c r="A21" i="13"/>
  <c r="O21" i="13" s="1"/>
  <c r="A28" i="13"/>
  <c r="O28" i="13" s="1"/>
  <c r="A62" i="13"/>
  <c r="O62" i="13" s="1"/>
  <c r="A19" i="13"/>
  <c r="O19" i="13" s="1"/>
  <c r="A52" i="13"/>
  <c r="O52" i="13" s="1"/>
  <c r="A70" i="13"/>
  <c r="O70" i="13" s="1"/>
  <c r="A69" i="13"/>
  <c r="O69" i="13" s="1"/>
  <c r="A82" i="13"/>
  <c r="O82" i="13" s="1"/>
  <c r="A30" i="13"/>
  <c r="O30" i="13" s="1"/>
  <c r="A34" i="13"/>
  <c r="O34" i="13" s="1"/>
  <c r="A74" i="13"/>
  <c r="O74" i="13" s="1"/>
  <c r="A92" i="13"/>
  <c r="O92" i="13" s="1"/>
  <c r="A50" i="13"/>
  <c r="O50" i="13" s="1"/>
  <c r="A37" i="13"/>
  <c r="O37" i="13" s="1"/>
  <c r="A16" i="13"/>
  <c r="O16" i="13" s="1"/>
  <c r="A48" i="13"/>
  <c r="O48" i="13" s="1"/>
  <c r="A27" i="13"/>
  <c r="O27" i="13" s="1"/>
  <c r="A93" i="13"/>
  <c r="O93" i="13" s="1"/>
  <c r="A46" i="13"/>
  <c r="O46" i="13" s="1"/>
  <c r="A51" i="13"/>
  <c r="O51" i="13" s="1"/>
  <c r="A29" i="13"/>
  <c r="O29" i="13" s="1"/>
  <c r="A18" i="13"/>
  <c r="O18" i="13" s="1"/>
  <c r="A95" i="13"/>
  <c r="O95" i="13" s="1"/>
  <c r="A77" i="13"/>
  <c r="O77" i="13" s="1"/>
  <c r="A68" i="13"/>
  <c r="O68" i="13" s="1"/>
  <c r="A89" i="13"/>
  <c r="O89" i="13" s="1"/>
  <c r="A33" i="13"/>
  <c r="O33" i="13" s="1"/>
  <c r="A97" i="13"/>
  <c r="O97" i="13" s="1"/>
  <c r="A55" i="13"/>
  <c r="O55" i="13" s="1"/>
  <c r="A42" i="13"/>
  <c r="O42" i="13" s="1"/>
  <c r="A39" i="13"/>
  <c r="O39" i="13" s="1"/>
  <c r="A23" i="13"/>
  <c r="O23" i="13" s="1"/>
  <c r="A99" i="13"/>
  <c r="O99" i="13" s="1"/>
  <c r="A100" i="13"/>
  <c r="O100" i="13" s="1"/>
  <c r="A101" i="13"/>
  <c r="O101" i="13" s="1"/>
  <c r="A102" i="13"/>
  <c r="O102" i="13" s="1"/>
  <c r="A103" i="13"/>
  <c r="O103" i="13" s="1"/>
  <c r="A104" i="13"/>
  <c r="O104" i="13" s="1"/>
  <c r="A105" i="13"/>
  <c r="O105" i="13" s="1"/>
  <c r="A40" i="13"/>
  <c r="O40" i="13" s="1"/>
  <c r="A81" i="13"/>
  <c r="O81" i="13" s="1"/>
  <c r="A80" i="13"/>
  <c r="O80" i="13" s="1"/>
  <c r="A53" i="13"/>
  <c r="O53" i="13" s="1"/>
  <c r="A86" i="13"/>
  <c r="O86" i="13" s="1"/>
  <c r="A83" i="13"/>
  <c r="O83" i="13" s="1"/>
  <c r="A94" i="13"/>
  <c r="O94" i="13" s="1"/>
  <c r="A47" i="13"/>
  <c r="O47" i="13" s="1"/>
  <c r="A15" i="13"/>
  <c r="O15" i="13" s="1"/>
  <c r="A24" i="13"/>
  <c r="O24" i="13" s="1"/>
  <c r="A43" i="13"/>
  <c r="O43" i="13" s="1"/>
  <c r="A17" i="13"/>
  <c r="O17" i="13" s="1"/>
  <c r="A90" i="13"/>
  <c r="O90" i="13" s="1"/>
  <c r="A85" i="13"/>
  <c r="O85" i="13" s="1"/>
  <c r="A91" i="13"/>
  <c r="O91" i="13" s="1"/>
  <c r="A96" i="13"/>
  <c r="O96" i="13" s="1"/>
  <c r="A106" i="13"/>
  <c r="O106" i="13" s="1"/>
  <c r="A107" i="13"/>
  <c r="O107" i="13" s="1"/>
  <c r="A108" i="13"/>
  <c r="O108" i="13" s="1"/>
  <c r="A109" i="13"/>
  <c r="O109" i="13" s="1"/>
  <c r="A110" i="13"/>
  <c r="O110" i="13" s="1"/>
  <c r="A111" i="13"/>
  <c r="O111" i="13" s="1"/>
  <c r="A112" i="13"/>
  <c r="O112" i="13" s="1"/>
  <c r="A113" i="13"/>
  <c r="O113" i="13" s="1"/>
  <c r="A114" i="13"/>
  <c r="O114" i="13" s="1"/>
  <c r="A115" i="13"/>
  <c r="O115" i="13" s="1"/>
  <c r="A116" i="13"/>
  <c r="O116" i="13" s="1"/>
  <c r="A117" i="13"/>
  <c r="O117" i="13" s="1"/>
  <c r="A118" i="13"/>
  <c r="O118" i="13" s="1"/>
  <c r="A119" i="13"/>
  <c r="O119" i="13" s="1"/>
  <c r="A120" i="13"/>
  <c r="O120" i="13" s="1"/>
  <c r="A121" i="13"/>
  <c r="O121" i="13" s="1"/>
  <c r="A122" i="13"/>
  <c r="O122" i="13" s="1"/>
  <c r="A123" i="13"/>
  <c r="O123" i="13" s="1"/>
  <c r="A124" i="13"/>
  <c r="O124" i="13" s="1"/>
  <c r="A125" i="13"/>
  <c r="O125" i="13" s="1"/>
  <c r="A126" i="13"/>
  <c r="O126" i="13" s="1"/>
  <c r="A127" i="13"/>
  <c r="O127" i="13" s="1"/>
  <c r="A128" i="13"/>
  <c r="O128" i="13" s="1"/>
  <c r="A129" i="13"/>
  <c r="O129" i="13" s="1"/>
  <c r="A130" i="13"/>
  <c r="O130" i="13" s="1"/>
  <c r="A131" i="13"/>
  <c r="O131" i="13" s="1"/>
  <c r="A132" i="13"/>
  <c r="O132" i="13" s="1"/>
  <c r="A133" i="13"/>
  <c r="O133" i="13" s="1"/>
  <c r="A134" i="13"/>
  <c r="O134" i="13" s="1"/>
  <c r="A135" i="13"/>
  <c r="O135" i="13" s="1"/>
  <c r="A136" i="13"/>
  <c r="O136" i="13" s="1"/>
  <c r="A137" i="13"/>
  <c r="O137" i="13" s="1"/>
  <c r="A138" i="13"/>
  <c r="O138" i="13" s="1"/>
  <c r="A139" i="13"/>
  <c r="O139" i="13" s="1"/>
  <c r="A140" i="13"/>
  <c r="O140" i="13" s="1"/>
  <c r="A141" i="13"/>
  <c r="O141" i="13" s="1"/>
  <c r="A142" i="13"/>
  <c r="O142" i="13" s="1"/>
  <c r="A143" i="13"/>
  <c r="O143" i="13" s="1"/>
  <c r="A144" i="13"/>
  <c r="O144" i="13" s="1"/>
  <c r="A145" i="13"/>
  <c r="O145" i="13" s="1"/>
  <c r="A146" i="13"/>
  <c r="O146" i="13" s="1"/>
  <c r="A147" i="13"/>
  <c r="O147" i="13" s="1"/>
  <c r="A148" i="13"/>
  <c r="O148" i="13" s="1"/>
  <c r="A149" i="13"/>
  <c r="O149" i="13" s="1"/>
  <c r="A150" i="13"/>
  <c r="O150" i="13" s="1"/>
  <c r="A151" i="13"/>
  <c r="O151" i="13" s="1"/>
  <c r="A152" i="13"/>
  <c r="O152" i="13" s="1"/>
  <c r="A153" i="13"/>
  <c r="O153" i="13" s="1"/>
  <c r="A154" i="13"/>
  <c r="O154" i="13" s="1"/>
  <c r="A155" i="13"/>
  <c r="O155" i="13" s="1"/>
  <c r="A156" i="13"/>
  <c r="O156" i="13" s="1"/>
  <c r="A157" i="13"/>
  <c r="O157" i="13" s="1"/>
  <c r="A158" i="13"/>
  <c r="O158" i="13" s="1"/>
  <c r="A159" i="13"/>
  <c r="O159" i="13" s="1"/>
  <c r="A160" i="13"/>
  <c r="O160" i="13" s="1"/>
  <c r="A161" i="13"/>
  <c r="O161" i="13" s="1"/>
  <c r="A162" i="13"/>
  <c r="O162" i="13" s="1"/>
  <c r="A163" i="13"/>
  <c r="O163" i="13" s="1"/>
  <c r="A164" i="13"/>
  <c r="O164" i="13" s="1"/>
  <c r="A165" i="13"/>
  <c r="O165" i="13" s="1"/>
  <c r="A166" i="13"/>
  <c r="O166" i="13" s="1"/>
  <c r="A167" i="13"/>
  <c r="O167" i="13" s="1"/>
  <c r="A168" i="13"/>
  <c r="O168" i="13" s="1"/>
  <c r="A169" i="13"/>
  <c r="O169" i="13" s="1"/>
  <c r="A170" i="13"/>
  <c r="O170" i="13" s="1"/>
  <c r="A171" i="13"/>
  <c r="O171" i="13" s="1"/>
  <c r="A172" i="13"/>
  <c r="O172" i="13" s="1"/>
  <c r="A173" i="13"/>
  <c r="O173" i="13" s="1"/>
  <c r="A174" i="13"/>
  <c r="O174" i="13" s="1"/>
  <c r="A175" i="13"/>
  <c r="O175" i="13" s="1"/>
  <c r="A176" i="13"/>
  <c r="O176" i="13" s="1"/>
  <c r="A177" i="13"/>
  <c r="O177" i="13" s="1"/>
  <c r="A178" i="13"/>
  <c r="O178" i="13" s="1"/>
  <c r="A179" i="13"/>
  <c r="O179" i="13" s="1"/>
  <c r="A180" i="13"/>
  <c r="O180" i="13" s="1"/>
  <c r="A181" i="13"/>
  <c r="O181" i="13" s="1"/>
  <c r="A182" i="13"/>
  <c r="O182" i="13" s="1"/>
  <c r="A183" i="13"/>
  <c r="O183" i="13" s="1"/>
  <c r="A184" i="13"/>
  <c r="O184" i="13" s="1"/>
  <c r="A185" i="13"/>
  <c r="O185" i="13" s="1"/>
  <c r="A186" i="13"/>
  <c r="O186" i="13" s="1"/>
  <c r="A187" i="13"/>
  <c r="O187" i="13" s="1"/>
  <c r="A188" i="13"/>
  <c r="O188" i="13" s="1"/>
  <c r="A189" i="13"/>
  <c r="O189" i="13" s="1"/>
  <c r="A190" i="13"/>
  <c r="O190" i="13" s="1"/>
  <c r="A191" i="13"/>
  <c r="O191" i="13" s="1"/>
  <c r="A192" i="13"/>
  <c r="O192" i="13" s="1"/>
  <c r="A193" i="13"/>
  <c r="O193" i="13" s="1"/>
  <c r="A194" i="13"/>
  <c r="O194" i="13" s="1"/>
  <c r="A195" i="13"/>
  <c r="O195" i="13" s="1"/>
  <c r="A196" i="13"/>
  <c r="O196" i="13" s="1"/>
  <c r="A197" i="13"/>
  <c r="O197" i="13" s="1"/>
  <c r="A198" i="13"/>
  <c r="O198" i="13" s="1"/>
  <c r="A199" i="13"/>
  <c r="O199" i="13" s="1"/>
  <c r="A200" i="13"/>
  <c r="O200" i="13" s="1"/>
  <c r="A201" i="13"/>
  <c r="O201" i="13" s="1"/>
  <c r="A202" i="13"/>
  <c r="O202" i="13" s="1"/>
  <c r="A203" i="13"/>
  <c r="O203" i="13" s="1"/>
  <c r="A204" i="13"/>
  <c r="O204" i="13" s="1"/>
  <c r="A205" i="13"/>
  <c r="O205" i="13" s="1"/>
  <c r="A206" i="13"/>
  <c r="O206" i="13" s="1"/>
  <c r="A207" i="13"/>
  <c r="O207" i="13" s="1"/>
  <c r="A208" i="13"/>
  <c r="O208" i="13" s="1"/>
  <c r="A209" i="13"/>
  <c r="O209" i="13" s="1"/>
  <c r="A210" i="13"/>
  <c r="O210" i="13" s="1"/>
  <c r="A211" i="13"/>
  <c r="O211" i="13" s="1"/>
  <c r="A44" i="13"/>
  <c r="O44" i="13" s="1"/>
  <c r="A78" i="13"/>
  <c r="O78" i="13" s="1"/>
  <c r="A54" i="13"/>
  <c r="O54" i="13" s="1"/>
  <c r="A25" i="13"/>
  <c r="O25" i="13" s="1"/>
  <c r="A58" i="13"/>
  <c r="O58" i="13" s="1"/>
  <c r="A88" i="13"/>
  <c r="O88" i="13" s="1"/>
  <c r="A26" i="13"/>
  <c r="O26" i="13" s="1"/>
  <c r="A98" i="13"/>
  <c r="O98" i="13" s="1"/>
  <c r="A59" i="13"/>
  <c r="O59" i="13" s="1"/>
  <c r="A56" i="13"/>
  <c r="O56" i="13" s="1"/>
  <c r="A12" i="12"/>
  <c r="O12" i="12" s="1"/>
  <c r="A11" i="12"/>
  <c r="O11" i="12" s="1"/>
  <c r="A9" i="12"/>
  <c r="O9" i="12" s="1"/>
  <c r="A10" i="12"/>
  <c r="O10" i="12" s="1"/>
  <c r="A61" i="12"/>
  <c r="O61" i="12" s="1"/>
  <c r="A64" i="12"/>
  <c r="O64" i="12" s="1"/>
  <c r="A63" i="12"/>
  <c r="O63" i="12" s="1"/>
  <c r="A25" i="12"/>
  <c r="O25" i="12" s="1"/>
  <c r="A65" i="12"/>
  <c r="O65" i="12" s="1"/>
  <c r="A42" i="12"/>
  <c r="O42" i="12" s="1"/>
  <c r="A66" i="12"/>
  <c r="O66" i="12" s="1"/>
  <c r="A29" i="12"/>
  <c r="O29" i="12" s="1"/>
  <c r="A31" i="12"/>
  <c r="O31" i="12" s="1"/>
  <c r="A43" i="12"/>
  <c r="O43" i="12" s="1"/>
  <c r="A33" i="12"/>
  <c r="O33" i="12" s="1"/>
  <c r="A32" i="12"/>
  <c r="O32" i="12" s="1"/>
  <c r="A30" i="12"/>
  <c r="O30" i="12" s="1"/>
  <c r="A34" i="12"/>
  <c r="O34" i="12" s="1"/>
  <c r="A39" i="12"/>
  <c r="O39" i="12" s="1"/>
  <c r="A35" i="12"/>
  <c r="O35" i="12" s="1"/>
  <c r="A44" i="12"/>
  <c r="O44" i="12" s="1"/>
  <c r="A18" i="12"/>
  <c r="O18" i="12" s="1"/>
  <c r="A40" i="12"/>
  <c r="O40" i="12" s="1"/>
  <c r="A41" i="12"/>
  <c r="O41" i="12" s="1"/>
  <c r="A38" i="12"/>
  <c r="O38" i="12" s="1"/>
  <c r="A37" i="12"/>
  <c r="O37" i="12" s="1"/>
  <c r="A45" i="12"/>
  <c r="O45" i="12" s="1"/>
  <c r="A46" i="12"/>
  <c r="O46" i="12" s="1"/>
  <c r="A47" i="12"/>
  <c r="O47" i="12" s="1"/>
  <c r="A48" i="12"/>
  <c r="O48" i="12" s="1"/>
  <c r="A49" i="12"/>
  <c r="O49" i="12" s="1"/>
  <c r="A50" i="12"/>
  <c r="O50" i="12" s="1"/>
  <c r="A51" i="12"/>
  <c r="O51" i="12" s="1"/>
  <c r="A36" i="12"/>
  <c r="O36" i="12" s="1"/>
  <c r="A52" i="12"/>
  <c r="O52" i="12" s="1"/>
  <c r="A53" i="12"/>
  <c r="O53" i="12" s="1"/>
  <c r="A54" i="12"/>
  <c r="O54" i="12" s="1"/>
  <c r="A26" i="12"/>
  <c r="O26" i="12" s="1"/>
  <c r="A28" i="12"/>
  <c r="O28" i="12" s="1"/>
  <c r="A55" i="12"/>
  <c r="O55" i="12" s="1"/>
  <c r="A56" i="12"/>
  <c r="O56" i="12" s="1"/>
  <c r="A27" i="12"/>
  <c r="O27" i="12" s="1"/>
  <c r="A13" i="12"/>
  <c r="O13" i="12" s="1"/>
  <c r="A57" i="12"/>
  <c r="O57" i="12" s="1"/>
  <c r="A58" i="12"/>
  <c r="O58" i="12" s="1"/>
  <c r="A24" i="12"/>
  <c r="O24" i="12" s="1"/>
  <c r="A62" i="12"/>
  <c r="O62" i="12" s="1"/>
  <c r="A59" i="12"/>
  <c r="O59" i="12" s="1"/>
  <c r="A60" i="12"/>
  <c r="O60" i="12" s="1"/>
  <c r="A21" i="12"/>
  <c r="O21" i="12" s="1"/>
  <c r="A20" i="12"/>
  <c r="O20" i="12" s="1"/>
  <c r="A17" i="12"/>
  <c r="O17" i="12" s="1"/>
  <c r="A16" i="12"/>
  <c r="O16" i="12" s="1"/>
  <c r="A14" i="12"/>
  <c r="O14" i="12" s="1"/>
  <c r="A15" i="12"/>
  <c r="O15" i="12" s="1"/>
  <c r="A22" i="12"/>
  <c r="O22" i="12" s="1"/>
  <c r="A23" i="12"/>
  <c r="O23" i="12" s="1"/>
  <c r="A19" i="12"/>
  <c r="O19" i="12" s="1"/>
  <c r="A7" i="11"/>
  <c r="O7" i="11" s="1"/>
  <c r="A10" i="11"/>
  <c r="O10" i="11" s="1"/>
  <c r="A12" i="11"/>
  <c r="O12" i="11" s="1"/>
  <c r="A21" i="11"/>
  <c r="O21" i="11" s="1"/>
  <c r="A30" i="11"/>
  <c r="O30" i="11" s="1"/>
  <c r="A11" i="11"/>
  <c r="O11" i="11" s="1"/>
  <c r="A14" i="11"/>
  <c r="O14" i="11" s="1"/>
  <c r="A8" i="11"/>
  <c r="O8" i="11" s="1"/>
  <c r="A16" i="11"/>
  <c r="O16" i="11" s="1"/>
  <c r="A17" i="11"/>
  <c r="O17" i="11" s="1"/>
  <c r="A25" i="11"/>
  <c r="O25" i="11" s="1"/>
  <c r="A66" i="11"/>
  <c r="O66" i="11" s="1"/>
  <c r="A65" i="11"/>
  <c r="O65" i="11" s="1"/>
  <c r="A15" i="11"/>
  <c r="O15" i="11" s="1"/>
  <c r="A69" i="11"/>
  <c r="O69" i="11" s="1"/>
  <c r="A70" i="11"/>
  <c r="O70" i="11" s="1"/>
  <c r="A71" i="11"/>
  <c r="O71" i="11" s="1"/>
  <c r="A72" i="11"/>
  <c r="O72" i="11" s="1"/>
  <c r="A73" i="11"/>
  <c r="O73" i="11" s="1"/>
  <c r="A13" i="11"/>
  <c r="O13" i="11" s="1"/>
  <c r="A19" i="11"/>
  <c r="O19" i="11" s="1"/>
  <c r="A27" i="11"/>
  <c r="O27" i="11" s="1"/>
  <c r="A24" i="11"/>
  <c r="O24" i="11" s="1"/>
  <c r="A74" i="11"/>
  <c r="O74" i="11" s="1"/>
  <c r="A67" i="11"/>
  <c r="O67" i="11" s="1"/>
  <c r="A68" i="11"/>
  <c r="O68" i="11" s="1"/>
  <c r="A75" i="11"/>
  <c r="O75" i="11" s="1"/>
  <c r="A76" i="11"/>
  <c r="O76" i="11" s="1"/>
  <c r="A77" i="11"/>
  <c r="O77" i="11" s="1"/>
  <c r="A78" i="11"/>
  <c r="O78" i="11" s="1"/>
  <c r="A79" i="11"/>
  <c r="O79" i="11" s="1"/>
  <c r="A80" i="11"/>
  <c r="O80" i="11" s="1"/>
  <c r="A26" i="11"/>
  <c r="O26" i="11" s="1"/>
  <c r="A23" i="11"/>
  <c r="O23" i="11" s="1"/>
  <c r="A22" i="11"/>
  <c r="O22" i="11" s="1"/>
  <c r="A20" i="11"/>
  <c r="O20" i="11" s="1"/>
  <c r="A18" i="11"/>
  <c r="O18" i="11" s="1"/>
  <c r="A28" i="11"/>
  <c r="O28" i="11" s="1"/>
  <c r="A31" i="11"/>
  <c r="O31" i="11" s="1"/>
  <c r="A32" i="11"/>
  <c r="O32" i="11" s="1"/>
  <c r="A35" i="11"/>
  <c r="O35" i="11" s="1"/>
  <c r="A33" i="11"/>
  <c r="O33" i="11" s="1"/>
  <c r="A29" i="11"/>
  <c r="O29" i="11" s="1"/>
  <c r="A34" i="11"/>
  <c r="O34" i="11" s="1"/>
  <c r="A9" i="11"/>
  <c r="O9" i="11" s="1"/>
  <c r="A36" i="11"/>
  <c r="O36" i="11" s="1"/>
  <c r="A37" i="11"/>
  <c r="O37" i="11" s="1"/>
  <c r="A38" i="11"/>
  <c r="O38" i="11" s="1"/>
  <c r="A39" i="11"/>
  <c r="O39" i="11" s="1"/>
  <c r="A40" i="11"/>
  <c r="O40" i="11" s="1"/>
  <c r="A41" i="11"/>
  <c r="O41" i="11" s="1"/>
  <c r="A42" i="11"/>
  <c r="O42" i="11" s="1"/>
  <c r="A64" i="11"/>
  <c r="O64" i="11" s="1"/>
  <c r="A45" i="11"/>
  <c r="O45" i="11" s="1"/>
  <c r="A63" i="11"/>
  <c r="O63" i="11" s="1"/>
  <c r="A48" i="11"/>
  <c r="O48" i="11" s="1"/>
  <c r="A47" i="11"/>
  <c r="O47" i="11" s="1"/>
  <c r="A50" i="11"/>
  <c r="O50" i="11" s="1"/>
  <c r="A55" i="11"/>
  <c r="O55" i="11" s="1"/>
  <c r="A52" i="11"/>
  <c r="O52" i="11" s="1"/>
  <c r="A46" i="11"/>
  <c r="O46" i="11" s="1"/>
  <c r="A53" i="11"/>
  <c r="O53" i="11" s="1"/>
  <c r="A43" i="11"/>
  <c r="O43" i="11" s="1"/>
  <c r="A49" i="11"/>
  <c r="O49" i="11" s="1"/>
  <c r="A51" i="11"/>
  <c r="O51" i="11" s="1"/>
  <c r="A44" i="11"/>
  <c r="O44" i="11" s="1"/>
  <c r="A59" i="11"/>
  <c r="O59" i="11" s="1"/>
  <c r="A54" i="11"/>
  <c r="O54" i="11" s="1"/>
  <c r="A58" i="11"/>
  <c r="O58" i="11" s="1"/>
  <c r="A61" i="11"/>
  <c r="O61" i="11" s="1"/>
  <c r="A62" i="11"/>
  <c r="O62" i="11" s="1"/>
  <c r="A56" i="11"/>
  <c r="O56" i="11" s="1"/>
  <c r="A60" i="11"/>
  <c r="O60" i="11" s="1"/>
  <c r="A57" i="11"/>
  <c r="O57" i="11" s="1"/>
  <c r="A107" i="10"/>
  <c r="O107" i="10" s="1"/>
  <c r="A108" i="10"/>
  <c r="O108" i="10" s="1"/>
  <c r="A109" i="10"/>
  <c r="O109" i="10" s="1"/>
  <c r="A110" i="10"/>
  <c r="O110" i="10" s="1"/>
  <c r="A7" i="10"/>
  <c r="O7" i="10" s="1"/>
  <c r="A8" i="10"/>
  <c r="O8" i="10" s="1"/>
  <c r="A9" i="10"/>
  <c r="O9" i="10" s="1"/>
  <c r="A25" i="10"/>
  <c r="O25" i="10" s="1"/>
  <c r="A20" i="10"/>
  <c r="O20" i="10" s="1"/>
  <c r="A10" i="10"/>
  <c r="O10" i="10" s="1"/>
  <c r="A11" i="10"/>
  <c r="O11" i="10" s="1"/>
  <c r="A26" i="10"/>
  <c r="O26" i="10" s="1"/>
  <c r="A18" i="10"/>
  <c r="O18" i="10" s="1"/>
  <c r="A27" i="10"/>
  <c r="O27" i="10" s="1"/>
  <c r="A15" i="10"/>
  <c r="O15" i="10" s="1"/>
  <c r="A22" i="10"/>
  <c r="O22" i="10" s="1"/>
  <c r="A36" i="10"/>
  <c r="O36" i="10" s="1"/>
  <c r="A19" i="10"/>
  <c r="O19" i="10" s="1"/>
  <c r="A28" i="10"/>
  <c r="O28" i="10" s="1"/>
  <c r="A41" i="10"/>
  <c r="O41" i="10" s="1"/>
  <c r="A29" i="10"/>
  <c r="O29" i="10" s="1"/>
  <c r="A30" i="10"/>
  <c r="O30" i="10" s="1"/>
  <c r="A13" i="10"/>
  <c r="O13" i="10" s="1"/>
  <c r="A21" i="10"/>
  <c r="O21" i="10" s="1"/>
  <c r="A31" i="10"/>
  <c r="O31" i="10" s="1"/>
  <c r="A42" i="10"/>
  <c r="O42" i="10" s="1"/>
  <c r="A38" i="10"/>
  <c r="O38" i="10" s="1"/>
  <c r="A16" i="10"/>
  <c r="O16" i="10" s="1"/>
  <c r="A39" i="10"/>
  <c r="O39" i="10" s="1"/>
  <c r="A32" i="10"/>
  <c r="O32" i="10" s="1"/>
  <c r="A33" i="10"/>
  <c r="O33" i="10" s="1"/>
  <c r="A37" i="10"/>
  <c r="O37" i="10" s="1"/>
  <c r="A34" i="10"/>
  <c r="O34" i="10" s="1"/>
  <c r="A23" i="10"/>
  <c r="O23" i="10" s="1"/>
  <c r="A35" i="10"/>
  <c r="O35" i="10" s="1"/>
  <c r="A24" i="10"/>
  <c r="O24" i="10" s="1"/>
  <c r="A12" i="10"/>
  <c r="O12" i="10" s="1"/>
  <c r="A40" i="10"/>
  <c r="O40" i="10" s="1"/>
  <c r="A43" i="10"/>
  <c r="O43" i="10" s="1"/>
  <c r="A44" i="10"/>
  <c r="O44" i="10" s="1"/>
  <c r="A45" i="10"/>
  <c r="O45" i="10" s="1"/>
  <c r="A46" i="10"/>
  <c r="O46" i="10" s="1"/>
  <c r="A47" i="10"/>
  <c r="O47" i="10" s="1"/>
  <c r="A48" i="10"/>
  <c r="O48" i="10" s="1"/>
  <c r="A49" i="10"/>
  <c r="O49" i="10" s="1"/>
  <c r="A50" i="10"/>
  <c r="O50" i="10" s="1"/>
  <c r="A51" i="10"/>
  <c r="O51" i="10" s="1"/>
  <c r="A52" i="10"/>
  <c r="O52" i="10" s="1"/>
  <c r="A53" i="10"/>
  <c r="O53" i="10" s="1"/>
  <c r="A54" i="10"/>
  <c r="O54" i="10" s="1"/>
  <c r="A55" i="10"/>
  <c r="O55" i="10" s="1"/>
  <c r="A56" i="10"/>
  <c r="O56" i="10" s="1"/>
  <c r="A57" i="10"/>
  <c r="O57" i="10" s="1"/>
  <c r="A58" i="10"/>
  <c r="O58" i="10" s="1"/>
  <c r="A59" i="10"/>
  <c r="O59" i="10" s="1"/>
  <c r="A60" i="10"/>
  <c r="O60" i="10" s="1"/>
  <c r="A61" i="10"/>
  <c r="O61" i="10" s="1"/>
  <c r="A62" i="10"/>
  <c r="O62" i="10" s="1"/>
  <c r="A63" i="10"/>
  <c r="O63" i="10" s="1"/>
  <c r="A64" i="10"/>
  <c r="O64" i="10" s="1"/>
  <c r="A65" i="10"/>
  <c r="O65" i="10" s="1"/>
  <c r="A66" i="10"/>
  <c r="O66" i="10" s="1"/>
  <c r="A67" i="10"/>
  <c r="O67" i="10" s="1"/>
  <c r="A68" i="10"/>
  <c r="O68" i="10" s="1"/>
  <c r="A69" i="10"/>
  <c r="O69" i="10" s="1"/>
  <c r="A17" i="10"/>
  <c r="O17" i="10" s="1"/>
  <c r="A70" i="10"/>
  <c r="O70" i="10" s="1"/>
  <c r="A71" i="10"/>
  <c r="O71" i="10" s="1"/>
  <c r="A72" i="10"/>
  <c r="O72" i="10" s="1"/>
  <c r="A73" i="10"/>
  <c r="O73" i="10" s="1"/>
  <c r="A74" i="10"/>
  <c r="O74" i="10" s="1"/>
  <c r="A75" i="10"/>
  <c r="O75" i="10" s="1"/>
  <c r="A76" i="10"/>
  <c r="O76" i="10" s="1"/>
  <c r="A77" i="10"/>
  <c r="O77" i="10" s="1"/>
  <c r="A78" i="10"/>
  <c r="O78" i="10" s="1"/>
  <c r="A79" i="10"/>
  <c r="O79" i="10" s="1"/>
  <c r="A80" i="10"/>
  <c r="O80" i="10" s="1"/>
  <c r="A81" i="10"/>
  <c r="O81" i="10" s="1"/>
  <c r="A82" i="10"/>
  <c r="O82" i="10" s="1"/>
  <c r="A83" i="10"/>
  <c r="O83" i="10" s="1"/>
  <c r="A84" i="10"/>
  <c r="O84" i="10" s="1"/>
  <c r="A85" i="10"/>
  <c r="O85" i="10" s="1"/>
  <c r="A86" i="10"/>
  <c r="O86" i="10" s="1"/>
  <c r="A87" i="10"/>
  <c r="O87" i="10" s="1"/>
  <c r="A88" i="10"/>
  <c r="O88" i="10" s="1"/>
  <c r="A89" i="10"/>
  <c r="O89" i="10" s="1"/>
  <c r="A90" i="10"/>
  <c r="O90" i="10" s="1"/>
  <c r="A91" i="10"/>
  <c r="O91" i="10" s="1"/>
  <c r="A92" i="10"/>
  <c r="O92" i="10" s="1"/>
  <c r="A93" i="10"/>
  <c r="O93" i="10" s="1"/>
  <c r="A94" i="10"/>
  <c r="O94" i="10" s="1"/>
  <c r="A14" i="10"/>
  <c r="O14" i="10" s="1"/>
  <c r="A95" i="10"/>
  <c r="O95" i="10" s="1"/>
  <c r="A96" i="10"/>
  <c r="O96" i="10" s="1"/>
  <c r="A97" i="10"/>
  <c r="O97" i="10" s="1"/>
  <c r="A98" i="10"/>
  <c r="O98" i="10" s="1"/>
  <c r="A99" i="10"/>
  <c r="O99" i="10" s="1"/>
  <c r="A100" i="10"/>
  <c r="O100" i="10" s="1"/>
  <c r="A101" i="10"/>
  <c r="O101" i="10" s="1"/>
  <c r="A102" i="10"/>
  <c r="O102" i="10" s="1"/>
  <c r="A103" i="10"/>
  <c r="O103" i="10" s="1"/>
  <c r="A104" i="10"/>
  <c r="O104" i="10" s="1"/>
  <c r="A105" i="10"/>
  <c r="O105" i="10" s="1"/>
  <c r="A106" i="10"/>
  <c r="O106" i="10" s="1"/>
  <c r="A7" i="9"/>
  <c r="O7" i="9" s="1"/>
  <c r="A22" i="9"/>
  <c r="O22" i="9" s="1"/>
  <c r="A9" i="9"/>
  <c r="O9" i="9" s="1"/>
  <c r="A11" i="9"/>
  <c r="O11" i="9" s="1"/>
  <c r="A8" i="9"/>
  <c r="O8" i="9" s="1"/>
  <c r="A148" i="9"/>
  <c r="O148" i="9" s="1"/>
  <c r="A14" i="9"/>
  <c r="O14" i="9" s="1"/>
  <c r="A19" i="9"/>
  <c r="O19" i="9" s="1"/>
  <c r="A13" i="9"/>
  <c r="O13" i="9" s="1"/>
  <c r="A16" i="9"/>
  <c r="O16" i="9" s="1"/>
  <c r="A20" i="9"/>
  <c r="O20" i="9" s="1"/>
  <c r="A151" i="9"/>
  <c r="O151" i="9" s="1"/>
  <c r="A152" i="9"/>
  <c r="O152" i="9" s="1"/>
  <c r="A153" i="9"/>
  <c r="O153" i="9" s="1"/>
  <c r="A15" i="9"/>
  <c r="O15" i="9" s="1"/>
  <c r="A154" i="9"/>
  <c r="O154" i="9" s="1"/>
  <c r="A155" i="9"/>
  <c r="O155" i="9" s="1"/>
  <c r="A156" i="9"/>
  <c r="O156" i="9" s="1"/>
  <c r="A157" i="9"/>
  <c r="O157" i="9" s="1"/>
  <c r="A158" i="9"/>
  <c r="O158" i="9" s="1"/>
  <c r="A159" i="9"/>
  <c r="O159" i="9" s="1"/>
  <c r="A160" i="9"/>
  <c r="O160" i="9" s="1"/>
  <c r="A161" i="9"/>
  <c r="O161" i="9" s="1"/>
  <c r="A162" i="9"/>
  <c r="O162" i="9" s="1"/>
  <c r="A138" i="9"/>
  <c r="O138" i="9" s="1"/>
  <c r="A163" i="9"/>
  <c r="O163" i="9" s="1"/>
  <c r="A164" i="9"/>
  <c r="O164" i="9" s="1"/>
  <c r="A17" i="9"/>
  <c r="O17" i="9" s="1"/>
  <c r="A29" i="9"/>
  <c r="O29" i="9" s="1"/>
  <c r="A21" i="9"/>
  <c r="O21" i="9" s="1"/>
  <c r="A12" i="9"/>
  <c r="O12" i="9" s="1"/>
  <c r="A165" i="9"/>
  <c r="O165" i="9" s="1"/>
  <c r="A166" i="9"/>
  <c r="O166" i="9" s="1"/>
  <c r="A24" i="9"/>
  <c r="O24" i="9" s="1"/>
  <c r="A167" i="9"/>
  <c r="O167" i="9" s="1"/>
  <c r="A168" i="9"/>
  <c r="O168" i="9" s="1"/>
  <c r="A169" i="9"/>
  <c r="O169" i="9" s="1"/>
  <c r="A170" i="9"/>
  <c r="O170" i="9" s="1"/>
  <c r="A188" i="9"/>
  <c r="O188" i="9" s="1"/>
  <c r="A171" i="9"/>
  <c r="O171" i="9" s="1"/>
  <c r="A172" i="9"/>
  <c r="O172" i="9" s="1"/>
  <c r="A173" i="9"/>
  <c r="O173" i="9" s="1"/>
  <c r="A25" i="9"/>
  <c r="O25" i="9" s="1"/>
  <c r="A174" i="9"/>
  <c r="O174" i="9" s="1"/>
  <c r="A175" i="9"/>
  <c r="O175" i="9" s="1"/>
  <c r="A176" i="9"/>
  <c r="O176" i="9" s="1"/>
  <c r="A177" i="9"/>
  <c r="O177" i="9" s="1"/>
  <c r="A36" i="9"/>
  <c r="O36" i="9" s="1"/>
  <c r="A27" i="9"/>
  <c r="O27" i="9" s="1"/>
  <c r="A35" i="9"/>
  <c r="O35" i="9" s="1"/>
  <c r="A178" i="9"/>
  <c r="O178" i="9" s="1"/>
  <c r="A18" i="9"/>
  <c r="O18" i="9" s="1"/>
  <c r="A179" i="9"/>
  <c r="O179" i="9" s="1"/>
  <c r="A180" i="9"/>
  <c r="O180" i="9" s="1"/>
  <c r="A33" i="9"/>
  <c r="O33" i="9" s="1"/>
  <c r="A40" i="9"/>
  <c r="O40" i="9" s="1"/>
  <c r="A26" i="9"/>
  <c r="O26" i="9" s="1"/>
  <c r="A44" i="9"/>
  <c r="O44" i="9" s="1"/>
  <c r="A32" i="9"/>
  <c r="O32" i="9" s="1"/>
  <c r="A28" i="9"/>
  <c r="O28" i="9" s="1"/>
  <c r="A43" i="9"/>
  <c r="O43" i="9" s="1"/>
  <c r="A10" i="9"/>
  <c r="O10" i="9" s="1"/>
  <c r="A34" i="9"/>
  <c r="O34" i="9" s="1"/>
  <c r="A23" i="9"/>
  <c r="O23" i="9" s="1"/>
  <c r="A30" i="9"/>
  <c r="O30" i="9" s="1"/>
  <c r="A45" i="9"/>
  <c r="O45" i="9" s="1"/>
  <c r="A42" i="9"/>
  <c r="O42" i="9" s="1"/>
  <c r="A41" i="9"/>
  <c r="O41" i="9" s="1"/>
  <c r="A39" i="9"/>
  <c r="O39" i="9" s="1"/>
  <c r="A31" i="9"/>
  <c r="O31" i="9" s="1"/>
  <c r="A38" i="9"/>
  <c r="O38" i="9" s="1"/>
  <c r="A37" i="9"/>
  <c r="O37" i="9" s="1"/>
  <c r="A46" i="9"/>
  <c r="O46" i="9" s="1"/>
  <c r="A47" i="9"/>
  <c r="O47" i="9" s="1"/>
  <c r="A142" i="9"/>
  <c r="O142" i="9" s="1"/>
  <c r="A140" i="9"/>
  <c r="O140" i="9" s="1"/>
  <c r="A139" i="9"/>
  <c r="O139" i="9" s="1"/>
  <c r="A48" i="9"/>
  <c r="O48" i="9" s="1"/>
  <c r="A63" i="9"/>
  <c r="O63" i="9" s="1"/>
  <c r="A56" i="9"/>
  <c r="O56" i="9" s="1"/>
  <c r="A50" i="9"/>
  <c r="O50" i="9" s="1"/>
  <c r="A59" i="9"/>
  <c r="O59" i="9" s="1"/>
  <c r="A51" i="9"/>
  <c r="O51" i="9" s="1"/>
  <c r="A52" i="9"/>
  <c r="O52" i="9" s="1"/>
  <c r="A57" i="9"/>
  <c r="O57" i="9" s="1"/>
  <c r="A66" i="9"/>
  <c r="O66" i="9" s="1"/>
  <c r="A55" i="9"/>
  <c r="O55" i="9" s="1"/>
  <c r="A61" i="9"/>
  <c r="O61" i="9" s="1"/>
  <c r="A54" i="9"/>
  <c r="O54" i="9" s="1"/>
  <c r="A65" i="9"/>
  <c r="O65" i="9" s="1"/>
  <c r="A49" i="9"/>
  <c r="O49" i="9" s="1"/>
  <c r="A181" i="9"/>
  <c r="O181" i="9" s="1"/>
  <c r="A141" i="9"/>
  <c r="O141" i="9" s="1"/>
  <c r="A68" i="9"/>
  <c r="O68" i="9" s="1"/>
  <c r="A62" i="9"/>
  <c r="O62" i="9" s="1"/>
  <c r="A143" i="9"/>
  <c r="O143" i="9" s="1"/>
  <c r="A77" i="9"/>
  <c r="O77" i="9" s="1"/>
  <c r="A182" i="9"/>
  <c r="O182" i="9" s="1"/>
  <c r="A73" i="9"/>
  <c r="O73" i="9" s="1"/>
  <c r="A82" i="9"/>
  <c r="O82" i="9" s="1"/>
  <c r="A183" i="9"/>
  <c r="O183" i="9" s="1"/>
  <c r="A69" i="9"/>
  <c r="O69" i="9" s="1"/>
  <c r="A149" i="9"/>
  <c r="O149" i="9" s="1"/>
  <c r="A58" i="9"/>
  <c r="O58" i="9" s="1"/>
  <c r="A184" i="9"/>
  <c r="O184" i="9" s="1"/>
  <c r="A84" i="9"/>
  <c r="O84" i="9" s="1"/>
  <c r="A60" i="9"/>
  <c r="O60" i="9" s="1"/>
  <c r="A79" i="9"/>
  <c r="O79" i="9" s="1"/>
  <c r="A64" i="9"/>
  <c r="O64" i="9" s="1"/>
  <c r="A74" i="9"/>
  <c r="O74" i="9" s="1"/>
  <c r="A185" i="9"/>
  <c r="O185" i="9" s="1"/>
  <c r="A53" i="9"/>
  <c r="O53" i="9" s="1"/>
  <c r="A76" i="9"/>
  <c r="O76" i="9" s="1"/>
  <c r="A72" i="9"/>
  <c r="O72" i="9" s="1"/>
  <c r="A186" i="9"/>
  <c r="O186" i="9" s="1"/>
  <c r="A75" i="9"/>
  <c r="O75" i="9" s="1"/>
  <c r="A98" i="9"/>
  <c r="O98" i="9" s="1"/>
  <c r="A67" i="9"/>
  <c r="O67" i="9" s="1"/>
  <c r="A71" i="9"/>
  <c r="O71" i="9" s="1"/>
  <c r="A70" i="9"/>
  <c r="O70" i="9" s="1"/>
  <c r="A88" i="9"/>
  <c r="O88" i="9" s="1"/>
  <c r="A100" i="9"/>
  <c r="O100" i="9" s="1"/>
  <c r="A94" i="9"/>
  <c r="O94" i="9" s="1"/>
  <c r="A144" i="9"/>
  <c r="O144" i="9" s="1"/>
  <c r="A81" i="9"/>
  <c r="O81" i="9" s="1"/>
  <c r="A93" i="9"/>
  <c r="O93" i="9" s="1"/>
  <c r="A90" i="9"/>
  <c r="O90" i="9" s="1"/>
  <c r="A145" i="9"/>
  <c r="O145" i="9" s="1"/>
  <c r="A89" i="9"/>
  <c r="O89" i="9" s="1"/>
  <c r="A86" i="9"/>
  <c r="O86" i="9" s="1"/>
  <c r="A96" i="9"/>
  <c r="O96" i="9" s="1"/>
  <c r="A91" i="9"/>
  <c r="O91" i="9" s="1"/>
  <c r="A83" i="9"/>
  <c r="O83" i="9" s="1"/>
  <c r="A87" i="9"/>
  <c r="O87" i="9" s="1"/>
  <c r="A92" i="9"/>
  <c r="O92" i="9" s="1"/>
  <c r="A95" i="9"/>
  <c r="O95" i="9" s="1"/>
  <c r="A97" i="9"/>
  <c r="O97" i="9" s="1"/>
  <c r="A187" i="9"/>
  <c r="O187" i="9" s="1"/>
  <c r="A99" i="9"/>
  <c r="O99" i="9" s="1"/>
  <c r="A85" i="9"/>
  <c r="O85" i="9" s="1"/>
  <c r="A101" i="9"/>
  <c r="O101" i="9" s="1"/>
  <c r="A102" i="9"/>
  <c r="O102" i="9" s="1"/>
  <c r="A103" i="9"/>
  <c r="O103" i="9" s="1"/>
  <c r="A104" i="9"/>
  <c r="O104" i="9" s="1"/>
  <c r="A105" i="9"/>
  <c r="O105" i="9" s="1"/>
  <c r="A146" i="9"/>
  <c r="O146" i="9" s="1"/>
  <c r="A147" i="9"/>
  <c r="O147" i="9" s="1"/>
  <c r="A106" i="9"/>
  <c r="O106" i="9" s="1"/>
  <c r="A107" i="9"/>
  <c r="O107" i="9" s="1"/>
  <c r="A108" i="9"/>
  <c r="O108" i="9" s="1"/>
  <c r="A109" i="9"/>
  <c r="O109" i="9" s="1"/>
  <c r="A110" i="9"/>
  <c r="O110" i="9" s="1"/>
  <c r="A111" i="9"/>
  <c r="O111" i="9" s="1"/>
  <c r="A189" i="9"/>
  <c r="O189" i="9" s="1"/>
  <c r="A80" i="9"/>
  <c r="O80" i="9" s="1"/>
  <c r="A112" i="9"/>
  <c r="O112" i="9" s="1"/>
  <c r="A113" i="9"/>
  <c r="O113" i="9" s="1"/>
  <c r="A114" i="9"/>
  <c r="O114" i="9" s="1"/>
  <c r="A115" i="9"/>
  <c r="O115" i="9" s="1"/>
  <c r="A116" i="9"/>
  <c r="O116" i="9" s="1"/>
  <c r="A117" i="9"/>
  <c r="O117" i="9" s="1"/>
  <c r="A190" i="9"/>
  <c r="O190" i="9" s="1"/>
  <c r="A118" i="9"/>
  <c r="O118" i="9" s="1"/>
  <c r="A119" i="9"/>
  <c r="O119" i="9" s="1"/>
  <c r="A120" i="9"/>
  <c r="O120" i="9" s="1"/>
  <c r="A121" i="9"/>
  <c r="O121" i="9" s="1"/>
  <c r="A122" i="9"/>
  <c r="O122" i="9" s="1"/>
  <c r="A123" i="9"/>
  <c r="O123" i="9" s="1"/>
  <c r="A191" i="9"/>
  <c r="O191" i="9" s="1"/>
  <c r="A192" i="9"/>
  <c r="O192" i="9" s="1"/>
  <c r="A124" i="9"/>
  <c r="O124" i="9" s="1"/>
  <c r="A125" i="9"/>
  <c r="O125" i="9" s="1"/>
  <c r="A193" i="9"/>
  <c r="O193" i="9" s="1"/>
  <c r="A194" i="9"/>
  <c r="O194" i="9" s="1"/>
  <c r="A126" i="9"/>
  <c r="O126" i="9" s="1"/>
  <c r="A127" i="9"/>
  <c r="O127" i="9" s="1"/>
  <c r="A128" i="9"/>
  <c r="O128" i="9" s="1"/>
  <c r="A129" i="9"/>
  <c r="O129" i="9" s="1"/>
  <c r="A130" i="9"/>
  <c r="O130" i="9" s="1"/>
  <c r="A131" i="9"/>
  <c r="O131" i="9" s="1"/>
  <c r="A195" i="9"/>
  <c r="O195" i="9" s="1"/>
  <c r="A132" i="9"/>
  <c r="O132" i="9" s="1"/>
  <c r="A133" i="9"/>
  <c r="O133" i="9" s="1"/>
  <c r="A134" i="9"/>
  <c r="O134" i="9" s="1"/>
  <c r="A78" i="9"/>
  <c r="O78" i="9" s="1"/>
  <c r="A196" i="9"/>
  <c r="O196" i="9" s="1"/>
  <c r="A197" i="9"/>
  <c r="O197" i="9" s="1"/>
  <c r="A150" i="9"/>
  <c r="O150" i="9" s="1"/>
  <c r="A135" i="9"/>
  <c r="O135" i="9" s="1"/>
  <c r="A198" i="9"/>
  <c r="O198" i="9" s="1"/>
  <c r="A136" i="9"/>
  <c r="O136" i="9" s="1"/>
  <c r="A199" i="9"/>
  <c r="O199" i="9" s="1"/>
  <c r="A137" i="9"/>
  <c r="O137" i="9" s="1"/>
  <c r="O148" i="8"/>
  <c r="O149" i="8"/>
  <c r="O147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9" i="8"/>
  <c r="O135" i="8"/>
  <c r="O145" i="8"/>
  <c r="A21" i="7"/>
  <c r="A22" i="7"/>
  <c r="O22" i="7" s="1"/>
  <c r="O7" i="15" l="1"/>
  <c r="P7" i="15"/>
  <c r="O21" i="7"/>
  <c r="A36" i="7"/>
  <c r="O36" i="7" s="1"/>
  <c r="A35" i="7"/>
  <c r="O35" i="7" s="1"/>
  <c r="A42" i="7"/>
  <c r="O42" i="7" s="1"/>
  <c r="A41" i="7"/>
  <c r="O41" i="7" s="1"/>
  <c r="A34" i="7"/>
  <c r="O34" i="7" s="1"/>
  <c r="A33" i="7"/>
  <c r="O33" i="7" s="1"/>
  <c r="A32" i="7"/>
  <c r="O32" i="7" s="1"/>
  <c r="A31" i="7"/>
  <c r="O31" i="7" s="1"/>
  <c r="A30" i="7"/>
  <c r="O30" i="7" s="1"/>
  <c r="A26" i="7"/>
  <c r="O26" i="7" s="1"/>
  <c r="A19" i="7"/>
  <c r="O19" i="7" s="1"/>
  <c r="A28" i="7"/>
  <c r="O28" i="7" s="1"/>
  <c r="A27" i="7"/>
  <c r="O27" i="7" s="1"/>
  <c r="A38" i="7"/>
  <c r="O38" i="7" s="1"/>
  <c r="A20" i="7"/>
  <c r="O20" i="7" s="1"/>
  <c r="A40" i="7"/>
  <c r="O40" i="7" s="1"/>
  <c r="A24" i="7"/>
  <c r="O24" i="7" s="1"/>
  <c r="A23" i="7"/>
  <c r="O23" i="7" s="1"/>
  <c r="A18" i="7"/>
  <c r="O18" i="7" s="1"/>
  <c r="A37" i="7"/>
  <c r="O37" i="7" s="1"/>
  <c r="A39" i="7"/>
  <c r="O39" i="7" s="1"/>
  <c r="A17" i="7"/>
  <c r="O17" i="7" s="1"/>
  <c r="A16" i="7"/>
  <c r="O16" i="7" s="1"/>
  <c r="A15" i="7"/>
  <c r="O15" i="7" s="1"/>
  <c r="A14" i="7"/>
  <c r="O14" i="7" s="1"/>
  <c r="A13" i="7"/>
  <c r="O13" i="7" s="1"/>
  <c r="A29" i="7"/>
  <c r="O29" i="7" s="1"/>
  <c r="A25" i="7"/>
  <c r="O25" i="7" s="1"/>
  <c r="A8" i="7"/>
  <c r="O8" i="7" s="1"/>
  <c r="A7" i="7"/>
  <c r="O7" i="7" s="1"/>
  <c r="K7" i="17" l="1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119" i="16"/>
  <c r="K7" i="16"/>
  <c r="K120" i="16"/>
  <c r="K17" i="16"/>
  <c r="K14" i="16"/>
  <c r="K118" i="16"/>
  <c r="K15" i="16"/>
  <c r="K18" i="16"/>
  <c r="K121" i="16"/>
  <c r="K11" i="16"/>
  <c r="K16" i="16"/>
  <c r="K13" i="16"/>
  <c r="K9" i="16"/>
  <c r="K122" i="16"/>
  <c r="K19" i="16"/>
  <c r="K20" i="16"/>
  <c r="K21" i="16"/>
  <c r="K123" i="16"/>
  <c r="K22" i="16"/>
  <c r="K23" i="16"/>
  <c r="K24" i="16"/>
  <c r="K12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124" i="16"/>
  <c r="K125" i="16"/>
  <c r="K89" i="16"/>
  <c r="K90" i="16"/>
  <c r="K91" i="16"/>
  <c r="K92" i="16"/>
  <c r="K93" i="16"/>
  <c r="K94" i="16"/>
  <c r="K95" i="16"/>
  <c r="K96" i="16"/>
  <c r="K97" i="16"/>
  <c r="K98" i="16"/>
  <c r="K10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8" i="16"/>
  <c r="K113" i="16"/>
  <c r="K114" i="16"/>
  <c r="K115" i="16"/>
  <c r="K116" i="16"/>
  <c r="K117" i="16"/>
  <c r="K126" i="16"/>
  <c r="K127" i="16"/>
  <c r="K128" i="16"/>
  <c r="K129" i="16"/>
  <c r="K130" i="16"/>
  <c r="K131" i="16"/>
  <c r="K132" i="16"/>
  <c r="K133" i="16"/>
  <c r="K134" i="16"/>
  <c r="K7" i="15"/>
  <c r="K8" i="15"/>
  <c r="K120" i="15"/>
  <c r="K99" i="15"/>
  <c r="K100" i="15"/>
  <c r="K101" i="15"/>
  <c r="K12" i="15"/>
  <c r="K9" i="15"/>
  <c r="K11" i="15"/>
  <c r="K10" i="15"/>
  <c r="K15" i="15"/>
  <c r="K13" i="15"/>
  <c r="K16" i="15"/>
  <c r="K44" i="15"/>
  <c r="K18" i="15"/>
  <c r="K49" i="15"/>
  <c r="K14" i="15"/>
  <c r="K36" i="15"/>
  <c r="K26" i="15"/>
  <c r="K17" i="15"/>
  <c r="K25" i="15"/>
  <c r="K45" i="15"/>
  <c r="K48" i="15"/>
  <c r="K33" i="15"/>
  <c r="K31" i="15"/>
  <c r="K42" i="15"/>
  <c r="K22" i="15"/>
  <c r="K19" i="15"/>
  <c r="K23" i="15"/>
  <c r="K50" i="15"/>
  <c r="K60" i="15"/>
  <c r="K20" i="15"/>
  <c r="K63" i="15"/>
  <c r="K21" i="15"/>
  <c r="K30" i="15"/>
  <c r="K51" i="15"/>
  <c r="K52" i="15"/>
  <c r="K28" i="15"/>
  <c r="K37" i="15"/>
  <c r="K32" i="15"/>
  <c r="K53" i="15"/>
  <c r="K40" i="15"/>
  <c r="K38" i="15"/>
  <c r="K29" i="15"/>
  <c r="K43" i="15"/>
  <c r="K46" i="15"/>
  <c r="K24" i="15"/>
  <c r="K64" i="15"/>
  <c r="K39" i="15"/>
  <c r="K47" i="15"/>
  <c r="K54" i="15"/>
  <c r="K41" i="15"/>
  <c r="K65" i="15"/>
  <c r="K55" i="15"/>
  <c r="K56" i="15"/>
  <c r="K57" i="15"/>
  <c r="K58" i="15"/>
  <c r="K59" i="15"/>
  <c r="K27" i="15"/>
  <c r="K66" i="15"/>
  <c r="K67" i="15"/>
  <c r="K68" i="15"/>
  <c r="K121" i="15"/>
  <c r="K122" i="15"/>
  <c r="K123" i="15"/>
  <c r="K124" i="15"/>
  <c r="K125" i="15"/>
  <c r="K126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87" i="15"/>
  <c r="K141" i="15"/>
  <c r="K142" i="15"/>
  <c r="K115" i="15"/>
  <c r="K88" i="15"/>
  <c r="K116" i="15"/>
  <c r="K35" i="15"/>
  <c r="K104" i="15"/>
  <c r="K105" i="15"/>
  <c r="K143" i="15"/>
  <c r="K144" i="15"/>
  <c r="K145" i="15"/>
  <c r="K146" i="15"/>
  <c r="K89" i="15"/>
  <c r="K90" i="15"/>
  <c r="K106" i="15"/>
  <c r="K147" i="15"/>
  <c r="K107" i="15"/>
  <c r="K148" i="15"/>
  <c r="K108" i="15"/>
  <c r="K149" i="15"/>
  <c r="K109" i="15"/>
  <c r="K150" i="15"/>
  <c r="K110" i="15"/>
  <c r="K151" i="15"/>
  <c r="K91" i="15"/>
  <c r="K152" i="15"/>
  <c r="K92" i="15"/>
  <c r="K153" i="15"/>
  <c r="K117" i="15"/>
  <c r="K118" i="15"/>
  <c r="K119" i="15"/>
  <c r="K154" i="15"/>
  <c r="K155" i="15"/>
  <c r="K156" i="15"/>
  <c r="K157" i="15"/>
  <c r="K158" i="15"/>
  <c r="K159" i="15"/>
  <c r="K160" i="15"/>
  <c r="K93" i="15"/>
  <c r="K161" i="15"/>
  <c r="K162" i="15"/>
  <c r="K163" i="15"/>
  <c r="K164" i="15"/>
  <c r="K111" i="15"/>
  <c r="K165" i="15"/>
  <c r="K112" i="15"/>
  <c r="K166" i="15"/>
  <c r="K113" i="15"/>
  <c r="K167" i="15"/>
  <c r="K114" i="15"/>
  <c r="K168" i="15"/>
  <c r="K169" i="15"/>
  <c r="K170" i="15"/>
  <c r="K62" i="15"/>
  <c r="K171" i="15"/>
  <c r="K172" i="15"/>
  <c r="K173" i="15"/>
  <c r="K174" i="15"/>
  <c r="K175" i="15"/>
  <c r="K176" i="15"/>
  <c r="K177" i="15"/>
  <c r="K178" i="15"/>
  <c r="K61" i="15"/>
  <c r="K94" i="15"/>
  <c r="K34" i="15"/>
  <c r="K95" i="15"/>
  <c r="K96" i="15"/>
  <c r="K179" i="15"/>
  <c r="K180" i="15"/>
  <c r="K97" i="15"/>
  <c r="K102" i="15"/>
  <c r="K181" i="15"/>
  <c r="K103" i="15"/>
  <c r="K98" i="15"/>
  <c r="K12" i="13"/>
  <c r="K14" i="13"/>
  <c r="K13" i="13"/>
  <c r="K22" i="13"/>
  <c r="K8" i="13"/>
  <c r="K57" i="13"/>
  <c r="K35" i="13"/>
  <c r="K73" i="13"/>
  <c r="K67" i="13"/>
  <c r="K11" i="13"/>
  <c r="K20" i="13"/>
  <c r="K10" i="13"/>
  <c r="K49" i="13"/>
  <c r="K63" i="13"/>
  <c r="K87" i="13"/>
  <c r="K75" i="13"/>
  <c r="K7" i="13"/>
  <c r="K9" i="13"/>
  <c r="K31" i="13"/>
  <c r="K41" i="13"/>
  <c r="K66" i="13"/>
  <c r="K64" i="13"/>
  <c r="K72" i="13"/>
  <c r="K65" i="13"/>
  <c r="K79" i="13"/>
  <c r="K36" i="13"/>
  <c r="K32" i="13"/>
  <c r="K60" i="13"/>
  <c r="K61" i="13"/>
  <c r="K84" i="13"/>
  <c r="K76" i="13"/>
  <c r="K45" i="13"/>
  <c r="K38" i="13"/>
  <c r="K71" i="13"/>
  <c r="K21" i="13"/>
  <c r="K28" i="13"/>
  <c r="K62" i="13"/>
  <c r="K19" i="13"/>
  <c r="K52" i="13"/>
  <c r="K70" i="13"/>
  <c r="K69" i="13"/>
  <c r="K82" i="13"/>
  <c r="K30" i="13"/>
  <c r="K34" i="13"/>
  <c r="K74" i="13"/>
  <c r="K92" i="13"/>
  <c r="K50" i="13"/>
  <c r="K37" i="13"/>
  <c r="K16" i="13"/>
  <c r="K48" i="13"/>
  <c r="K27" i="13"/>
  <c r="K93" i="13"/>
  <c r="K46" i="13"/>
  <c r="K51" i="13"/>
  <c r="K29" i="13"/>
  <c r="K18" i="13"/>
  <c r="K95" i="13"/>
  <c r="K77" i="13"/>
  <c r="K68" i="13"/>
  <c r="K89" i="13"/>
  <c r="K33" i="13"/>
  <c r="K97" i="13"/>
  <c r="K55" i="13"/>
  <c r="K42" i="13"/>
  <c r="K39" i="13"/>
  <c r="K23" i="13"/>
  <c r="K99" i="13"/>
  <c r="K100" i="13"/>
  <c r="K101" i="13"/>
  <c r="K102" i="13"/>
  <c r="K103" i="13"/>
  <c r="K104" i="13"/>
  <c r="K105" i="13"/>
  <c r="K40" i="13"/>
  <c r="K81" i="13"/>
  <c r="K80" i="13"/>
  <c r="K53" i="13"/>
  <c r="K86" i="13"/>
  <c r="K83" i="13"/>
  <c r="K94" i="13"/>
  <c r="K47" i="13"/>
  <c r="K15" i="13"/>
  <c r="K24" i="13"/>
  <c r="K43" i="13"/>
  <c r="K17" i="13"/>
  <c r="K90" i="13"/>
  <c r="K85" i="13"/>
  <c r="K91" i="13"/>
  <c r="K96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44" i="13"/>
  <c r="K78" i="13"/>
  <c r="K54" i="13"/>
  <c r="K25" i="13"/>
  <c r="K58" i="13"/>
  <c r="K88" i="13"/>
  <c r="K26" i="13"/>
  <c r="K98" i="13"/>
  <c r="K59" i="13"/>
  <c r="K56" i="13"/>
  <c r="K12" i="12"/>
  <c r="K11" i="12"/>
  <c r="K9" i="12"/>
  <c r="K10" i="12"/>
  <c r="K61" i="12"/>
  <c r="K64" i="12"/>
  <c r="K63" i="12"/>
  <c r="K25" i="12"/>
  <c r="K65" i="12"/>
  <c r="K42" i="12"/>
  <c r="K66" i="12"/>
  <c r="K29" i="12"/>
  <c r="K31" i="12"/>
  <c r="K43" i="12"/>
  <c r="K33" i="12"/>
  <c r="K32" i="12"/>
  <c r="K30" i="12"/>
  <c r="K34" i="12"/>
  <c r="K39" i="12"/>
  <c r="K35" i="12"/>
  <c r="K44" i="12"/>
  <c r="K18" i="12"/>
  <c r="K40" i="12"/>
  <c r="K41" i="12"/>
  <c r="K38" i="12"/>
  <c r="K37" i="12"/>
  <c r="K45" i="12"/>
  <c r="K46" i="12"/>
  <c r="K47" i="12"/>
  <c r="K48" i="12"/>
  <c r="K49" i="12"/>
  <c r="K50" i="12"/>
  <c r="K51" i="12"/>
  <c r="K36" i="12"/>
  <c r="K52" i="12"/>
  <c r="K53" i="12"/>
  <c r="K54" i="12"/>
  <c r="K26" i="12"/>
  <c r="K28" i="12"/>
  <c r="K55" i="12"/>
  <c r="K56" i="12"/>
  <c r="K27" i="12"/>
  <c r="K13" i="12"/>
  <c r="K57" i="12"/>
  <c r="K58" i="12"/>
  <c r="K24" i="12"/>
  <c r="K62" i="12"/>
  <c r="K59" i="12"/>
  <c r="K60" i="12"/>
  <c r="K21" i="12"/>
  <c r="K20" i="12"/>
  <c r="K17" i="12"/>
  <c r="K16" i="12"/>
  <c r="K14" i="12"/>
  <c r="K15" i="12"/>
  <c r="K22" i="12"/>
  <c r="K23" i="12"/>
  <c r="K19" i="12"/>
  <c r="K7" i="11"/>
  <c r="K10" i="11"/>
  <c r="K12" i="11"/>
  <c r="K21" i="11"/>
  <c r="K30" i="11"/>
  <c r="K11" i="11"/>
  <c r="K14" i="11"/>
  <c r="K8" i="11"/>
  <c r="K16" i="11"/>
  <c r="K17" i="11"/>
  <c r="K25" i="11"/>
  <c r="K66" i="11"/>
  <c r="K65" i="11"/>
  <c r="K15" i="11"/>
  <c r="K69" i="11"/>
  <c r="K70" i="11"/>
  <c r="K71" i="11"/>
  <c r="K72" i="11"/>
  <c r="K73" i="11"/>
  <c r="K13" i="11"/>
  <c r="K19" i="11"/>
  <c r="K27" i="11"/>
  <c r="K24" i="11"/>
  <c r="K74" i="11"/>
  <c r="K67" i="11"/>
  <c r="K68" i="11"/>
  <c r="K75" i="11"/>
  <c r="K76" i="11"/>
  <c r="K77" i="11"/>
  <c r="K78" i="11"/>
  <c r="K79" i="11"/>
  <c r="K80" i="11"/>
  <c r="K26" i="11"/>
  <c r="K23" i="11"/>
  <c r="K22" i="11"/>
  <c r="K20" i="11"/>
  <c r="K18" i="11"/>
  <c r="K28" i="11"/>
  <c r="K31" i="11"/>
  <c r="K32" i="11"/>
  <c r="K35" i="11"/>
  <c r="K33" i="11"/>
  <c r="K29" i="11"/>
  <c r="K34" i="11"/>
  <c r="K9" i="11"/>
  <c r="K36" i="11"/>
  <c r="K37" i="11"/>
  <c r="K38" i="11"/>
  <c r="K39" i="11"/>
  <c r="K40" i="11"/>
  <c r="K41" i="11"/>
  <c r="K42" i="11"/>
  <c r="K64" i="11"/>
  <c r="K45" i="11"/>
  <c r="K63" i="11"/>
  <c r="K48" i="11"/>
  <c r="K47" i="11"/>
  <c r="K50" i="11"/>
  <c r="K55" i="11"/>
  <c r="K52" i="11"/>
  <c r="K46" i="11"/>
  <c r="K53" i="11"/>
  <c r="K43" i="11"/>
  <c r="K49" i="11"/>
  <c r="K51" i="11"/>
  <c r="K44" i="11"/>
  <c r="K59" i="11"/>
  <c r="K54" i="11"/>
  <c r="K58" i="11"/>
  <c r="K61" i="11"/>
  <c r="K62" i="11"/>
  <c r="K56" i="11"/>
  <c r="K60" i="11"/>
  <c r="K57" i="11"/>
  <c r="K107" i="10"/>
  <c r="K108" i="10"/>
  <c r="K109" i="10"/>
  <c r="K110" i="10"/>
  <c r="K7" i="10"/>
  <c r="K8" i="10"/>
  <c r="K9" i="10"/>
  <c r="K25" i="10"/>
  <c r="K20" i="10"/>
  <c r="K10" i="10"/>
  <c r="K11" i="10"/>
  <c r="K26" i="10"/>
  <c r="K18" i="10"/>
  <c r="K27" i="10"/>
  <c r="K15" i="10"/>
  <c r="K22" i="10"/>
  <c r="K36" i="10"/>
  <c r="K19" i="10"/>
  <c r="K28" i="10"/>
  <c r="K41" i="10"/>
  <c r="K29" i="10"/>
  <c r="K30" i="10"/>
  <c r="K13" i="10"/>
  <c r="K21" i="10"/>
  <c r="K31" i="10"/>
  <c r="K42" i="10"/>
  <c r="K38" i="10"/>
  <c r="K16" i="10"/>
  <c r="K39" i="10"/>
  <c r="K32" i="10"/>
  <c r="K33" i="10"/>
  <c r="K37" i="10"/>
  <c r="K34" i="10"/>
  <c r="K23" i="10"/>
  <c r="K35" i="10"/>
  <c r="K24" i="10"/>
  <c r="K12" i="10"/>
  <c r="K40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17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1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7" i="9"/>
  <c r="K22" i="9"/>
  <c r="K9" i="9"/>
  <c r="K11" i="9"/>
  <c r="K8" i="9"/>
  <c r="K148" i="9"/>
  <c r="K14" i="9"/>
  <c r="K19" i="9"/>
  <c r="K13" i="9"/>
  <c r="K16" i="9"/>
  <c r="K20" i="9"/>
  <c r="K151" i="9"/>
  <c r="K152" i="9"/>
  <c r="K153" i="9"/>
  <c r="K15" i="9"/>
  <c r="K154" i="9"/>
  <c r="K155" i="9"/>
  <c r="K156" i="9"/>
  <c r="K157" i="9"/>
  <c r="K158" i="9"/>
  <c r="K159" i="9"/>
  <c r="K160" i="9"/>
  <c r="K161" i="9"/>
  <c r="K162" i="9"/>
  <c r="K138" i="9"/>
  <c r="K163" i="9"/>
  <c r="K164" i="9"/>
  <c r="K17" i="9"/>
  <c r="K29" i="9"/>
  <c r="K21" i="9"/>
  <c r="K12" i="9"/>
  <c r="K165" i="9"/>
  <c r="K166" i="9"/>
  <c r="K24" i="9"/>
  <c r="K167" i="9"/>
  <c r="K168" i="9"/>
  <c r="K169" i="9"/>
  <c r="K170" i="9"/>
  <c r="K188" i="9"/>
  <c r="K171" i="9"/>
  <c r="K172" i="9"/>
  <c r="K173" i="9"/>
  <c r="K25" i="9"/>
  <c r="K174" i="9"/>
  <c r="K175" i="9"/>
  <c r="K176" i="9"/>
  <c r="K177" i="9"/>
  <c r="K36" i="9"/>
  <c r="K27" i="9"/>
  <c r="K35" i="9"/>
  <c r="K178" i="9"/>
  <c r="K18" i="9"/>
  <c r="K179" i="9"/>
  <c r="K180" i="9"/>
  <c r="K33" i="9"/>
  <c r="K40" i="9"/>
  <c r="K26" i="9"/>
  <c r="K44" i="9"/>
  <c r="K32" i="9"/>
  <c r="K28" i="9"/>
  <c r="K43" i="9"/>
  <c r="K10" i="9"/>
  <c r="K34" i="9"/>
  <c r="K23" i="9"/>
  <c r="K30" i="9"/>
  <c r="K45" i="9"/>
  <c r="K42" i="9"/>
  <c r="K41" i="9"/>
  <c r="K39" i="9"/>
  <c r="K31" i="9"/>
  <c r="K38" i="9"/>
  <c r="K37" i="9"/>
  <c r="K46" i="9"/>
  <c r="K47" i="9"/>
  <c r="K142" i="9"/>
  <c r="K140" i="9"/>
  <c r="K139" i="9"/>
  <c r="K48" i="9"/>
  <c r="K63" i="9"/>
  <c r="K56" i="9"/>
  <c r="K50" i="9"/>
  <c r="K59" i="9"/>
  <c r="K51" i="9"/>
  <c r="K52" i="9"/>
  <c r="K57" i="9"/>
  <c r="K66" i="9"/>
  <c r="K55" i="9"/>
  <c r="K61" i="9"/>
  <c r="K54" i="9"/>
  <c r="K65" i="9"/>
  <c r="K49" i="9"/>
  <c r="K181" i="9"/>
  <c r="K141" i="9"/>
  <c r="K68" i="9"/>
  <c r="K62" i="9"/>
  <c r="K143" i="9"/>
  <c r="K77" i="9"/>
  <c r="K182" i="9"/>
  <c r="K73" i="9"/>
  <c r="K82" i="9"/>
  <c r="K183" i="9"/>
  <c r="K69" i="9"/>
  <c r="K149" i="9"/>
  <c r="K58" i="9"/>
  <c r="K184" i="9"/>
  <c r="K84" i="9"/>
  <c r="K60" i="9"/>
  <c r="K79" i="9"/>
  <c r="K64" i="9"/>
  <c r="K74" i="9"/>
  <c r="K185" i="9"/>
  <c r="K53" i="9"/>
  <c r="K76" i="9"/>
  <c r="K72" i="9"/>
  <c r="K186" i="9"/>
  <c r="K75" i="9"/>
  <c r="K98" i="9"/>
  <c r="K67" i="9"/>
  <c r="K71" i="9"/>
  <c r="K70" i="9"/>
  <c r="K88" i="9"/>
  <c r="K100" i="9"/>
  <c r="K94" i="9"/>
  <c r="K144" i="9"/>
  <c r="K81" i="9"/>
  <c r="K93" i="9"/>
  <c r="K90" i="9"/>
  <c r="K145" i="9"/>
  <c r="K89" i="9"/>
  <c r="K86" i="9"/>
  <c r="K96" i="9"/>
  <c r="K91" i="9"/>
  <c r="K83" i="9"/>
  <c r="K87" i="9"/>
  <c r="K92" i="9"/>
  <c r="K95" i="9"/>
  <c r="K97" i="9"/>
  <c r="K187" i="9"/>
  <c r="K99" i="9"/>
  <c r="K85" i="9"/>
  <c r="K101" i="9"/>
  <c r="K102" i="9"/>
  <c r="K103" i="9"/>
  <c r="K104" i="9"/>
  <c r="K105" i="9"/>
  <c r="K146" i="9"/>
  <c r="K147" i="9"/>
  <c r="K106" i="9"/>
  <c r="K107" i="9"/>
  <c r="K108" i="9"/>
  <c r="K109" i="9"/>
  <c r="K110" i="9"/>
  <c r="K111" i="9"/>
  <c r="K189" i="9"/>
  <c r="K80" i="9"/>
  <c r="K112" i="9"/>
  <c r="K113" i="9"/>
  <c r="K114" i="9"/>
  <c r="K115" i="9"/>
  <c r="K116" i="9"/>
  <c r="K117" i="9"/>
  <c r="K190" i="9"/>
  <c r="K118" i="9"/>
  <c r="K119" i="9"/>
  <c r="K120" i="9"/>
  <c r="K121" i="9"/>
  <c r="K122" i="9"/>
  <c r="K123" i="9"/>
  <c r="K191" i="9"/>
  <c r="K192" i="9"/>
  <c r="K124" i="9"/>
  <c r="K125" i="9"/>
  <c r="K193" i="9"/>
  <c r="K194" i="9"/>
  <c r="K126" i="9"/>
  <c r="K127" i="9"/>
  <c r="K128" i="9"/>
  <c r="K129" i="9"/>
  <c r="K130" i="9"/>
  <c r="K131" i="9"/>
  <c r="K195" i="9"/>
  <c r="K132" i="9"/>
  <c r="K133" i="9"/>
  <c r="K134" i="9"/>
  <c r="K78" i="9"/>
  <c r="K196" i="9"/>
  <c r="K197" i="9"/>
  <c r="K150" i="9"/>
  <c r="K135" i="9"/>
  <c r="K198" i="9"/>
  <c r="K136" i="9"/>
  <c r="K199" i="9"/>
  <c r="K137" i="9"/>
  <c r="E9" i="19"/>
  <c r="E6" i="19"/>
  <c r="E7" i="19"/>
  <c r="E8" i="19"/>
  <c r="E10" i="19"/>
  <c r="D9" i="19"/>
  <c r="D6" i="19"/>
  <c r="D7" i="19"/>
  <c r="D8" i="19"/>
  <c r="D10" i="19"/>
  <c r="C9" i="19"/>
  <c r="C6" i="19"/>
  <c r="C7" i="19"/>
  <c r="C8" i="19"/>
  <c r="C10" i="19"/>
  <c r="AC114" i="8"/>
  <c r="AC20" i="8"/>
  <c r="AC10" i="8"/>
  <c r="AC44" i="8"/>
  <c r="AC11" i="8"/>
  <c r="AC101" i="8"/>
  <c r="AC148" i="8"/>
  <c r="AC149" i="8"/>
  <c r="AC147" i="8"/>
  <c r="AC150" i="8"/>
  <c r="AC151" i="8"/>
  <c r="AC113" i="8"/>
  <c r="AC152" i="8"/>
  <c r="AC153" i="8"/>
  <c r="AC82" i="8"/>
  <c r="AC154" i="8"/>
  <c r="AC155" i="8"/>
  <c r="AC45" i="8"/>
  <c r="AC156" i="8"/>
  <c r="AC157" i="8"/>
  <c r="AC71" i="8"/>
  <c r="AC158" i="8"/>
  <c r="AC159" i="8"/>
  <c r="AC160" i="8"/>
  <c r="AC161" i="8"/>
  <c r="AC162" i="8"/>
  <c r="AC163" i="8"/>
  <c r="AC164" i="8"/>
  <c r="AC124" i="8"/>
  <c r="AC39" i="8"/>
  <c r="AC165" i="8"/>
  <c r="AC166" i="8"/>
  <c r="AC25" i="8"/>
  <c r="AC167" i="8"/>
  <c r="AC168" i="8"/>
  <c r="AC169" i="8"/>
  <c r="AC170" i="8"/>
  <c r="AC171" i="8"/>
  <c r="AC54" i="8"/>
  <c r="AC74" i="8"/>
  <c r="AC90" i="8"/>
  <c r="AC58" i="8"/>
  <c r="AC32" i="8"/>
  <c r="AC43" i="8"/>
  <c r="AC75" i="8"/>
  <c r="AC30" i="8"/>
  <c r="AC63" i="8"/>
  <c r="AC89" i="8"/>
  <c r="AC69" i="8"/>
  <c r="AC96" i="8"/>
  <c r="AC52" i="8"/>
  <c r="AC121" i="8"/>
  <c r="AC7" i="8"/>
  <c r="AC66" i="8"/>
  <c r="AC122" i="8"/>
  <c r="AC93" i="8"/>
  <c r="AC13" i="8"/>
  <c r="AC12" i="8"/>
  <c r="AC28" i="8"/>
  <c r="AC34" i="8"/>
  <c r="AC29" i="8"/>
  <c r="AC48" i="8"/>
  <c r="AC105" i="8"/>
  <c r="AC98" i="8"/>
  <c r="AC56" i="8"/>
  <c r="AC51" i="8"/>
  <c r="AC107" i="8"/>
  <c r="AC31" i="8"/>
  <c r="AC85" i="8"/>
  <c r="AC78" i="8"/>
  <c r="AC38" i="8"/>
  <c r="AC83" i="8"/>
  <c r="AC50" i="8"/>
  <c r="AC80" i="8"/>
  <c r="AC55" i="8"/>
  <c r="AC22" i="8"/>
  <c r="AC77" i="8"/>
  <c r="AC64" i="8"/>
  <c r="AC70" i="8"/>
  <c r="AC91" i="8"/>
  <c r="AC111" i="8"/>
  <c r="AC108" i="8"/>
  <c r="AC76" i="8"/>
  <c r="AC65" i="8"/>
  <c r="AC21" i="8"/>
  <c r="AC106" i="8"/>
  <c r="AC8" i="8"/>
  <c r="AC100" i="8"/>
  <c r="AC59" i="8"/>
  <c r="AC61" i="8"/>
  <c r="AC15" i="8"/>
  <c r="AC49" i="8"/>
  <c r="AC104" i="8"/>
  <c r="AC86" i="8"/>
  <c r="AC92" i="8"/>
  <c r="AC68" i="8"/>
  <c r="AC37" i="8"/>
  <c r="AC60" i="8"/>
  <c r="AC46" i="8"/>
  <c r="AC40" i="8"/>
  <c r="AC26" i="8"/>
  <c r="AC14" i="8"/>
  <c r="AC73" i="8"/>
  <c r="AC103" i="8"/>
  <c r="AC72" i="8"/>
  <c r="AC88" i="8"/>
  <c r="AC57" i="8"/>
  <c r="AC123" i="8"/>
  <c r="AC97" i="8"/>
  <c r="AC41" i="8"/>
  <c r="AC79" i="8"/>
  <c r="AC84" i="8"/>
  <c r="AC87" i="8"/>
  <c r="AC19" i="8"/>
  <c r="AC102" i="8"/>
  <c r="AC95" i="8"/>
  <c r="AC42" i="8"/>
  <c r="AC53" i="8"/>
  <c r="AC99" i="8"/>
  <c r="AC112" i="8"/>
  <c r="AC17" i="8"/>
  <c r="AC62" i="8"/>
  <c r="AC94" i="8"/>
  <c r="AC24" i="8"/>
  <c r="AC33" i="8"/>
  <c r="AC36" i="8"/>
  <c r="AC47" i="8"/>
  <c r="AC35" i="8"/>
  <c r="AC16" i="8"/>
  <c r="AC23" i="8"/>
  <c r="AC110" i="8"/>
  <c r="AC81" i="8"/>
  <c r="AC67" i="8"/>
  <c r="AC18" i="8"/>
  <c r="AC27" i="8"/>
  <c r="AC109" i="8"/>
  <c r="AC129" i="8"/>
  <c r="AC131" i="8"/>
  <c r="AC132" i="8"/>
  <c r="AC133" i="8"/>
  <c r="AC128" i="8"/>
  <c r="AC130" i="8"/>
  <c r="AC134" i="8"/>
  <c r="AC140" i="8"/>
  <c r="AC135" i="8"/>
  <c r="AC143" i="8"/>
  <c r="AC136" i="8"/>
  <c r="AC144" i="8"/>
  <c r="AC141" i="8"/>
  <c r="AC142" i="8"/>
  <c r="AC145" i="8"/>
  <c r="AC146" i="8"/>
  <c r="AD8" i="8" l="1"/>
  <c r="Q8" i="8" s="1"/>
  <c r="O8" i="8" s="1"/>
  <c r="AD7" i="8"/>
  <c r="Q7" i="8" s="1"/>
  <c r="O7" i="8" s="1"/>
  <c r="AD114" i="8" l="1"/>
  <c r="Q114" i="8" s="1"/>
  <c r="O114" i="8" s="1"/>
  <c r="AD11" i="8"/>
  <c r="Q11" i="8" s="1"/>
  <c r="O11" i="8" s="1"/>
  <c r="AD147" i="8"/>
  <c r="Q147" i="8" s="1"/>
  <c r="AD152" i="8"/>
  <c r="Q152" i="8" s="1"/>
  <c r="AD155" i="8"/>
  <c r="Q155" i="8" s="1"/>
  <c r="AD71" i="8"/>
  <c r="Q71" i="8" s="1"/>
  <c r="O71" i="8" s="1"/>
  <c r="AD161" i="8"/>
  <c r="Q161" i="8" s="1"/>
  <c r="AD124" i="8"/>
  <c r="Q124" i="8" s="1"/>
  <c r="O124" i="8" s="1"/>
  <c r="AD25" i="8"/>
  <c r="Q25" i="8" s="1"/>
  <c r="O25" i="8" s="1"/>
  <c r="AD170" i="8"/>
  <c r="Q170" i="8" s="1"/>
  <c r="AD90" i="8"/>
  <c r="Q90" i="8" s="1"/>
  <c r="O90" i="8" s="1"/>
  <c r="AD75" i="8"/>
  <c r="Q75" i="8" s="1"/>
  <c r="O75" i="8" s="1"/>
  <c r="AD69" i="8"/>
  <c r="Q69" i="8" s="1"/>
  <c r="O69" i="8" s="1"/>
  <c r="AD122" i="8"/>
  <c r="Q122" i="8" s="1"/>
  <c r="O122" i="8" s="1"/>
  <c r="AD28" i="8"/>
  <c r="Q28" i="8" s="1"/>
  <c r="O28" i="8" s="1"/>
  <c r="AD105" i="8"/>
  <c r="Q105" i="8" s="1"/>
  <c r="O105" i="8" s="1"/>
  <c r="AD107" i="8"/>
  <c r="Q107" i="8" s="1"/>
  <c r="O107" i="8" s="1"/>
  <c r="AD38" i="8"/>
  <c r="Q38" i="8" s="1"/>
  <c r="O38" i="8" s="1"/>
  <c r="AD55" i="8"/>
  <c r="Q55" i="8" s="1"/>
  <c r="O55" i="8" s="1"/>
  <c r="AD70" i="8"/>
  <c r="Q70" i="8" s="1"/>
  <c r="O70" i="8" s="1"/>
  <c r="AD76" i="8"/>
  <c r="Q76" i="8" s="1"/>
  <c r="O76" i="8" s="1"/>
  <c r="AD59" i="8"/>
  <c r="Q59" i="8" s="1"/>
  <c r="O59" i="8" s="1"/>
  <c r="AD104" i="8"/>
  <c r="Q104" i="8" s="1"/>
  <c r="O104" i="8" s="1"/>
  <c r="AD37" i="8"/>
  <c r="Q37" i="8" s="1"/>
  <c r="O37" i="8" s="1"/>
  <c r="AD26" i="8"/>
  <c r="Q26" i="8" s="1"/>
  <c r="O26" i="8" s="1"/>
  <c r="AD72" i="8"/>
  <c r="Q72" i="8" s="1"/>
  <c r="O72" i="8" s="1"/>
  <c r="AD97" i="8"/>
  <c r="Q97" i="8" s="1"/>
  <c r="O97" i="8" s="1"/>
  <c r="AD87" i="8"/>
  <c r="Q87" i="8" s="1"/>
  <c r="O87" i="8" s="1"/>
  <c r="AD42" i="8"/>
  <c r="Q42" i="8" s="1"/>
  <c r="O42" i="8" s="1"/>
  <c r="AD17" i="8"/>
  <c r="Q17" i="8" s="1"/>
  <c r="O17" i="8" s="1"/>
  <c r="AD33" i="8"/>
  <c r="Q33" i="8" s="1"/>
  <c r="O33" i="8" s="1"/>
  <c r="AD16" i="8"/>
  <c r="Q16" i="8" s="1"/>
  <c r="O16" i="8" s="1"/>
  <c r="AD67" i="8"/>
  <c r="Q67" i="8" s="1"/>
  <c r="O67" i="8" s="1"/>
  <c r="AD129" i="8"/>
  <c r="Q129" i="8" s="1"/>
  <c r="O129" i="8" s="1"/>
  <c r="AD128" i="8"/>
  <c r="Q128" i="8" s="1"/>
  <c r="O128" i="8" s="1"/>
  <c r="AD135" i="8"/>
  <c r="Q135" i="8" s="1"/>
  <c r="AD141" i="8"/>
  <c r="Q141" i="8" s="1"/>
  <c r="O141" i="8" s="1"/>
  <c r="AD142" i="8"/>
  <c r="Q142" i="8" s="1"/>
  <c r="O142" i="8" s="1"/>
  <c r="AD20" i="8"/>
  <c r="Q20" i="8" s="1"/>
  <c r="O20" i="8" s="1"/>
  <c r="AD101" i="8"/>
  <c r="Q101" i="8" s="1"/>
  <c r="O101" i="8" s="1"/>
  <c r="AD150" i="8"/>
  <c r="Q150" i="8" s="1"/>
  <c r="AD153" i="8"/>
  <c r="Q153" i="8" s="1"/>
  <c r="AD45" i="8"/>
  <c r="Q45" i="8" s="1"/>
  <c r="O45" i="8" s="1"/>
  <c r="AD158" i="8"/>
  <c r="Q158" i="8" s="1"/>
  <c r="AD162" i="8"/>
  <c r="Q162" i="8" s="1"/>
  <c r="AD39" i="8"/>
  <c r="Q39" i="8" s="1"/>
  <c r="O39" i="8" s="1"/>
  <c r="AD167" i="8"/>
  <c r="Q167" i="8" s="1"/>
  <c r="AD171" i="8"/>
  <c r="Q171" i="8" s="1"/>
  <c r="AD58" i="8"/>
  <c r="Q58" i="8" s="1"/>
  <c r="O58" i="8" s="1"/>
  <c r="AD30" i="8"/>
  <c r="Q30" i="8" s="1"/>
  <c r="O30" i="8" s="1"/>
  <c r="AD96" i="8"/>
  <c r="Q96" i="8" s="1"/>
  <c r="O96" i="8" s="1"/>
  <c r="AD66" i="8"/>
  <c r="Q66" i="8" s="1"/>
  <c r="O66" i="8" s="1"/>
  <c r="AD12" i="8"/>
  <c r="Q12" i="8" s="1"/>
  <c r="O12" i="8" s="1"/>
  <c r="AD48" i="8"/>
  <c r="Q48" i="8" s="1"/>
  <c r="O48" i="8" s="1"/>
  <c r="AD51" i="8"/>
  <c r="Q51" i="8" s="1"/>
  <c r="O51" i="8" s="1"/>
  <c r="AD78" i="8"/>
  <c r="Q78" i="8" s="1"/>
  <c r="O78" i="8" s="1"/>
  <c r="AD80" i="8"/>
  <c r="Q80" i="8" s="1"/>
  <c r="O80" i="8" s="1"/>
  <c r="AD64" i="8"/>
  <c r="Q64" i="8" s="1"/>
  <c r="O64" i="8" s="1"/>
  <c r="AD108" i="8"/>
  <c r="Q108" i="8" s="1"/>
  <c r="O108" i="8" s="1"/>
  <c r="AD106" i="8"/>
  <c r="Q106" i="8" s="1"/>
  <c r="O106" i="8" s="1"/>
  <c r="AD61" i="8"/>
  <c r="Q61" i="8" s="1"/>
  <c r="O61" i="8" s="1"/>
  <c r="AD86" i="8"/>
  <c r="Q86" i="8" s="1"/>
  <c r="O86" i="8" s="1"/>
  <c r="AD60" i="8"/>
  <c r="Q60" i="8" s="1"/>
  <c r="O60" i="8" s="1"/>
  <c r="AD14" i="8"/>
  <c r="Q14" i="8" s="1"/>
  <c r="O14" i="8" s="1"/>
  <c r="AD88" i="8"/>
  <c r="Q88" i="8" s="1"/>
  <c r="O88" i="8" s="1"/>
  <c r="AD41" i="8"/>
  <c r="Q41" i="8" s="1"/>
  <c r="O41" i="8" s="1"/>
  <c r="AD19" i="8"/>
  <c r="Q19" i="8" s="1"/>
  <c r="O19" i="8" s="1"/>
  <c r="AD53" i="8"/>
  <c r="Q53" i="8" s="1"/>
  <c r="O53" i="8" s="1"/>
  <c r="AD62" i="8"/>
  <c r="Q62" i="8" s="1"/>
  <c r="O62" i="8" s="1"/>
  <c r="AD36" i="8"/>
  <c r="Q36" i="8" s="1"/>
  <c r="O36" i="8" s="1"/>
  <c r="AD23" i="8"/>
  <c r="Q23" i="8" s="1"/>
  <c r="O23" i="8" s="1"/>
  <c r="AD18" i="8"/>
  <c r="Q18" i="8" s="1"/>
  <c r="O18" i="8" s="1"/>
  <c r="AD131" i="8"/>
  <c r="Q131" i="8" s="1"/>
  <c r="O131" i="8" s="1"/>
  <c r="AD130" i="8"/>
  <c r="Q130" i="8" s="1"/>
  <c r="O130" i="8" s="1"/>
  <c r="AD143" i="8"/>
  <c r="Q143" i="8" s="1"/>
  <c r="O143" i="8" s="1"/>
  <c r="AD10" i="8"/>
  <c r="Q10" i="8" s="1"/>
  <c r="O10" i="8" s="1"/>
  <c r="AD148" i="8"/>
  <c r="Q148" i="8" s="1"/>
  <c r="AD151" i="8"/>
  <c r="Q151" i="8" s="1"/>
  <c r="AD82" i="8"/>
  <c r="Q82" i="8" s="1"/>
  <c r="O82" i="8" s="1"/>
  <c r="AD156" i="8"/>
  <c r="Q156" i="8" s="1"/>
  <c r="AD159" i="8"/>
  <c r="Q159" i="8" s="1"/>
  <c r="AD163" i="8"/>
  <c r="Q163" i="8" s="1"/>
  <c r="AD165" i="8"/>
  <c r="Q165" i="8" s="1"/>
  <c r="AD168" i="8"/>
  <c r="Q168" i="8" s="1"/>
  <c r="AD54" i="8"/>
  <c r="Q54" i="8" s="1"/>
  <c r="O54" i="8" s="1"/>
  <c r="AD32" i="8"/>
  <c r="Q32" i="8" s="1"/>
  <c r="O32" i="8" s="1"/>
  <c r="AD63" i="8"/>
  <c r="Q63" i="8" s="1"/>
  <c r="O63" i="8" s="1"/>
  <c r="AD52" i="8"/>
  <c r="Q52" i="8" s="1"/>
  <c r="O52" i="8" s="1"/>
  <c r="AD13" i="8"/>
  <c r="Q13" i="8" s="1"/>
  <c r="O13" i="8" s="1"/>
  <c r="AD29" i="8"/>
  <c r="Q29" i="8" s="1"/>
  <c r="O29" i="8" s="1"/>
  <c r="AD56" i="8"/>
  <c r="Q56" i="8" s="1"/>
  <c r="O56" i="8" s="1"/>
  <c r="AD85" i="8"/>
  <c r="Q85" i="8" s="1"/>
  <c r="O85" i="8" s="1"/>
  <c r="AD50" i="8"/>
  <c r="Q50" i="8" s="1"/>
  <c r="O50" i="8" s="1"/>
  <c r="AD77" i="8"/>
  <c r="Q77" i="8" s="1"/>
  <c r="O77" i="8" s="1"/>
  <c r="AD111" i="8"/>
  <c r="Q111" i="8" s="1"/>
  <c r="O111" i="8" s="1"/>
  <c r="AD21" i="8"/>
  <c r="Q21" i="8" s="1"/>
  <c r="O21" i="8" s="1"/>
  <c r="AD15" i="8"/>
  <c r="Q15" i="8" s="1"/>
  <c r="O15" i="8" s="1"/>
  <c r="AD92" i="8"/>
  <c r="Q92" i="8" s="1"/>
  <c r="O92" i="8" s="1"/>
  <c r="AD46" i="8"/>
  <c r="Q46" i="8" s="1"/>
  <c r="O46" i="8" s="1"/>
  <c r="AD73" i="8"/>
  <c r="Q73" i="8" s="1"/>
  <c r="O73" i="8" s="1"/>
  <c r="AD57" i="8"/>
  <c r="Q57" i="8" s="1"/>
  <c r="O57" i="8" s="1"/>
  <c r="AD79" i="8"/>
  <c r="Q79" i="8" s="1"/>
  <c r="O79" i="8" s="1"/>
  <c r="AD102" i="8"/>
  <c r="Q102" i="8" s="1"/>
  <c r="O102" i="8" s="1"/>
  <c r="AD99" i="8"/>
  <c r="Q99" i="8" s="1"/>
  <c r="O99" i="8" s="1"/>
  <c r="AD94" i="8"/>
  <c r="Q94" i="8" s="1"/>
  <c r="O94" i="8" s="1"/>
  <c r="AD47" i="8"/>
  <c r="Q47" i="8" s="1"/>
  <c r="O47" i="8" s="1"/>
  <c r="AD110" i="8"/>
  <c r="Q110" i="8" s="1"/>
  <c r="O110" i="8" s="1"/>
  <c r="AD27" i="8"/>
  <c r="Q27" i="8" s="1"/>
  <c r="O27" i="8" s="1"/>
  <c r="AD132" i="8"/>
  <c r="Q132" i="8" s="1"/>
  <c r="O132" i="8" s="1"/>
  <c r="AD134" i="8"/>
  <c r="Q134" i="8" s="1"/>
  <c r="O134" i="8" s="1"/>
  <c r="AD136" i="8"/>
  <c r="Q136" i="8" s="1"/>
  <c r="O136" i="8" s="1"/>
  <c r="AD145" i="8"/>
  <c r="Q145" i="8" s="1"/>
  <c r="AD146" i="8"/>
  <c r="Q146" i="8" s="1"/>
  <c r="O146" i="8" s="1"/>
  <c r="AD44" i="8"/>
  <c r="Q44" i="8" s="1"/>
  <c r="O44" i="8" s="1"/>
  <c r="AD149" i="8"/>
  <c r="Q149" i="8" s="1"/>
  <c r="AD113" i="8"/>
  <c r="Q113" i="8" s="1"/>
  <c r="O113" i="8" s="1"/>
  <c r="AD154" i="8"/>
  <c r="Q154" i="8" s="1"/>
  <c r="AD157" i="8"/>
  <c r="Q157" i="8" s="1"/>
  <c r="AD160" i="8"/>
  <c r="Q160" i="8" s="1"/>
  <c r="AD164" i="8"/>
  <c r="Q164" i="8" s="1"/>
  <c r="AD166" i="8"/>
  <c r="Q166" i="8" s="1"/>
  <c r="AD169" i="8"/>
  <c r="Q169" i="8" s="1"/>
  <c r="AD74" i="8"/>
  <c r="Q74" i="8" s="1"/>
  <c r="O74" i="8" s="1"/>
  <c r="AD43" i="8"/>
  <c r="Q43" i="8" s="1"/>
  <c r="O43" i="8" s="1"/>
  <c r="AD89" i="8"/>
  <c r="Q89" i="8" s="1"/>
  <c r="O89" i="8" s="1"/>
  <c r="AD121" i="8"/>
  <c r="Q121" i="8" s="1"/>
  <c r="O121" i="8" s="1"/>
  <c r="AD93" i="8"/>
  <c r="Q93" i="8" s="1"/>
  <c r="O93" i="8" s="1"/>
  <c r="AD34" i="8"/>
  <c r="Q34" i="8" s="1"/>
  <c r="O34" i="8" s="1"/>
  <c r="AD98" i="8"/>
  <c r="Q98" i="8" s="1"/>
  <c r="O98" i="8" s="1"/>
  <c r="AD31" i="8"/>
  <c r="Q31" i="8" s="1"/>
  <c r="O31" i="8" s="1"/>
  <c r="AD83" i="8"/>
  <c r="Q83" i="8" s="1"/>
  <c r="O83" i="8" s="1"/>
  <c r="AD22" i="8"/>
  <c r="Q22" i="8" s="1"/>
  <c r="O22" i="8" s="1"/>
  <c r="AD91" i="8"/>
  <c r="Q91" i="8" s="1"/>
  <c r="O91" i="8" s="1"/>
  <c r="AD65" i="8"/>
  <c r="Q65" i="8" s="1"/>
  <c r="O65" i="8" s="1"/>
  <c r="AD100" i="8"/>
  <c r="Q100" i="8" s="1"/>
  <c r="O100" i="8" s="1"/>
  <c r="AD49" i="8"/>
  <c r="Q49" i="8" s="1"/>
  <c r="O49" i="8" s="1"/>
  <c r="AD68" i="8"/>
  <c r="Q68" i="8" s="1"/>
  <c r="O68" i="8" s="1"/>
  <c r="AD40" i="8"/>
  <c r="Q40" i="8" s="1"/>
  <c r="O40" i="8" s="1"/>
  <c r="AD103" i="8"/>
  <c r="Q103" i="8" s="1"/>
  <c r="O103" i="8" s="1"/>
  <c r="AD123" i="8"/>
  <c r="Q123" i="8" s="1"/>
  <c r="O123" i="8" s="1"/>
  <c r="AD84" i="8"/>
  <c r="Q84" i="8" s="1"/>
  <c r="O84" i="8" s="1"/>
  <c r="AD95" i="8"/>
  <c r="Q95" i="8" s="1"/>
  <c r="O95" i="8" s="1"/>
  <c r="AD112" i="8"/>
  <c r="Q112" i="8" s="1"/>
  <c r="O112" i="8" s="1"/>
  <c r="AD24" i="8"/>
  <c r="Q24" i="8" s="1"/>
  <c r="O24" i="8" s="1"/>
  <c r="AD35" i="8"/>
  <c r="Q35" i="8" s="1"/>
  <c r="O35" i="8" s="1"/>
  <c r="AD81" i="8"/>
  <c r="Q81" i="8" s="1"/>
  <c r="O81" i="8" s="1"/>
  <c r="AD109" i="8"/>
  <c r="Q109" i="8" s="1"/>
  <c r="O109" i="8" s="1"/>
  <c r="AD133" i="8"/>
  <c r="Q133" i="8" s="1"/>
  <c r="O133" i="8" s="1"/>
  <c r="AD140" i="8"/>
  <c r="Q140" i="8" s="1"/>
  <c r="O140" i="8" s="1"/>
  <c r="AD144" i="8"/>
  <c r="Q144" i="8" s="1"/>
  <c r="O144" i="8" s="1"/>
  <c r="B12" i="12"/>
  <c r="B9" i="12"/>
  <c r="B11" i="12"/>
  <c r="B10" i="12"/>
  <c r="B10" i="11"/>
  <c r="B12" i="11"/>
  <c r="B7" i="11"/>
  <c r="B8" i="11"/>
  <c r="B30" i="11"/>
  <c r="B9" i="11"/>
  <c r="B36" i="11"/>
  <c r="B37" i="11"/>
  <c r="B38" i="11"/>
  <c r="B39" i="11"/>
  <c r="B40" i="11"/>
  <c r="B41" i="11"/>
  <c r="B11" i="11"/>
  <c r="B18" i="11"/>
  <c r="B26" i="11"/>
  <c r="B13" i="11"/>
  <c r="B35" i="11"/>
  <c r="B19" i="11"/>
  <c r="B21" i="11"/>
  <c r="B23" i="11"/>
  <c r="B24" i="11"/>
  <c r="B16" i="11"/>
  <c r="B31" i="11"/>
  <c r="B27" i="11"/>
  <c r="B32" i="11"/>
  <c r="B33" i="11"/>
  <c r="B34" i="11"/>
  <c r="B29" i="11"/>
  <c r="B15" i="11"/>
  <c r="B14" i="11"/>
  <c r="B17" i="11"/>
  <c r="B28" i="11"/>
  <c r="B25" i="11"/>
  <c r="B42" i="11"/>
  <c r="B20" i="11"/>
  <c r="B22" i="11"/>
  <c r="B11" i="10"/>
  <c r="B99" i="10"/>
  <c r="B32" i="10"/>
  <c r="B25" i="10"/>
  <c r="B9" i="10"/>
  <c r="B14" i="10"/>
  <c r="B16" i="10"/>
  <c r="B33" i="10"/>
  <c r="B22" i="10"/>
  <c r="B96" i="10"/>
  <c r="B24" i="10"/>
  <c r="B59" i="10"/>
  <c r="B13" i="10"/>
  <c r="B94" i="10"/>
  <c r="B21" i="10"/>
  <c r="B41" i="10"/>
  <c r="B58" i="10"/>
  <c r="B60" i="10"/>
  <c r="B42" i="10"/>
  <c r="B57" i="10"/>
  <c r="B55" i="10"/>
  <c r="B47" i="10"/>
  <c r="B18" i="10"/>
  <c r="B7" i="10"/>
  <c r="B10" i="10"/>
  <c r="B40" i="10"/>
  <c r="B105" i="10"/>
  <c r="B102" i="10"/>
  <c r="B100" i="10"/>
  <c r="B98" i="10"/>
  <c r="B19" i="10"/>
  <c r="B81" i="10"/>
  <c r="B93" i="10"/>
  <c r="B97" i="10"/>
  <c r="B44" i="10"/>
  <c r="B39" i="10"/>
  <c r="B17" i="10"/>
  <c r="B38" i="10"/>
  <c r="B27" i="10"/>
  <c r="B15" i="10"/>
  <c r="B63" i="10"/>
  <c r="B89" i="10"/>
  <c r="B88" i="10"/>
  <c r="B61" i="10"/>
  <c r="B95" i="10"/>
  <c r="B84" i="10"/>
  <c r="B68" i="10"/>
  <c r="B69" i="10"/>
  <c r="B90" i="10"/>
  <c r="B91" i="10"/>
  <c r="B12" i="10"/>
  <c r="B71" i="10"/>
  <c r="B30" i="10"/>
  <c r="B29" i="10"/>
  <c r="B26" i="10"/>
  <c r="B53" i="10"/>
  <c r="B51" i="10"/>
  <c r="B66" i="10"/>
  <c r="B49" i="10"/>
  <c r="B87" i="10"/>
  <c r="B56" i="10"/>
  <c r="B46" i="10"/>
  <c r="B52" i="10"/>
  <c r="B54" i="10"/>
  <c r="B48" i="10"/>
  <c r="B50" i="10"/>
  <c r="B34" i="10"/>
  <c r="B28" i="10"/>
  <c r="B75" i="10"/>
  <c r="B80" i="10"/>
  <c r="B78" i="10"/>
  <c r="B79" i="10"/>
  <c r="B73" i="10"/>
  <c r="B45" i="10"/>
  <c r="B74" i="10"/>
  <c r="B77" i="10"/>
  <c r="B64" i="10"/>
  <c r="B20" i="10"/>
  <c r="B70" i="10"/>
  <c r="B62" i="10"/>
  <c r="B65" i="10"/>
  <c r="B67" i="10"/>
  <c r="B76" i="10"/>
  <c r="B23" i="10"/>
  <c r="B36" i="10"/>
  <c r="B31" i="10"/>
  <c r="B101" i="10"/>
  <c r="B72" i="10"/>
  <c r="B103" i="10"/>
  <c r="B83" i="10"/>
  <c r="B104" i="10"/>
  <c r="B82" i="10"/>
  <c r="B106" i="10"/>
  <c r="B43" i="10"/>
  <c r="B35" i="10"/>
  <c r="B86" i="10"/>
  <c r="B85" i="10"/>
  <c r="B92" i="10"/>
  <c r="B37" i="10"/>
  <c r="B8" i="10"/>
  <c r="B25" i="9"/>
  <c r="B16" i="9"/>
  <c r="B12" i="9"/>
  <c r="B15" i="9"/>
  <c r="B14" i="9"/>
  <c r="B8" i="9"/>
  <c r="B19" i="9"/>
  <c r="B24" i="9"/>
  <c r="B45" i="9"/>
  <c r="B36" i="9"/>
  <c r="B43" i="9"/>
  <c r="B10" i="9"/>
  <c r="B20" i="9"/>
  <c r="B32" i="9"/>
  <c r="B22" i="9"/>
  <c r="B35" i="9"/>
  <c r="B44" i="9"/>
  <c r="B46" i="9"/>
  <c r="B47" i="9"/>
  <c r="B30" i="9"/>
  <c r="B18" i="9"/>
  <c r="B21" i="9"/>
  <c r="B11" i="9"/>
  <c r="B28" i="9"/>
  <c r="B13" i="9"/>
  <c r="B29" i="9"/>
  <c r="B34" i="9"/>
  <c r="B41" i="9"/>
  <c r="B9" i="9"/>
  <c r="B26" i="9"/>
  <c r="B27" i="9"/>
  <c r="B42" i="9"/>
  <c r="B40" i="9"/>
  <c r="B39" i="9"/>
  <c r="B33" i="9"/>
  <c r="B17" i="9"/>
  <c r="B38" i="9"/>
  <c r="B31" i="9"/>
  <c r="B37" i="9"/>
  <c r="B7" i="9"/>
  <c r="B23" i="9"/>
  <c r="L25" i="9"/>
  <c r="B8" i="7" l="1"/>
  <c r="B16" i="7"/>
  <c r="B14" i="7"/>
  <c r="M25" i="9" l="1"/>
  <c r="N25" i="9" s="1"/>
  <c r="L8" i="7"/>
  <c r="B7" i="7" l="1"/>
  <c r="B15" i="7"/>
  <c r="B17" i="7"/>
  <c r="B13" i="7"/>
  <c r="L8" i="17" l="1"/>
  <c r="M8" i="17" s="1"/>
  <c r="L9" i="17"/>
  <c r="M9" i="17" s="1"/>
  <c r="L10" i="17"/>
  <c r="M10" i="17" s="1"/>
  <c r="L11" i="17"/>
  <c r="M11" i="17" s="1"/>
  <c r="L12" i="17"/>
  <c r="M12" i="17" s="1"/>
  <c r="L13" i="17"/>
  <c r="M13" i="17" s="1"/>
  <c r="L14" i="17"/>
  <c r="M14" i="17" s="1"/>
  <c r="L15" i="17"/>
  <c r="M15" i="17" s="1"/>
  <c r="L16" i="17"/>
  <c r="M16" i="17" s="1"/>
  <c r="L17" i="17"/>
  <c r="M17" i="17" s="1"/>
  <c r="L18" i="17"/>
  <c r="M18" i="17" s="1"/>
  <c r="L19" i="17"/>
  <c r="M19" i="17" s="1"/>
  <c r="L20" i="17"/>
  <c r="M20" i="17" s="1"/>
  <c r="L21" i="17"/>
  <c r="M21" i="17" s="1"/>
  <c r="L22" i="17"/>
  <c r="M22" i="17" s="1"/>
  <c r="L23" i="17"/>
  <c r="M23" i="17" s="1"/>
  <c r="L24" i="17"/>
  <c r="M24" i="17" s="1"/>
  <c r="L25" i="17"/>
  <c r="M25" i="17" s="1"/>
  <c r="L26" i="17"/>
  <c r="M26" i="17" s="1"/>
  <c r="L27" i="17"/>
  <c r="M27" i="17" s="1"/>
  <c r="L28" i="17"/>
  <c r="M28" i="17" s="1"/>
  <c r="L29" i="17"/>
  <c r="M29" i="17" s="1"/>
  <c r="L30" i="17"/>
  <c r="M30" i="17" s="1"/>
  <c r="L31" i="17"/>
  <c r="M31" i="17" s="1"/>
  <c r="L32" i="17"/>
  <c r="M32" i="17" s="1"/>
  <c r="L33" i="17"/>
  <c r="M33" i="17" s="1"/>
  <c r="L34" i="17"/>
  <c r="M34" i="17" s="1"/>
  <c r="L35" i="17"/>
  <c r="M35" i="17" s="1"/>
  <c r="L36" i="17"/>
  <c r="M36" i="17" s="1"/>
  <c r="L37" i="17"/>
  <c r="M37" i="17" s="1"/>
  <c r="L38" i="17"/>
  <c r="M38" i="17" s="1"/>
  <c r="L39" i="17"/>
  <c r="M39" i="17" s="1"/>
  <c r="L40" i="17"/>
  <c r="M40" i="17" s="1"/>
  <c r="L41" i="17"/>
  <c r="M41" i="17" s="1"/>
  <c r="L42" i="17"/>
  <c r="M42" i="17" s="1"/>
  <c r="L43" i="17"/>
  <c r="M43" i="17" s="1"/>
  <c r="L44" i="17"/>
  <c r="M44" i="17" s="1"/>
  <c r="L45" i="17"/>
  <c r="M45" i="17" s="1"/>
  <c r="L46" i="17"/>
  <c r="M46" i="17" s="1"/>
  <c r="L47" i="17"/>
  <c r="M47" i="17" s="1"/>
  <c r="L48" i="17"/>
  <c r="M48" i="17" s="1"/>
  <c r="L49" i="17"/>
  <c r="M49" i="17" s="1"/>
  <c r="L50" i="17"/>
  <c r="M50" i="17" s="1"/>
  <c r="L51" i="17"/>
  <c r="M51" i="17" s="1"/>
  <c r="L52" i="17"/>
  <c r="M52" i="17" s="1"/>
  <c r="L53" i="17"/>
  <c r="M53" i="17" s="1"/>
  <c r="L54" i="17"/>
  <c r="M54" i="17" s="1"/>
  <c r="L55" i="17"/>
  <c r="M55" i="17" s="1"/>
  <c r="L56" i="17"/>
  <c r="M56" i="17" s="1"/>
  <c r="L57" i="17"/>
  <c r="M57" i="17" s="1"/>
  <c r="L58" i="17"/>
  <c r="M58" i="17" s="1"/>
  <c r="L59" i="17"/>
  <c r="M59" i="17" s="1"/>
  <c r="L60" i="17"/>
  <c r="M60" i="17" s="1"/>
  <c r="L61" i="17"/>
  <c r="M61" i="17" s="1"/>
  <c r="L62" i="17"/>
  <c r="M62" i="17" s="1"/>
  <c r="L63" i="17"/>
  <c r="M63" i="17" s="1"/>
  <c r="L64" i="17"/>
  <c r="M64" i="17" s="1"/>
  <c r="L65" i="17"/>
  <c r="M65" i="17" s="1"/>
  <c r="L66" i="17"/>
  <c r="M66" i="17" s="1"/>
  <c r="L67" i="17"/>
  <c r="M67" i="17" s="1"/>
  <c r="L68" i="17"/>
  <c r="M68" i="17" s="1"/>
  <c r="L69" i="17"/>
  <c r="M69" i="17" s="1"/>
  <c r="L70" i="17"/>
  <c r="M70" i="17" s="1"/>
  <c r="L71" i="17"/>
  <c r="M71" i="17" s="1"/>
  <c r="L72" i="17"/>
  <c r="M72" i="17" s="1"/>
  <c r="L73" i="17"/>
  <c r="M73" i="17" s="1"/>
  <c r="L74" i="17"/>
  <c r="M74" i="17" s="1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7" i="17"/>
  <c r="P68" i="17"/>
  <c r="P69" i="17"/>
  <c r="P70" i="17"/>
  <c r="P71" i="17"/>
  <c r="P72" i="17"/>
  <c r="P73" i="17"/>
  <c r="P74" i="17"/>
  <c r="T8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X8" i="17"/>
  <c r="X9" i="17"/>
  <c r="X10" i="17"/>
  <c r="X11" i="17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" i="17"/>
  <c r="X7" i="17"/>
  <c r="U7" i="17"/>
  <c r="P7" i="17"/>
  <c r="L7" i="17"/>
  <c r="M7" i="17" s="1"/>
  <c r="N7" i="17" s="1"/>
  <c r="L1" i="17"/>
  <c r="L19" i="16"/>
  <c r="M19" i="16" s="1"/>
  <c r="L120" i="16"/>
  <c r="M120" i="16" s="1"/>
  <c r="L17" i="16"/>
  <c r="M17" i="16" s="1"/>
  <c r="L20" i="16"/>
  <c r="M20" i="16" s="1"/>
  <c r="L118" i="16"/>
  <c r="M118" i="16" s="1"/>
  <c r="L21" i="16"/>
  <c r="M21" i="16" s="1"/>
  <c r="L22" i="16"/>
  <c r="M22" i="16" s="1"/>
  <c r="L121" i="16"/>
  <c r="M121" i="16" s="1"/>
  <c r="L23" i="16"/>
  <c r="M23" i="16" s="1"/>
  <c r="L13" i="16"/>
  <c r="M13" i="16" s="1"/>
  <c r="L24" i="16"/>
  <c r="M24" i="16" s="1"/>
  <c r="L11" i="16"/>
  <c r="M11" i="16" s="1"/>
  <c r="L122" i="16"/>
  <c r="M122" i="16" s="1"/>
  <c r="L12" i="16"/>
  <c r="M12" i="16" s="1"/>
  <c r="L25" i="16"/>
  <c r="M25" i="16" s="1"/>
  <c r="L15" i="16"/>
  <c r="M15" i="16" s="1"/>
  <c r="L123" i="16"/>
  <c r="M123" i="16" s="1"/>
  <c r="L18" i="16"/>
  <c r="M18" i="16" s="1"/>
  <c r="L26" i="16"/>
  <c r="M26" i="16" s="1"/>
  <c r="L27" i="16"/>
  <c r="M27" i="16" s="1"/>
  <c r="L28" i="16"/>
  <c r="M28" i="16" s="1"/>
  <c r="L16" i="16"/>
  <c r="M16" i="16" s="1"/>
  <c r="L29" i="16"/>
  <c r="M29" i="16" s="1"/>
  <c r="L30" i="16"/>
  <c r="M30" i="16" s="1"/>
  <c r="L31" i="16"/>
  <c r="M31" i="16" s="1"/>
  <c r="L32" i="16"/>
  <c r="M32" i="16" s="1"/>
  <c r="L33" i="16"/>
  <c r="M33" i="16" s="1"/>
  <c r="L34" i="16"/>
  <c r="M34" i="16" s="1"/>
  <c r="L35" i="16"/>
  <c r="M35" i="16" s="1"/>
  <c r="L36" i="16"/>
  <c r="M36" i="16" s="1"/>
  <c r="L37" i="16"/>
  <c r="M37" i="16" s="1"/>
  <c r="L38" i="16"/>
  <c r="M38" i="16" s="1"/>
  <c r="L39" i="16"/>
  <c r="M39" i="16" s="1"/>
  <c r="L40" i="16"/>
  <c r="M40" i="16" s="1"/>
  <c r="L41" i="16"/>
  <c r="M41" i="16" s="1"/>
  <c r="L42" i="16"/>
  <c r="M42" i="16" s="1"/>
  <c r="L43" i="16"/>
  <c r="M43" i="16" s="1"/>
  <c r="L44" i="16"/>
  <c r="M44" i="16" s="1"/>
  <c r="L45" i="16"/>
  <c r="M45" i="16" s="1"/>
  <c r="L46" i="16"/>
  <c r="M46" i="16" s="1"/>
  <c r="L47" i="16"/>
  <c r="M47" i="16" s="1"/>
  <c r="L48" i="16"/>
  <c r="M48" i="16" s="1"/>
  <c r="L49" i="16"/>
  <c r="M49" i="16" s="1"/>
  <c r="L50" i="16"/>
  <c r="M50" i="16" s="1"/>
  <c r="L51" i="16"/>
  <c r="M51" i="16" s="1"/>
  <c r="L52" i="16"/>
  <c r="M52" i="16" s="1"/>
  <c r="L53" i="16"/>
  <c r="M53" i="16" s="1"/>
  <c r="L54" i="16"/>
  <c r="M54" i="16" s="1"/>
  <c r="L55" i="16"/>
  <c r="M55" i="16" s="1"/>
  <c r="L56" i="16"/>
  <c r="M56" i="16" s="1"/>
  <c r="L57" i="16"/>
  <c r="M57" i="16" s="1"/>
  <c r="L58" i="16"/>
  <c r="M58" i="16" s="1"/>
  <c r="L59" i="16"/>
  <c r="M59" i="16" s="1"/>
  <c r="L60" i="16"/>
  <c r="M60" i="16" s="1"/>
  <c r="L61" i="16"/>
  <c r="M61" i="16" s="1"/>
  <c r="L62" i="16"/>
  <c r="M62" i="16" s="1"/>
  <c r="L63" i="16"/>
  <c r="M63" i="16" s="1"/>
  <c r="L64" i="16"/>
  <c r="M64" i="16" s="1"/>
  <c r="L65" i="16"/>
  <c r="M65" i="16" s="1"/>
  <c r="L66" i="16"/>
  <c r="M66" i="16" s="1"/>
  <c r="L67" i="16"/>
  <c r="M67" i="16" s="1"/>
  <c r="L68" i="16"/>
  <c r="M68" i="16" s="1"/>
  <c r="L69" i="16"/>
  <c r="M69" i="16" s="1"/>
  <c r="L70" i="16"/>
  <c r="M70" i="16" s="1"/>
  <c r="L71" i="16"/>
  <c r="M71" i="16" s="1"/>
  <c r="L72" i="16"/>
  <c r="M72" i="16" s="1"/>
  <c r="L73" i="16"/>
  <c r="M73" i="16" s="1"/>
  <c r="L74" i="16"/>
  <c r="M74" i="16" s="1"/>
  <c r="L75" i="16"/>
  <c r="M75" i="16" s="1"/>
  <c r="L76" i="16"/>
  <c r="M76" i="16" s="1"/>
  <c r="L77" i="16"/>
  <c r="M77" i="16" s="1"/>
  <c r="L78" i="16"/>
  <c r="M78" i="16" s="1"/>
  <c r="L79" i="16"/>
  <c r="M79" i="16" s="1"/>
  <c r="L80" i="16"/>
  <c r="M80" i="16" s="1"/>
  <c r="L81" i="16"/>
  <c r="M81" i="16" s="1"/>
  <c r="L82" i="16"/>
  <c r="M82" i="16" s="1"/>
  <c r="L9" i="16"/>
  <c r="M9" i="16" s="1"/>
  <c r="L7" i="16"/>
  <c r="M7" i="16" s="1"/>
  <c r="N7" i="16" s="1"/>
  <c r="L83" i="16"/>
  <c r="M83" i="16" s="1"/>
  <c r="L84" i="16"/>
  <c r="M84" i="16" s="1"/>
  <c r="L85" i="16"/>
  <c r="M85" i="16" s="1"/>
  <c r="L86" i="16"/>
  <c r="M86" i="16" s="1"/>
  <c r="L87" i="16"/>
  <c r="M87" i="16" s="1"/>
  <c r="L88" i="16"/>
  <c r="M88" i="16" s="1"/>
  <c r="L14" i="16"/>
  <c r="M14" i="16" s="1"/>
  <c r="L124" i="16"/>
  <c r="M124" i="16" s="1"/>
  <c r="L125" i="16"/>
  <c r="M125" i="16" s="1"/>
  <c r="L89" i="16"/>
  <c r="M89" i="16" s="1"/>
  <c r="L90" i="16"/>
  <c r="M90" i="16" s="1"/>
  <c r="L91" i="16"/>
  <c r="M91" i="16" s="1"/>
  <c r="L92" i="16"/>
  <c r="M92" i="16" s="1"/>
  <c r="L93" i="16"/>
  <c r="M93" i="16" s="1"/>
  <c r="L94" i="16"/>
  <c r="M94" i="16" s="1"/>
  <c r="L95" i="16"/>
  <c r="M95" i="16" s="1"/>
  <c r="L96" i="16"/>
  <c r="M96" i="16" s="1"/>
  <c r="L97" i="16"/>
  <c r="M97" i="16" s="1"/>
  <c r="L98" i="16"/>
  <c r="M98" i="16" s="1"/>
  <c r="L10" i="16"/>
  <c r="M10" i="16" s="1"/>
  <c r="L99" i="16"/>
  <c r="M99" i="16" s="1"/>
  <c r="L100" i="16"/>
  <c r="M100" i="16" s="1"/>
  <c r="L101" i="16"/>
  <c r="M101" i="16" s="1"/>
  <c r="L102" i="16"/>
  <c r="M102" i="16" s="1"/>
  <c r="L103" i="16"/>
  <c r="M103" i="16" s="1"/>
  <c r="L104" i="16"/>
  <c r="M104" i="16" s="1"/>
  <c r="L105" i="16"/>
  <c r="M105" i="16" s="1"/>
  <c r="L106" i="16"/>
  <c r="M106" i="16" s="1"/>
  <c r="L107" i="16"/>
  <c r="M107" i="16" s="1"/>
  <c r="L108" i="16"/>
  <c r="M108" i="16" s="1"/>
  <c r="L109" i="16"/>
  <c r="M109" i="16" s="1"/>
  <c r="L110" i="16"/>
  <c r="M110" i="16" s="1"/>
  <c r="L111" i="16"/>
  <c r="M111" i="16" s="1"/>
  <c r="L112" i="16"/>
  <c r="M112" i="16" s="1"/>
  <c r="L8" i="16"/>
  <c r="M8" i="16" s="1"/>
  <c r="L113" i="16"/>
  <c r="M113" i="16" s="1"/>
  <c r="L114" i="16"/>
  <c r="M114" i="16" s="1"/>
  <c r="L115" i="16"/>
  <c r="M115" i="16" s="1"/>
  <c r="L116" i="16"/>
  <c r="M116" i="16" s="1"/>
  <c r="L117" i="16"/>
  <c r="M117" i="16" s="1"/>
  <c r="L126" i="16"/>
  <c r="M126" i="16" s="1"/>
  <c r="L127" i="16"/>
  <c r="M127" i="16" s="1"/>
  <c r="L128" i="16"/>
  <c r="M128" i="16" s="1"/>
  <c r="L129" i="16"/>
  <c r="M129" i="16" s="1"/>
  <c r="L130" i="16"/>
  <c r="M130" i="16" s="1"/>
  <c r="L131" i="16"/>
  <c r="M131" i="16" s="1"/>
  <c r="L132" i="16"/>
  <c r="M132" i="16" s="1"/>
  <c r="L133" i="16"/>
  <c r="M133" i="16" s="1"/>
  <c r="L134" i="16"/>
  <c r="M134" i="16" s="1"/>
  <c r="P19" i="16"/>
  <c r="P120" i="16"/>
  <c r="P17" i="16"/>
  <c r="P20" i="16"/>
  <c r="P118" i="16"/>
  <c r="P21" i="16"/>
  <c r="P22" i="16"/>
  <c r="P121" i="16"/>
  <c r="P23" i="16"/>
  <c r="P13" i="16"/>
  <c r="P24" i="16"/>
  <c r="P11" i="16"/>
  <c r="P122" i="16"/>
  <c r="P12" i="16"/>
  <c r="P25" i="16"/>
  <c r="P15" i="16"/>
  <c r="P123" i="16"/>
  <c r="P18" i="16"/>
  <c r="P26" i="16"/>
  <c r="P27" i="16"/>
  <c r="P28" i="16"/>
  <c r="P16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9" i="16"/>
  <c r="P7" i="16"/>
  <c r="P83" i="16"/>
  <c r="P84" i="16"/>
  <c r="P85" i="16"/>
  <c r="P86" i="16"/>
  <c r="P87" i="16"/>
  <c r="P88" i="16"/>
  <c r="P14" i="16"/>
  <c r="P124" i="16"/>
  <c r="P125" i="16"/>
  <c r="P89" i="16"/>
  <c r="P90" i="16"/>
  <c r="P91" i="16"/>
  <c r="P92" i="16"/>
  <c r="P93" i="16"/>
  <c r="P94" i="16"/>
  <c r="P95" i="16"/>
  <c r="P96" i="16"/>
  <c r="P97" i="16"/>
  <c r="P98" i="16"/>
  <c r="P10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8" i="16"/>
  <c r="P113" i="16"/>
  <c r="P114" i="16"/>
  <c r="P115" i="16"/>
  <c r="P116" i="16"/>
  <c r="P117" i="16"/>
  <c r="P126" i="16"/>
  <c r="P127" i="16"/>
  <c r="P128" i="16"/>
  <c r="P129" i="16"/>
  <c r="P130" i="16"/>
  <c r="P131" i="16"/>
  <c r="P132" i="16"/>
  <c r="P133" i="16"/>
  <c r="P134" i="16"/>
  <c r="U19" i="16"/>
  <c r="U120" i="16"/>
  <c r="U17" i="16"/>
  <c r="U20" i="16"/>
  <c r="U118" i="16"/>
  <c r="U21" i="16"/>
  <c r="U22" i="16"/>
  <c r="U121" i="16"/>
  <c r="U23" i="16"/>
  <c r="U13" i="16"/>
  <c r="U24" i="16"/>
  <c r="U11" i="16"/>
  <c r="U122" i="16"/>
  <c r="U12" i="16"/>
  <c r="U25" i="16"/>
  <c r="U15" i="16"/>
  <c r="U123" i="16"/>
  <c r="U18" i="16"/>
  <c r="U26" i="16"/>
  <c r="U27" i="16"/>
  <c r="U28" i="16"/>
  <c r="U16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9" i="16"/>
  <c r="U7" i="16"/>
  <c r="U83" i="16"/>
  <c r="U84" i="16"/>
  <c r="U85" i="16"/>
  <c r="U86" i="16"/>
  <c r="U87" i="16"/>
  <c r="U88" i="16"/>
  <c r="U14" i="16"/>
  <c r="U124" i="16"/>
  <c r="U125" i="16"/>
  <c r="U89" i="16"/>
  <c r="U90" i="16"/>
  <c r="U91" i="16"/>
  <c r="U92" i="16"/>
  <c r="U93" i="16"/>
  <c r="U94" i="16"/>
  <c r="U95" i="16"/>
  <c r="U96" i="16"/>
  <c r="U97" i="16"/>
  <c r="U98" i="16"/>
  <c r="U10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8" i="16"/>
  <c r="U113" i="16"/>
  <c r="U114" i="16"/>
  <c r="U115" i="16"/>
  <c r="U116" i="16"/>
  <c r="U117" i="16"/>
  <c r="U126" i="16"/>
  <c r="U127" i="16"/>
  <c r="U128" i="16"/>
  <c r="U129" i="16"/>
  <c r="U130" i="16"/>
  <c r="U131" i="16"/>
  <c r="U132" i="16"/>
  <c r="U133" i="16"/>
  <c r="U134" i="16"/>
  <c r="X19" i="16"/>
  <c r="X120" i="16"/>
  <c r="X17" i="16"/>
  <c r="X20" i="16"/>
  <c r="X118" i="16"/>
  <c r="X21" i="16"/>
  <c r="X22" i="16"/>
  <c r="X121" i="16"/>
  <c r="X23" i="16"/>
  <c r="X13" i="16"/>
  <c r="X24" i="16"/>
  <c r="X11" i="16"/>
  <c r="X122" i="16"/>
  <c r="X12" i="16"/>
  <c r="X25" i="16"/>
  <c r="X15" i="16"/>
  <c r="X123" i="16"/>
  <c r="X18" i="16"/>
  <c r="X26" i="16"/>
  <c r="X27" i="16"/>
  <c r="X28" i="16"/>
  <c r="X16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78" i="16"/>
  <c r="X79" i="16"/>
  <c r="X80" i="16"/>
  <c r="X81" i="16"/>
  <c r="X82" i="16"/>
  <c r="X9" i="16"/>
  <c r="X7" i="16"/>
  <c r="X83" i="16"/>
  <c r="X84" i="16"/>
  <c r="X85" i="16"/>
  <c r="X86" i="16"/>
  <c r="X87" i="16"/>
  <c r="X88" i="16"/>
  <c r="X14" i="16"/>
  <c r="X124" i="16"/>
  <c r="X125" i="16"/>
  <c r="X89" i="16"/>
  <c r="X90" i="16"/>
  <c r="X91" i="16"/>
  <c r="X92" i="16"/>
  <c r="X93" i="16"/>
  <c r="X94" i="16"/>
  <c r="X95" i="16"/>
  <c r="X96" i="16"/>
  <c r="X97" i="16"/>
  <c r="X98" i="16"/>
  <c r="X10" i="16"/>
  <c r="X99" i="16"/>
  <c r="X100" i="16"/>
  <c r="X101" i="16"/>
  <c r="X102" i="16"/>
  <c r="X103" i="16"/>
  <c r="X104" i="16"/>
  <c r="X105" i="16"/>
  <c r="X106" i="16"/>
  <c r="X107" i="16"/>
  <c r="X108" i="16"/>
  <c r="X109" i="16"/>
  <c r="X110" i="16"/>
  <c r="X111" i="16"/>
  <c r="X112" i="16"/>
  <c r="X8" i="16"/>
  <c r="X113" i="16"/>
  <c r="X114" i="16"/>
  <c r="X115" i="16"/>
  <c r="X116" i="16"/>
  <c r="X117" i="16"/>
  <c r="X126" i="16"/>
  <c r="X127" i="16"/>
  <c r="X128" i="16"/>
  <c r="X129" i="16"/>
  <c r="X130" i="16"/>
  <c r="X131" i="16"/>
  <c r="X132" i="16"/>
  <c r="X133" i="16"/>
  <c r="X134" i="16"/>
  <c r="Y19" i="16"/>
  <c r="Y120" i="16"/>
  <c r="Y17" i="16"/>
  <c r="Y20" i="16"/>
  <c r="Y118" i="16"/>
  <c r="Y21" i="16"/>
  <c r="Y22" i="16"/>
  <c r="Y121" i="16"/>
  <c r="Y23" i="16"/>
  <c r="Y13" i="16"/>
  <c r="Y24" i="16"/>
  <c r="Y11" i="16"/>
  <c r="Y122" i="16"/>
  <c r="Y12" i="16"/>
  <c r="Y25" i="16"/>
  <c r="Y15" i="16"/>
  <c r="Y123" i="16"/>
  <c r="Y18" i="16"/>
  <c r="Y26" i="16"/>
  <c r="Y27" i="16"/>
  <c r="Y28" i="16"/>
  <c r="Y16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9" i="16"/>
  <c r="Y7" i="16"/>
  <c r="Y83" i="16"/>
  <c r="Y84" i="16"/>
  <c r="Y85" i="16"/>
  <c r="Y86" i="16"/>
  <c r="Y87" i="16"/>
  <c r="Y88" i="16"/>
  <c r="Y14" i="16"/>
  <c r="Y124" i="16"/>
  <c r="Y125" i="16"/>
  <c r="Y89" i="16"/>
  <c r="Y90" i="16"/>
  <c r="Y91" i="16"/>
  <c r="Y92" i="16"/>
  <c r="Y93" i="16"/>
  <c r="Y94" i="16"/>
  <c r="Y95" i="16"/>
  <c r="Y96" i="16"/>
  <c r="Y97" i="16"/>
  <c r="Y98" i="16"/>
  <c r="Y10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8" i="16"/>
  <c r="Y113" i="16"/>
  <c r="Y114" i="16"/>
  <c r="Y115" i="16"/>
  <c r="Y116" i="16"/>
  <c r="Y117" i="16"/>
  <c r="Y126" i="16"/>
  <c r="Y127" i="16"/>
  <c r="Y128" i="16"/>
  <c r="Y129" i="16"/>
  <c r="Y130" i="16"/>
  <c r="Y131" i="16"/>
  <c r="Y132" i="16"/>
  <c r="Y133" i="16"/>
  <c r="Y134" i="16"/>
  <c r="Y119" i="16"/>
  <c r="X119" i="16"/>
  <c r="U119" i="16"/>
  <c r="P119" i="16"/>
  <c r="L119" i="16"/>
  <c r="M119" i="16" s="1"/>
  <c r="L1" i="16"/>
  <c r="L9" i="15"/>
  <c r="M9" i="15" s="1"/>
  <c r="L15" i="15"/>
  <c r="M15" i="15" s="1"/>
  <c r="L11" i="15"/>
  <c r="M11" i="15" s="1"/>
  <c r="L13" i="15"/>
  <c r="M13" i="15" s="1"/>
  <c r="L22" i="15"/>
  <c r="M22" i="15" s="1"/>
  <c r="L42" i="15"/>
  <c r="M42" i="15" s="1"/>
  <c r="L95" i="15"/>
  <c r="M95" i="15" s="1"/>
  <c r="L36" i="15"/>
  <c r="M36" i="15" s="1"/>
  <c r="L24" i="15"/>
  <c r="M24" i="15" s="1"/>
  <c r="L7" i="15"/>
  <c r="M7" i="15" s="1"/>
  <c r="N7" i="15" s="1"/>
  <c r="L8" i="15"/>
  <c r="M8" i="15" s="1"/>
  <c r="L12" i="15"/>
  <c r="M12" i="15" s="1"/>
  <c r="L14" i="15"/>
  <c r="M14" i="15" s="1"/>
  <c r="L45" i="15"/>
  <c r="M45" i="15" s="1"/>
  <c r="L141" i="15"/>
  <c r="M141" i="15" s="1"/>
  <c r="L136" i="15"/>
  <c r="M136" i="15" s="1"/>
  <c r="L134" i="15"/>
  <c r="M134" i="15" s="1"/>
  <c r="L127" i="15"/>
  <c r="M127" i="15" s="1"/>
  <c r="L128" i="15"/>
  <c r="M128" i="15" s="1"/>
  <c r="L133" i="15"/>
  <c r="M133" i="15" s="1"/>
  <c r="L138" i="15"/>
  <c r="M138" i="15" s="1"/>
  <c r="L135" i="15"/>
  <c r="M135" i="15" s="1"/>
  <c r="L137" i="15"/>
  <c r="M137" i="15" s="1"/>
  <c r="L139" i="15"/>
  <c r="M139" i="15" s="1"/>
  <c r="L129" i="15"/>
  <c r="M129" i="15" s="1"/>
  <c r="L130" i="15"/>
  <c r="M130" i="15" s="1"/>
  <c r="L131" i="15"/>
  <c r="M131" i="15" s="1"/>
  <c r="L98" i="15"/>
  <c r="M98" i="15" s="1"/>
  <c r="L57" i="15"/>
  <c r="M57" i="15" s="1"/>
  <c r="L56" i="15"/>
  <c r="M56" i="15" s="1"/>
  <c r="L55" i="15"/>
  <c r="M55" i="15" s="1"/>
  <c r="L60" i="15"/>
  <c r="M60" i="15" s="1"/>
  <c r="L34" i="15"/>
  <c r="M34" i="15" s="1"/>
  <c r="L94" i="15"/>
  <c r="M94" i="15" s="1"/>
  <c r="L61" i="15"/>
  <c r="M61" i="15" s="1"/>
  <c r="L58" i="15"/>
  <c r="M58" i="15" s="1"/>
  <c r="L40" i="15"/>
  <c r="M40" i="15" s="1"/>
  <c r="L62" i="15"/>
  <c r="M62" i="15" s="1"/>
  <c r="L25" i="15"/>
  <c r="M25" i="15" s="1"/>
  <c r="L30" i="15"/>
  <c r="M30" i="15" s="1"/>
  <c r="L26" i="15"/>
  <c r="M26" i="15" s="1"/>
  <c r="L32" i="15"/>
  <c r="M32" i="15" s="1"/>
  <c r="L28" i="15"/>
  <c r="M28" i="15" s="1"/>
  <c r="L31" i="15"/>
  <c r="M31" i="15" s="1"/>
  <c r="L48" i="15"/>
  <c r="M48" i="15" s="1"/>
  <c r="L93" i="15"/>
  <c r="M93" i="15" s="1"/>
  <c r="L92" i="15"/>
  <c r="M92" i="15" s="1"/>
  <c r="L91" i="15"/>
  <c r="M91" i="15" s="1"/>
  <c r="L90" i="15"/>
  <c r="M90" i="15" s="1"/>
  <c r="L89" i="15"/>
  <c r="M89" i="15" s="1"/>
  <c r="L35" i="15"/>
  <c r="M35" i="15" s="1"/>
  <c r="L41" i="15"/>
  <c r="M41" i="15" s="1"/>
  <c r="L87" i="15"/>
  <c r="M87" i="15" s="1"/>
  <c r="L88" i="15"/>
  <c r="M88" i="15" s="1"/>
  <c r="L38" i="15"/>
  <c r="M38" i="15" s="1"/>
  <c r="L86" i="15"/>
  <c r="M86" i="15" s="1"/>
  <c r="L37" i="15"/>
  <c r="M37" i="15" s="1"/>
  <c r="L54" i="15"/>
  <c r="M54" i="15" s="1"/>
  <c r="L65" i="15"/>
  <c r="M65" i="15" s="1"/>
  <c r="L39" i="15"/>
  <c r="M39" i="15" s="1"/>
  <c r="L85" i="15"/>
  <c r="M85" i="15" s="1"/>
  <c r="L64" i="15"/>
  <c r="M64" i="15" s="1"/>
  <c r="L53" i="15"/>
  <c r="M53" i="15" s="1"/>
  <c r="L84" i="15"/>
  <c r="M84" i="15" s="1"/>
  <c r="L63" i="15"/>
  <c r="M63" i="15" s="1"/>
  <c r="L43" i="15"/>
  <c r="M43" i="15" s="1"/>
  <c r="L29" i="15"/>
  <c r="M29" i="15" s="1"/>
  <c r="L66" i="15"/>
  <c r="M66" i="15" s="1"/>
  <c r="L46" i="15"/>
  <c r="M46" i="15" s="1"/>
  <c r="L47" i="15"/>
  <c r="M47" i="15" s="1"/>
  <c r="L27" i="15"/>
  <c r="M27" i="15" s="1"/>
  <c r="L59" i="15"/>
  <c r="M59" i="15" s="1"/>
  <c r="L10" i="15"/>
  <c r="M10" i="15" s="1"/>
  <c r="L140" i="15"/>
  <c r="M140" i="15" s="1"/>
  <c r="L132" i="15"/>
  <c r="M132" i="15" s="1"/>
  <c r="L103" i="15"/>
  <c r="M103" i="15" s="1"/>
  <c r="L101" i="15"/>
  <c r="M101" i="15" s="1"/>
  <c r="L102" i="15"/>
  <c r="M102" i="15" s="1"/>
  <c r="L97" i="15"/>
  <c r="M97" i="15" s="1"/>
  <c r="L104" i="15"/>
  <c r="M104" i="15" s="1"/>
  <c r="L99" i="15"/>
  <c r="M99" i="15" s="1"/>
  <c r="L100" i="15"/>
  <c r="M100" i="15" s="1"/>
  <c r="L170" i="15"/>
  <c r="M170" i="15" s="1"/>
  <c r="L165" i="15"/>
  <c r="M165" i="15" s="1"/>
  <c r="L168" i="15"/>
  <c r="M168" i="15" s="1"/>
  <c r="L167" i="15"/>
  <c r="M167" i="15" s="1"/>
  <c r="L166" i="15"/>
  <c r="M166" i="15" s="1"/>
  <c r="L178" i="15"/>
  <c r="M178" i="15" s="1"/>
  <c r="L174" i="15"/>
  <c r="M174" i="15" s="1"/>
  <c r="L177" i="15"/>
  <c r="M177" i="15" s="1"/>
  <c r="L176" i="15"/>
  <c r="M176" i="15" s="1"/>
  <c r="L175" i="15"/>
  <c r="M175" i="15" s="1"/>
  <c r="L160" i="15"/>
  <c r="M160" i="15" s="1"/>
  <c r="L156" i="15"/>
  <c r="M156" i="15" s="1"/>
  <c r="L159" i="15"/>
  <c r="M159" i="15" s="1"/>
  <c r="L158" i="15"/>
  <c r="M158" i="15" s="1"/>
  <c r="L157" i="15"/>
  <c r="M157" i="15" s="1"/>
  <c r="L173" i="15"/>
  <c r="M173" i="15" s="1"/>
  <c r="L171" i="15"/>
  <c r="M171" i="15" s="1"/>
  <c r="L172" i="15"/>
  <c r="M172" i="15" s="1"/>
  <c r="L161" i="15"/>
  <c r="M161" i="15" s="1"/>
  <c r="L143" i="15"/>
  <c r="M143" i="15" s="1"/>
  <c r="L115" i="15"/>
  <c r="M115" i="15" s="1"/>
  <c r="L116" i="15"/>
  <c r="M116" i="15" s="1"/>
  <c r="L154" i="15"/>
  <c r="M154" i="15" s="1"/>
  <c r="L153" i="15"/>
  <c r="M153" i="15" s="1"/>
  <c r="L119" i="15"/>
  <c r="M119" i="15" s="1"/>
  <c r="L118" i="15"/>
  <c r="M118" i="15" s="1"/>
  <c r="L117" i="15"/>
  <c r="M117" i="15" s="1"/>
  <c r="L152" i="15"/>
  <c r="M152" i="15" s="1"/>
  <c r="L146" i="15"/>
  <c r="M146" i="15" s="1"/>
  <c r="L163" i="15"/>
  <c r="M163" i="15" s="1"/>
  <c r="L162" i="15"/>
  <c r="M162" i="15" s="1"/>
  <c r="L155" i="15"/>
  <c r="M155" i="15" s="1"/>
  <c r="L164" i="15"/>
  <c r="M164" i="15" s="1"/>
  <c r="L151" i="15"/>
  <c r="M151" i="15" s="1"/>
  <c r="L150" i="15"/>
  <c r="M150" i="15" s="1"/>
  <c r="L147" i="15"/>
  <c r="M147" i="15" s="1"/>
  <c r="L148" i="15"/>
  <c r="M148" i="15" s="1"/>
  <c r="L149" i="15"/>
  <c r="M149" i="15" s="1"/>
  <c r="L142" i="15"/>
  <c r="M142" i="15" s="1"/>
  <c r="L144" i="15"/>
  <c r="M144" i="15" s="1"/>
  <c r="L145" i="15"/>
  <c r="M145" i="15" s="1"/>
  <c r="L180" i="15"/>
  <c r="M180" i="15" s="1"/>
  <c r="L114" i="15"/>
  <c r="M114" i="15" s="1"/>
  <c r="L113" i="15"/>
  <c r="M113" i="15" s="1"/>
  <c r="L112" i="15"/>
  <c r="M112" i="15" s="1"/>
  <c r="L111" i="15"/>
  <c r="M111" i="15" s="1"/>
  <c r="L181" i="15"/>
  <c r="M181" i="15" s="1"/>
  <c r="L110" i="15"/>
  <c r="M110" i="15" s="1"/>
  <c r="L109" i="15"/>
  <c r="M109" i="15" s="1"/>
  <c r="L108" i="15"/>
  <c r="M108" i="15" s="1"/>
  <c r="L107" i="15"/>
  <c r="M107" i="15" s="1"/>
  <c r="L106" i="15"/>
  <c r="M106" i="15" s="1"/>
  <c r="L96" i="15"/>
  <c r="M96" i="15" s="1"/>
  <c r="L105" i="15"/>
  <c r="M105" i="15" s="1"/>
  <c r="L169" i="15"/>
  <c r="M169" i="15" s="1"/>
  <c r="L179" i="15"/>
  <c r="M179" i="15" s="1"/>
  <c r="L122" i="15"/>
  <c r="M122" i="15" s="1"/>
  <c r="L124" i="15"/>
  <c r="M124" i="15" s="1"/>
  <c r="L126" i="15"/>
  <c r="M126" i="15" s="1"/>
  <c r="L123" i="15"/>
  <c r="M123" i="15" s="1"/>
  <c r="L125" i="15"/>
  <c r="M125" i="15" s="1"/>
  <c r="L121" i="15"/>
  <c r="M121" i="15" s="1"/>
  <c r="L76" i="15"/>
  <c r="M76" i="15" s="1"/>
  <c r="L19" i="15"/>
  <c r="M19" i="15" s="1"/>
  <c r="L78" i="15"/>
  <c r="M78" i="15" s="1"/>
  <c r="L18" i="15"/>
  <c r="M18" i="15" s="1"/>
  <c r="L23" i="15"/>
  <c r="M23" i="15" s="1"/>
  <c r="L77" i="15"/>
  <c r="M77" i="15" s="1"/>
  <c r="L50" i="15"/>
  <c r="M50" i="15" s="1"/>
  <c r="L75" i="15"/>
  <c r="M75" i="15" s="1"/>
  <c r="L74" i="15"/>
  <c r="M74" i="15" s="1"/>
  <c r="L20" i="15"/>
  <c r="M20" i="15" s="1"/>
  <c r="L49" i="15"/>
  <c r="M49" i="15" s="1"/>
  <c r="L17" i="15"/>
  <c r="M17" i="15" s="1"/>
  <c r="L72" i="15"/>
  <c r="M72" i="15" s="1"/>
  <c r="L70" i="15"/>
  <c r="M70" i="15" s="1"/>
  <c r="L68" i="15"/>
  <c r="M68" i="15" s="1"/>
  <c r="L21" i="15"/>
  <c r="M21" i="15" s="1"/>
  <c r="L73" i="15"/>
  <c r="M73" i="15" s="1"/>
  <c r="L44" i="15"/>
  <c r="M44" i="15" s="1"/>
  <c r="L71" i="15"/>
  <c r="M71" i="15" s="1"/>
  <c r="L69" i="15"/>
  <c r="M69" i="15" s="1"/>
  <c r="L83" i="15"/>
  <c r="M83" i="15" s="1"/>
  <c r="L52" i="15"/>
  <c r="M52" i="15" s="1"/>
  <c r="L51" i="15"/>
  <c r="M51" i="15" s="1"/>
  <c r="L82" i="15"/>
  <c r="M82" i="15" s="1"/>
  <c r="L81" i="15"/>
  <c r="M81" i="15" s="1"/>
  <c r="L80" i="15"/>
  <c r="M80" i="15" s="1"/>
  <c r="L79" i="15"/>
  <c r="M79" i="15" s="1"/>
  <c r="L33" i="15"/>
  <c r="M33" i="15" s="1"/>
  <c r="L67" i="15"/>
  <c r="M67" i="15" s="1"/>
  <c r="L120" i="15"/>
  <c r="M120" i="15" s="1"/>
  <c r="P9" i="15"/>
  <c r="P15" i="15"/>
  <c r="P11" i="15"/>
  <c r="P13" i="15"/>
  <c r="P22" i="15"/>
  <c r="P42" i="15"/>
  <c r="P95" i="15"/>
  <c r="P36" i="15"/>
  <c r="P24" i="15"/>
  <c r="P8" i="15"/>
  <c r="P12" i="15"/>
  <c r="P14" i="15"/>
  <c r="P45" i="15"/>
  <c r="P141" i="15"/>
  <c r="P136" i="15"/>
  <c r="P134" i="15"/>
  <c r="P127" i="15"/>
  <c r="P128" i="15"/>
  <c r="P133" i="15"/>
  <c r="P138" i="15"/>
  <c r="P135" i="15"/>
  <c r="P137" i="15"/>
  <c r="P139" i="15"/>
  <c r="P129" i="15"/>
  <c r="P130" i="15"/>
  <c r="P131" i="15"/>
  <c r="P98" i="15"/>
  <c r="P57" i="15"/>
  <c r="P56" i="15"/>
  <c r="P55" i="15"/>
  <c r="P60" i="15"/>
  <c r="P34" i="15"/>
  <c r="P94" i="15"/>
  <c r="P61" i="15"/>
  <c r="P58" i="15"/>
  <c r="P40" i="15"/>
  <c r="P62" i="15"/>
  <c r="P25" i="15"/>
  <c r="P30" i="15"/>
  <c r="P26" i="15"/>
  <c r="P32" i="15"/>
  <c r="P28" i="15"/>
  <c r="P31" i="15"/>
  <c r="P48" i="15"/>
  <c r="P93" i="15"/>
  <c r="P92" i="15"/>
  <c r="P91" i="15"/>
  <c r="P90" i="15"/>
  <c r="P89" i="15"/>
  <c r="P35" i="15"/>
  <c r="P41" i="15"/>
  <c r="P87" i="15"/>
  <c r="P88" i="15"/>
  <c r="P38" i="15"/>
  <c r="P86" i="15"/>
  <c r="P37" i="15"/>
  <c r="P54" i="15"/>
  <c r="P65" i="15"/>
  <c r="P39" i="15"/>
  <c r="P85" i="15"/>
  <c r="P64" i="15"/>
  <c r="P53" i="15"/>
  <c r="P84" i="15"/>
  <c r="P63" i="15"/>
  <c r="P43" i="15"/>
  <c r="P29" i="15"/>
  <c r="P66" i="15"/>
  <c r="P46" i="15"/>
  <c r="P47" i="15"/>
  <c r="P27" i="15"/>
  <c r="P59" i="15"/>
  <c r="P10" i="15"/>
  <c r="P140" i="15"/>
  <c r="P132" i="15"/>
  <c r="P103" i="15"/>
  <c r="P101" i="15"/>
  <c r="P102" i="15"/>
  <c r="P97" i="15"/>
  <c r="P104" i="15"/>
  <c r="P99" i="15"/>
  <c r="P100" i="15"/>
  <c r="P170" i="15"/>
  <c r="P165" i="15"/>
  <c r="P168" i="15"/>
  <c r="P167" i="15"/>
  <c r="P166" i="15"/>
  <c r="P178" i="15"/>
  <c r="P174" i="15"/>
  <c r="P177" i="15"/>
  <c r="P176" i="15"/>
  <c r="P175" i="15"/>
  <c r="P160" i="15"/>
  <c r="P156" i="15"/>
  <c r="P159" i="15"/>
  <c r="P158" i="15"/>
  <c r="P157" i="15"/>
  <c r="P173" i="15"/>
  <c r="P171" i="15"/>
  <c r="P172" i="15"/>
  <c r="P161" i="15"/>
  <c r="P143" i="15"/>
  <c r="P115" i="15"/>
  <c r="P116" i="15"/>
  <c r="P154" i="15"/>
  <c r="P153" i="15"/>
  <c r="P119" i="15"/>
  <c r="P118" i="15"/>
  <c r="P117" i="15"/>
  <c r="P152" i="15"/>
  <c r="P146" i="15"/>
  <c r="P163" i="15"/>
  <c r="P162" i="15"/>
  <c r="P155" i="15"/>
  <c r="P164" i="15"/>
  <c r="P151" i="15"/>
  <c r="P150" i="15"/>
  <c r="P147" i="15"/>
  <c r="P148" i="15"/>
  <c r="P149" i="15"/>
  <c r="P142" i="15"/>
  <c r="P144" i="15"/>
  <c r="P145" i="15"/>
  <c r="P180" i="15"/>
  <c r="P114" i="15"/>
  <c r="P113" i="15"/>
  <c r="P112" i="15"/>
  <c r="P111" i="15"/>
  <c r="P181" i="15"/>
  <c r="P110" i="15"/>
  <c r="P109" i="15"/>
  <c r="P108" i="15"/>
  <c r="P107" i="15"/>
  <c r="P106" i="15"/>
  <c r="P96" i="15"/>
  <c r="P105" i="15"/>
  <c r="P169" i="15"/>
  <c r="P179" i="15"/>
  <c r="P122" i="15"/>
  <c r="P124" i="15"/>
  <c r="P126" i="15"/>
  <c r="P123" i="15"/>
  <c r="P125" i="15"/>
  <c r="P121" i="15"/>
  <c r="P76" i="15"/>
  <c r="P19" i="15"/>
  <c r="P78" i="15"/>
  <c r="P18" i="15"/>
  <c r="P23" i="15"/>
  <c r="P77" i="15"/>
  <c r="P50" i="15"/>
  <c r="P75" i="15"/>
  <c r="P74" i="15"/>
  <c r="P20" i="15"/>
  <c r="P49" i="15"/>
  <c r="P17" i="15"/>
  <c r="P72" i="15"/>
  <c r="P70" i="15"/>
  <c r="P68" i="15"/>
  <c r="P21" i="15"/>
  <c r="P73" i="15"/>
  <c r="P44" i="15"/>
  <c r="P71" i="15"/>
  <c r="P69" i="15"/>
  <c r="P83" i="15"/>
  <c r="P52" i="15"/>
  <c r="P51" i="15"/>
  <c r="P82" i="15"/>
  <c r="P81" i="15"/>
  <c r="P80" i="15"/>
  <c r="P79" i="15"/>
  <c r="P33" i="15"/>
  <c r="P67" i="15"/>
  <c r="P120" i="15"/>
  <c r="T15" i="15"/>
  <c r="T13" i="15"/>
  <c r="T42" i="15"/>
  <c r="T36" i="15"/>
  <c r="T24" i="15"/>
  <c r="T7" i="15"/>
  <c r="T12" i="15"/>
  <c r="T45" i="15"/>
  <c r="T136" i="15"/>
  <c r="T134" i="15"/>
  <c r="T127" i="15"/>
  <c r="T133" i="15"/>
  <c r="T135" i="15"/>
  <c r="T139" i="15"/>
  <c r="T129" i="15"/>
  <c r="T130" i="15"/>
  <c r="T98" i="15"/>
  <c r="T56" i="15"/>
  <c r="T60" i="15"/>
  <c r="T94" i="15"/>
  <c r="T58" i="15"/>
  <c r="T62" i="15"/>
  <c r="T32" i="15"/>
  <c r="T31" i="15"/>
  <c r="T93" i="15"/>
  <c r="T91" i="15"/>
  <c r="T89" i="15"/>
  <c r="T41" i="15"/>
  <c r="T88" i="15"/>
  <c r="T86" i="15"/>
  <c r="T54" i="15"/>
  <c r="T39" i="15"/>
  <c r="T64" i="15"/>
  <c r="T84" i="15"/>
  <c r="T43" i="15"/>
  <c r="T66" i="15"/>
  <c r="T47" i="15"/>
  <c r="T59" i="15"/>
  <c r="T140" i="15"/>
  <c r="T103" i="15"/>
  <c r="T102" i="15"/>
  <c r="T104" i="15"/>
  <c r="T100" i="15"/>
  <c r="T165" i="15"/>
  <c r="T167" i="15"/>
  <c r="T177" i="15"/>
  <c r="T175" i="15"/>
  <c r="T156" i="15"/>
  <c r="T158" i="15"/>
  <c r="T173" i="15"/>
  <c r="T172" i="15"/>
  <c r="T143" i="15"/>
  <c r="T116" i="15"/>
  <c r="T153" i="15"/>
  <c r="T118" i="15"/>
  <c r="T152" i="15"/>
  <c r="T146" i="15"/>
  <c r="T162" i="15"/>
  <c r="T164" i="15"/>
  <c r="T150" i="15"/>
  <c r="T148" i="15"/>
  <c r="T142" i="15"/>
  <c r="T145" i="15"/>
  <c r="T114" i="15"/>
  <c r="T112" i="15"/>
  <c r="T181" i="15"/>
  <c r="T109" i="15"/>
  <c r="T107" i="15"/>
  <c r="T96" i="15"/>
  <c r="T169" i="15"/>
  <c r="T126" i="15"/>
  <c r="T125" i="15"/>
  <c r="T76" i="15"/>
  <c r="T78" i="15"/>
  <c r="T23" i="15"/>
  <c r="T50" i="15"/>
  <c r="T74" i="15"/>
  <c r="T49" i="15"/>
  <c r="T72" i="15"/>
  <c r="T68" i="15"/>
  <c r="T73" i="15"/>
  <c r="T71" i="15"/>
  <c r="T83" i="15"/>
  <c r="T51" i="15"/>
  <c r="T81" i="15"/>
  <c r="T79" i="15"/>
  <c r="T67" i="15"/>
  <c r="T9" i="15"/>
  <c r="T30" i="15"/>
  <c r="U9" i="15"/>
  <c r="W9" i="15" s="1"/>
  <c r="U15" i="15"/>
  <c r="W15" i="15" s="1"/>
  <c r="U11" i="15"/>
  <c r="W11" i="15" s="1"/>
  <c r="U13" i="15"/>
  <c r="W13" i="15" s="1"/>
  <c r="U22" i="15"/>
  <c r="W22" i="15" s="1"/>
  <c r="U42" i="15"/>
  <c r="W42" i="15" s="1"/>
  <c r="U95" i="15"/>
  <c r="W95" i="15" s="1"/>
  <c r="U36" i="15"/>
  <c r="W36" i="15" s="1"/>
  <c r="U24" i="15"/>
  <c r="W24" i="15" s="1"/>
  <c r="U7" i="15"/>
  <c r="W7" i="15" s="1"/>
  <c r="U8" i="15"/>
  <c r="U12" i="15"/>
  <c r="W12" i="15" s="1"/>
  <c r="U14" i="15"/>
  <c r="W14" i="15" s="1"/>
  <c r="U45" i="15"/>
  <c r="W45" i="15" s="1"/>
  <c r="U141" i="15"/>
  <c r="W141" i="15" s="1"/>
  <c r="U136" i="15"/>
  <c r="W136" i="15" s="1"/>
  <c r="U134" i="15"/>
  <c r="W134" i="15" s="1"/>
  <c r="U127" i="15"/>
  <c r="W127" i="15" s="1"/>
  <c r="U128" i="15"/>
  <c r="U133" i="15"/>
  <c r="W133" i="15" s="1"/>
  <c r="U138" i="15"/>
  <c r="W138" i="15" s="1"/>
  <c r="U135" i="15"/>
  <c r="W135" i="15" s="1"/>
  <c r="U137" i="15"/>
  <c r="W137" i="15" s="1"/>
  <c r="U139" i="15"/>
  <c r="W139" i="15" s="1"/>
  <c r="U129" i="15"/>
  <c r="W129" i="15" s="1"/>
  <c r="U130" i="15"/>
  <c r="W130" i="15" s="1"/>
  <c r="U131" i="15"/>
  <c r="U98" i="15"/>
  <c r="W98" i="15" s="1"/>
  <c r="U57" i="15"/>
  <c r="W57" i="15" s="1"/>
  <c r="U56" i="15"/>
  <c r="W56" i="15" s="1"/>
  <c r="U55" i="15"/>
  <c r="W55" i="15" s="1"/>
  <c r="U60" i="15"/>
  <c r="W60" i="15" s="1"/>
  <c r="U34" i="15"/>
  <c r="W34" i="15" s="1"/>
  <c r="U94" i="15"/>
  <c r="W94" i="15" s="1"/>
  <c r="U61" i="15"/>
  <c r="U58" i="15"/>
  <c r="W58" i="15" s="1"/>
  <c r="U40" i="15"/>
  <c r="W40" i="15" s="1"/>
  <c r="U62" i="15"/>
  <c r="W62" i="15" s="1"/>
  <c r="U25" i="15"/>
  <c r="W25" i="15" s="1"/>
  <c r="U30" i="15"/>
  <c r="W30" i="15" s="1"/>
  <c r="U26" i="15"/>
  <c r="W26" i="15" s="1"/>
  <c r="U32" i="15"/>
  <c r="W32" i="15" s="1"/>
  <c r="U28" i="15"/>
  <c r="U31" i="15"/>
  <c r="W31" i="15" s="1"/>
  <c r="U48" i="15"/>
  <c r="W48" i="15" s="1"/>
  <c r="U93" i="15"/>
  <c r="W93" i="15" s="1"/>
  <c r="U92" i="15"/>
  <c r="W92" i="15" s="1"/>
  <c r="U91" i="15"/>
  <c r="W91" i="15" s="1"/>
  <c r="U90" i="15"/>
  <c r="W90" i="15" s="1"/>
  <c r="U89" i="15"/>
  <c r="W89" i="15" s="1"/>
  <c r="U35" i="15"/>
  <c r="U41" i="15"/>
  <c r="W41" i="15" s="1"/>
  <c r="U87" i="15"/>
  <c r="U88" i="15"/>
  <c r="W88" i="15" s="1"/>
  <c r="U38" i="15"/>
  <c r="W38" i="15" s="1"/>
  <c r="U86" i="15"/>
  <c r="W86" i="15" s="1"/>
  <c r="U37" i="15"/>
  <c r="U54" i="15"/>
  <c r="W54" i="15" s="1"/>
  <c r="U65" i="15"/>
  <c r="U39" i="15"/>
  <c r="W39" i="15" s="1"/>
  <c r="U85" i="15"/>
  <c r="U64" i="15"/>
  <c r="W64" i="15" s="1"/>
  <c r="U53" i="15"/>
  <c r="U84" i="15"/>
  <c r="W84" i="15" s="1"/>
  <c r="U63" i="15"/>
  <c r="U43" i="15"/>
  <c r="W43" i="15" s="1"/>
  <c r="U29" i="15"/>
  <c r="W29" i="15" s="1"/>
  <c r="U66" i="15"/>
  <c r="W66" i="15" s="1"/>
  <c r="U46" i="15"/>
  <c r="U47" i="15"/>
  <c r="W47" i="15" s="1"/>
  <c r="U27" i="15"/>
  <c r="U59" i="15"/>
  <c r="W59" i="15" s="1"/>
  <c r="U10" i="15"/>
  <c r="U140" i="15"/>
  <c r="W140" i="15" s="1"/>
  <c r="U132" i="15"/>
  <c r="U103" i="15"/>
  <c r="W103" i="15" s="1"/>
  <c r="U101" i="15"/>
  <c r="U102" i="15"/>
  <c r="W102" i="15" s="1"/>
  <c r="U97" i="15"/>
  <c r="U104" i="15"/>
  <c r="W104" i="15" s="1"/>
  <c r="U99" i="15"/>
  <c r="U100" i="15"/>
  <c r="W100" i="15" s="1"/>
  <c r="U170" i="15"/>
  <c r="W170" i="15" s="1"/>
  <c r="U165" i="15"/>
  <c r="W165" i="15" s="1"/>
  <c r="U168" i="15"/>
  <c r="U167" i="15"/>
  <c r="W167" i="15" s="1"/>
  <c r="U166" i="15"/>
  <c r="U178" i="15"/>
  <c r="W178" i="15" s="1"/>
  <c r="U174" i="15"/>
  <c r="U177" i="15"/>
  <c r="W177" i="15" s="1"/>
  <c r="U176" i="15"/>
  <c r="U175" i="15"/>
  <c r="W175" i="15" s="1"/>
  <c r="U160" i="15"/>
  <c r="U156" i="15"/>
  <c r="W156" i="15" s="1"/>
  <c r="U159" i="15"/>
  <c r="U158" i="15"/>
  <c r="W158" i="15" s="1"/>
  <c r="U157" i="15"/>
  <c r="U173" i="15"/>
  <c r="W173" i="15" s="1"/>
  <c r="U171" i="15"/>
  <c r="W171" i="15" s="1"/>
  <c r="U172" i="15"/>
  <c r="W172" i="15" s="1"/>
  <c r="U161" i="15"/>
  <c r="U143" i="15"/>
  <c r="W143" i="15" s="1"/>
  <c r="U115" i="15"/>
  <c r="U116" i="15"/>
  <c r="W116" i="15" s="1"/>
  <c r="U154" i="15"/>
  <c r="U153" i="15"/>
  <c r="W153" i="15" s="1"/>
  <c r="U119" i="15"/>
  <c r="U118" i="15"/>
  <c r="W118" i="15" s="1"/>
  <c r="U117" i="15"/>
  <c r="U152" i="15"/>
  <c r="W152" i="15" s="1"/>
  <c r="U146" i="15"/>
  <c r="W146" i="15" s="1"/>
  <c r="U163" i="15"/>
  <c r="U162" i="15"/>
  <c r="W162" i="15" s="1"/>
  <c r="U155" i="15"/>
  <c r="W155" i="15" s="1"/>
  <c r="U164" i="15"/>
  <c r="W164" i="15" s="1"/>
  <c r="U151" i="15"/>
  <c r="U150" i="15"/>
  <c r="W150" i="15" s="1"/>
  <c r="U147" i="15"/>
  <c r="U148" i="15"/>
  <c r="W148" i="15" s="1"/>
  <c r="U149" i="15"/>
  <c r="U142" i="15"/>
  <c r="U144" i="15"/>
  <c r="W144" i="15" s="1"/>
  <c r="U145" i="15"/>
  <c r="U180" i="15"/>
  <c r="U114" i="15"/>
  <c r="U113" i="15"/>
  <c r="U112" i="15"/>
  <c r="U111" i="15"/>
  <c r="U181" i="15"/>
  <c r="U110" i="15"/>
  <c r="W110" i="15" s="1"/>
  <c r="U109" i="15"/>
  <c r="U108" i="15"/>
  <c r="U107" i="15"/>
  <c r="U106" i="15"/>
  <c r="U96" i="15"/>
  <c r="U105" i="15"/>
  <c r="U169" i="15"/>
  <c r="U179" i="15"/>
  <c r="W179" i="15" s="1"/>
  <c r="U122" i="15"/>
  <c r="U124" i="15"/>
  <c r="U126" i="15"/>
  <c r="U123" i="15"/>
  <c r="U125" i="15"/>
  <c r="U121" i="15"/>
  <c r="U76" i="15"/>
  <c r="U19" i="15"/>
  <c r="U78" i="15"/>
  <c r="U18" i="15"/>
  <c r="U23" i="15"/>
  <c r="U77" i="15"/>
  <c r="U50" i="15"/>
  <c r="U75" i="15"/>
  <c r="U74" i="15"/>
  <c r="U20" i="15"/>
  <c r="W20" i="15" s="1"/>
  <c r="U49" i="15"/>
  <c r="U17" i="15"/>
  <c r="U72" i="15"/>
  <c r="U70" i="15"/>
  <c r="U68" i="15"/>
  <c r="U21" i="15"/>
  <c r="U73" i="15"/>
  <c r="U44" i="15"/>
  <c r="U71" i="15"/>
  <c r="U69" i="15"/>
  <c r="U83" i="15"/>
  <c r="U52" i="15"/>
  <c r="U51" i="15"/>
  <c r="U82" i="15"/>
  <c r="U81" i="15"/>
  <c r="U80" i="15"/>
  <c r="W80" i="15" s="1"/>
  <c r="U79" i="15"/>
  <c r="U33" i="15"/>
  <c r="U67" i="15"/>
  <c r="U120" i="15"/>
  <c r="X9" i="15"/>
  <c r="X15" i="15"/>
  <c r="X11" i="15"/>
  <c r="X13" i="15"/>
  <c r="X22" i="15"/>
  <c r="X42" i="15"/>
  <c r="X95" i="15"/>
  <c r="X36" i="15"/>
  <c r="X24" i="15"/>
  <c r="X7" i="15"/>
  <c r="X8" i="15"/>
  <c r="X12" i="15"/>
  <c r="X14" i="15"/>
  <c r="X45" i="15"/>
  <c r="X141" i="15"/>
  <c r="X136" i="15"/>
  <c r="X134" i="15"/>
  <c r="X127" i="15"/>
  <c r="X128" i="15"/>
  <c r="X133" i="15"/>
  <c r="X138" i="15"/>
  <c r="X135" i="15"/>
  <c r="X137" i="15"/>
  <c r="X139" i="15"/>
  <c r="X129" i="15"/>
  <c r="X130" i="15"/>
  <c r="X131" i="15"/>
  <c r="X98" i="15"/>
  <c r="X57" i="15"/>
  <c r="X56" i="15"/>
  <c r="X55" i="15"/>
  <c r="X60" i="15"/>
  <c r="X34" i="15"/>
  <c r="X94" i="15"/>
  <c r="X61" i="15"/>
  <c r="X58" i="15"/>
  <c r="X40" i="15"/>
  <c r="X62" i="15"/>
  <c r="X25" i="15"/>
  <c r="X30" i="15"/>
  <c r="X26" i="15"/>
  <c r="X32" i="15"/>
  <c r="X28" i="15"/>
  <c r="X31" i="15"/>
  <c r="X48" i="15"/>
  <c r="X93" i="15"/>
  <c r="X92" i="15"/>
  <c r="X91" i="15"/>
  <c r="X90" i="15"/>
  <c r="X89" i="15"/>
  <c r="X35" i="15"/>
  <c r="X41" i="15"/>
  <c r="X87" i="15"/>
  <c r="X88" i="15"/>
  <c r="X38" i="15"/>
  <c r="X86" i="15"/>
  <c r="X37" i="15"/>
  <c r="X54" i="15"/>
  <c r="X65" i="15"/>
  <c r="X39" i="15"/>
  <c r="X85" i="15"/>
  <c r="X64" i="15"/>
  <c r="X53" i="15"/>
  <c r="X84" i="15"/>
  <c r="X63" i="15"/>
  <c r="X43" i="15"/>
  <c r="X29" i="15"/>
  <c r="X66" i="15"/>
  <c r="X46" i="15"/>
  <c r="X47" i="15"/>
  <c r="X27" i="15"/>
  <c r="X59" i="15"/>
  <c r="X10" i="15"/>
  <c r="X140" i="15"/>
  <c r="X132" i="15"/>
  <c r="X103" i="15"/>
  <c r="X101" i="15"/>
  <c r="X102" i="15"/>
  <c r="X97" i="15"/>
  <c r="X104" i="15"/>
  <c r="X99" i="15"/>
  <c r="X100" i="15"/>
  <c r="X170" i="15"/>
  <c r="X165" i="15"/>
  <c r="X168" i="15"/>
  <c r="X167" i="15"/>
  <c r="X166" i="15"/>
  <c r="X178" i="15"/>
  <c r="X174" i="15"/>
  <c r="X177" i="15"/>
  <c r="X176" i="15"/>
  <c r="X175" i="15"/>
  <c r="X160" i="15"/>
  <c r="X156" i="15"/>
  <c r="X159" i="15"/>
  <c r="X158" i="15"/>
  <c r="X157" i="15"/>
  <c r="X173" i="15"/>
  <c r="X171" i="15"/>
  <c r="X172" i="15"/>
  <c r="X161" i="15"/>
  <c r="X143" i="15"/>
  <c r="X115" i="15"/>
  <c r="X116" i="15"/>
  <c r="X154" i="15"/>
  <c r="X153" i="15"/>
  <c r="X119" i="15"/>
  <c r="X118" i="15"/>
  <c r="X117" i="15"/>
  <c r="X152" i="15"/>
  <c r="X146" i="15"/>
  <c r="X163" i="15"/>
  <c r="X162" i="15"/>
  <c r="X155" i="15"/>
  <c r="X164" i="15"/>
  <c r="X151" i="15"/>
  <c r="X150" i="15"/>
  <c r="X147" i="15"/>
  <c r="X148" i="15"/>
  <c r="X149" i="15"/>
  <c r="X142" i="15"/>
  <c r="X144" i="15"/>
  <c r="X145" i="15"/>
  <c r="X180" i="15"/>
  <c r="X114" i="15"/>
  <c r="X113" i="15"/>
  <c r="X112" i="15"/>
  <c r="X111" i="15"/>
  <c r="X181" i="15"/>
  <c r="X110" i="15"/>
  <c r="X109" i="15"/>
  <c r="X108" i="15"/>
  <c r="X107" i="15"/>
  <c r="X106" i="15"/>
  <c r="X96" i="15"/>
  <c r="X105" i="15"/>
  <c r="X169" i="15"/>
  <c r="X179" i="15"/>
  <c r="X122" i="15"/>
  <c r="X124" i="15"/>
  <c r="X126" i="15"/>
  <c r="X123" i="15"/>
  <c r="X125" i="15"/>
  <c r="X121" i="15"/>
  <c r="X76" i="15"/>
  <c r="X19" i="15"/>
  <c r="X78" i="15"/>
  <c r="X18" i="15"/>
  <c r="X23" i="15"/>
  <c r="X77" i="15"/>
  <c r="X50" i="15"/>
  <c r="X75" i="15"/>
  <c r="X74" i="15"/>
  <c r="X20" i="15"/>
  <c r="X49" i="15"/>
  <c r="X17" i="15"/>
  <c r="X72" i="15"/>
  <c r="X70" i="15"/>
  <c r="X68" i="15"/>
  <c r="X21" i="15"/>
  <c r="X73" i="15"/>
  <c r="X44" i="15"/>
  <c r="X71" i="15"/>
  <c r="X69" i="15"/>
  <c r="X83" i="15"/>
  <c r="X52" i="15"/>
  <c r="X51" i="15"/>
  <c r="X82" i="15"/>
  <c r="X81" i="15"/>
  <c r="X80" i="15"/>
  <c r="X79" i="15"/>
  <c r="X33" i="15"/>
  <c r="X67" i="15"/>
  <c r="X120" i="15"/>
  <c r="Y9" i="15"/>
  <c r="Y15" i="15"/>
  <c r="Y11" i="15"/>
  <c r="Y13" i="15"/>
  <c r="Y22" i="15"/>
  <c r="Y42" i="15"/>
  <c r="Y95" i="15"/>
  <c r="Y36" i="15"/>
  <c r="Y24" i="15"/>
  <c r="Y7" i="15"/>
  <c r="Y8" i="15"/>
  <c r="Y12" i="15"/>
  <c r="Y14" i="15"/>
  <c r="Y45" i="15"/>
  <c r="Y141" i="15"/>
  <c r="Y136" i="15"/>
  <c r="Y134" i="15"/>
  <c r="Y127" i="15"/>
  <c r="Y128" i="15"/>
  <c r="Y133" i="15"/>
  <c r="Y138" i="15"/>
  <c r="Y135" i="15"/>
  <c r="Y137" i="15"/>
  <c r="Y139" i="15"/>
  <c r="Y129" i="15"/>
  <c r="Y130" i="15"/>
  <c r="Y131" i="15"/>
  <c r="Y98" i="15"/>
  <c r="Y57" i="15"/>
  <c r="Y56" i="15"/>
  <c r="Y55" i="15"/>
  <c r="Y60" i="15"/>
  <c r="Y34" i="15"/>
  <c r="Y94" i="15"/>
  <c r="Y61" i="15"/>
  <c r="Y58" i="15"/>
  <c r="Y40" i="15"/>
  <c r="Y62" i="15"/>
  <c r="Y25" i="15"/>
  <c r="Y30" i="15"/>
  <c r="Y26" i="15"/>
  <c r="Y32" i="15"/>
  <c r="Y28" i="15"/>
  <c r="Y31" i="15"/>
  <c r="Y48" i="15"/>
  <c r="Y93" i="15"/>
  <c r="Y92" i="15"/>
  <c r="Y91" i="15"/>
  <c r="Y90" i="15"/>
  <c r="Y89" i="15"/>
  <c r="Y35" i="15"/>
  <c r="Y41" i="15"/>
  <c r="Y87" i="15"/>
  <c r="Y88" i="15"/>
  <c r="Y38" i="15"/>
  <c r="Y86" i="15"/>
  <c r="Y37" i="15"/>
  <c r="Y54" i="15"/>
  <c r="Y65" i="15"/>
  <c r="Y39" i="15"/>
  <c r="Y85" i="15"/>
  <c r="Y64" i="15"/>
  <c r="Y53" i="15"/>
  <c r="Y84" i="15"/>
  <c r="Y63" i="15"/>
  <c r="Y43" i="15"/>
  <c r="Y29" i="15"/>
  <c r="Y66" i="15"/>
  <c r="Y46" i="15"/>
  <c r="Y47" i="15"/>
  <c r="Y27" i="15"/>
  <c r="Y59" i="15"/>
  <c r="Y10" i="15"/>
  <c r="Y140" i="15"/>
  <c r="Y132" i="15"/>
  <c r="Y103" i="15"/>
  <c r="Y101" i="15"/>
  <c r="Y102" i="15"/>
  <c r="Y97" i="15"/>
  <c r="Y104" i="15"/>
  <c r="Y99" i="15"/>
  <c r="Y100" i="15"/>
  <c r="Y170" i="15"/>
  <c r="Y165" i="15"/>
  <c r="Y168" i="15"/>
  <c r="Y167" i="15"/>
  <c r="Y166" i="15"/>
  <c r="Y178" i="15"/>
  <c r="Y174" i="15"/>
  <c r="Y177" i="15"/>
  <c r="Y176" i="15"/>
  <c r="Y175" i="15"/>
  <c r="Y160" i="15"/>
  <c r="Y156" i="15"/>
  <c r="Y159" i="15"/>
  <c r="Y158" i="15"/>
  <c r="Y157" i="15"/>
  <c r="Y173" i="15"/>
  <c r="Y171" i="15"/>
  <c r="Y172" i="15"/>
  <c r="Y161" i="15"/>
  <c r="Y143" i="15"/>
  <c r="Y115" i="15"/>
  <c r="Y116" i="15"/>
  <c r="Y154" i="15"/>
  <c r="Y153" i="15"/>
  <c r="Y119" i="15"/>
  <c r="Y118" i="15"/>
  <c r="Y117" i="15"/>
  <c r="Y152" i="15"/>
  <c r="Y146" i="15"/>
  <c r="Y163" i="15"/>
  <c r="Y162" i="15"/>
  <c r="Y155" i="15"/>
  <c r="Y164" i="15"/>
  <c r="Y151" i="15"/>
  <c r="Y150" i="15"/>
  <c r="Y147" i="15"/>
  <c r="Y148" i="15"/>
  <c r="Y149" i="15"/>
  <c r="Y142" i="15"/>
  <c r="Y144" i="15"/>
  <c r="Y145" i="15"/>
  <c r="Y180" i="15"/>
  <c r="Y114" i="15"/>
  <c r="Y113" i="15"/>
  <c r="Y112" i="15"/>
  <c r="Y111" i="15"/>
  <c r="Y181" i="15"/>
  <c r="Y110" i="15"/>
  <c r="Y109" i="15"/>
  <c r="Y108" i="15"/>
  <c r="Y107" i="15"/>
  <c r="Y106" i="15"/>
  <c r="Y96" i="15"/>
  <c r="Y105" i="15"/>
  <c r="Y169" i="15"/>
  <c r="Y179" i="15"/>
  <c r="Y122" i="15"/>
  <c r="Y124" i="15"/>
  <c r="Y126" i="15"/>
  <c r="Y123" i="15"/>
  <c r="Y125" i="15"/>
  <c r="Y121" i="15"/>
  <c r="Y76" i="15"/>
  <c r="Y19" i="15"/>
  <c r="Y78" i="15"/>
  <c r="Y18" i="15"/>
  <c r="Y23" i="15"/>
  <c r="Y77" i="15"/>
  <c r="Y50" i="15"/>
  <c r="Y75" i="15"/>
  <c r="Y74" i="15"/>
  <c r="Y20" i="15"/>
  <c r="Y49" i="15"/>
  <c r="Y17" i="15"/>
  <c r="Y72" i="15"/>
  <c r="Y70" i="15"/>
  <c r="Y68" i="15"/>
  <c r="Y21" i="15"/>
  <c r="Y73" i="15"/>
  <c r="Y44" i="15"/>
  <c r="Y71" i="15"/>
  <c r="Y69" i="15"/>
  <c r="Y83" i="15"/>
  <c r="Y52" i="15"/>
  <c r="Y51" i="15"/>
  <c r="Y82" i="15"/>
  <c r="Y81" i="15"/>
  <c r="Y80" i="15"/>
  <c r="Y79" i="15"/>
  <c r="Y33" i="15"/>
  <c r="Y67" i="15"/>
  <c r="Y120" i="15"/>
  <c r="Y16" i="15"/>
  <c r="X16" i="15"/>
  <c r="U16" i="15"/>
  <c r="P16" i="15"/>
  <c r="L16" i="15"/>
  <c r="M16" i="15" s="1"/>
  <c r="L1" i="15"/>
  <c r="L85" i="13"/>
  <c r="M85" i="13" s="1"/>
  <c r="L81" i="13"/>
  <c r="M81" i="13" s="1"/>
  <c r="L86" i="13"/>
  <c r="M86" i="13" s="1"/>
  <c r="L77" i="13"/>
  <c r="M77" i="13" s="1"/>
  <c r="L83" i="13"/>
  <c r="M83" i="13" s="1"/>
  <c r="L78" i="13"/>
  <c r="M78" i="13" s="1"/>
  <c r="L91" i="13"/>
  <c r="M91" i="13" s="1"/>
  <c r="L90" i="13"/>
  <c r="M90" i="13" s="1"/>
  <c r="L44" i="13"/>
  <c r="M44" i="13" s="1"/>
  <c r="L43" i="13"/>
  <c r="M43" i="13" s="1"/>
  <c r="L42" i="13"/>
  <c r="M42" i="13" s="1"/>
  <c r="L37" i="13"/>
  <c r="M37" i="13" s="1"/>
  <c r="L40" i="13"/>
  <c r="M40" i="13" s="1"/>
  <c r="L36" i="13"/>
  <c r="M36" i="13" s="1"/>
  <c r="L64" i="13"/>
  <c r="M64" i="13" s="1"/>
  <c r="L66" i="13"/>
  <c r="M66" i="13" s="1"/>
  <c r="L68" i="13"/>
  <c r="M68" i="13" s="1"/>
  <c r="L51" i="13"/>
  <c r="M51" i="13" s="1"/>
  <c r="L58" i="13"/>
  <c r="M58" i="13" s="1"/>
  <c r="L54" i="13"/>
  <c r="M54" i="13" s="1"/>
  <c r="L17" i="13"/>
  <c r="M17" i="13" s="1"/>
  <c r="L23" i="13"/>
  <c r="M23" i="13" s="1"/>
  <c r="L25" i="13"/>
  <c r="M25" i="13" s="1"/>
  <c r="L15" i="13"/>
  <c r="M15" i="13" s="1"/>
  <c r="L24" i="13"/>
  <c r="M24" i="13" s="1"/>
  <c r="L16" i="13"/>
  <c r="M16" i="13" s="1"/>
  <c r="L29" i="13"/>
  <c r="M29" i="13" s="1"/>
  <c r="L18" i="13"/>
  <c r="M18" i="13" s="1"/>
  <c r="L60" i="13"/>
  <c r="M60" i="13" s="1"/>
  <c r="L65" i="13"/>
  <c r="M65" i="13" s="1"/>
  <c r="L61" i="13"/>
  <c r="M61" i="13" s="1"/>
  <c r="L69" i="13"/>
  <c r="M69" i="13" s="1"/>
  <c r="L87" i="13"/>
  <c r="M87" i="13" s="1"/>
  <c r="L70" i="13"/>
  <c r="M70" i="13" s="1"/>
  <c r="L12" i="13"/>
  <c r="M12" i="13" s="1"/>
  <c r="L67" i="13"/>
  <c r="M67" i="13" s="1"/>
  <c r="L98" i="13"/>
  <c r="M98" i="13" s="1"/>
  <c r="L52" i="13"/>
  <c r="M52" i="13" s="1"/>
  <c r="L59" i="13"/>
  <c r="M59" i="13" s="1"/>
  <c r="L50" i="13"/>
  <c r="M50" i="13" s="1"/>
  <c r="L55" i="13"/>
  <c r="M55" i="13" s="1"/>
  <c r="L26" i="13"/>
  <c r="M26" i="13" s="1"/>
  <c r="L38" i="13"/>
  <c r="M38" i="13" s="1"/>
  <c r="L47" i="13"/>
  <c r="M47" i="13" s="1"/>
  <c r="L39" i="13"/>
  <c r="M39" i="13" s="1"/>
  <c r="L46" i="13"/>
  <c r="M46" i="13" s="1"/>
  <c r="L56" i="13"/>
  <c r="M56" i="13" s="1"/>
  <c r="L53" i="13"/>
  <c r="M53" i="13" s="1"/>
  <c r="L80" i="13"/>
  <c r="M80" i="13" s="1"/>
  <c r="L45" i="13"/>
  <c r="M45" i="13" s="1"/>
  <c r="L71" i="13"/>
  <c r="M71" i="13" s="1"/>
  <c r="L62" i="13"/>
  <c r="M62" i="13" s="1"/>
  <c r="L27" i="13"/>
  <c r="M27" i="13" s="1"/>
  <c r="L30" i="13"/>
  <c r="M30" i="13" s="1"/>
  <c r="L34" i="13"/>
  <c r="M34" i="13" s="1"/>
  <c r="L19" i="13"/>
  <c r="M19" i="13" s="1"/>
  <c r="L33" i="13"/>
  <c r="M33" i="13" s="1"/>
  <c r="L21" i="13"/>
  <c r="M21" i="13" s="1"/>
  <c r="L28" i="13"/>
  <c r="M28" i="13" s="1"/>
  <c r="L20" i="13"/>
  <c r="M20" i="13" s="1"/>
  <c r="L7" i="13"/>
  <c r="M7" i="13" s="1"/>
  <c r="L10" i="13"/>
  <c r="M10" i="13" s="1"/>
  <c r="L9" i="13"/>
  <c r="M9" i="13" s="1"/>
  <c r="L8" i="13"/>
  <c r="M8" i="13" s="1"/>
  <c r="L11" i="13"/>
  <c r="M11" i="13" s="1"/>
  <c r="L99" i="13"/>
  <c r="M99" i="13" s="1"/>
  <c r="L100" i="13"/>
  <c r="M100" i="13" s="1"/>
  <c r="L101" i="13"/>
  <c r="M101" i="13" s="1"/>
  <c r="L102" i="13"/>
  <c r="M102" i="13" s="1"/>
  <c r="L103" i="13"/>
  <c r="M103" i="13" s="1"/>
  <c r="L104" i="13"/>
  <c r="M104" i="13" s="1"/>
  <c r="L105" i="13"/>
  <c r="M105" i="13" s="1"/>
  <c r="L31" i="13"/>
  <c r="M31" i="13" s="1"/>
  <c r="L48" i="13"/>
  <c r="M48" i="13" s="1"/>
  <c r="L35" i="13"/>
  <c r="M35" i="13" s="1"/>
  <c r="L22" i="13"/>
  <c r="M22" i="13" s="1"/>
  <c r="L72" i="13"/>
  <c r="M72" i="13" s="1"/>
  <c r="L13" i="13"/>
  <c r="M13" i="13" s="1"/>
  <c r="L57" i="13"/>
  <c r="M57" i="13" s="1"/>
  <c r="L14" i="13"/>
  <c r="M14" i="13" s="1"/>
  <c r="L88" i="13"/>
  <c r="M88" i="13" s="1"/>
  <c r="L76" i="13"/>
  <c r="M76" i="13" s="1"/>
  <c r="L96" i="13"/>
  <c r="M96" i="13" s="1"/>
  <c r="L89" i="13"/>
  <c r="M89" i="13" s="1"/>
  <c r="L75" i="13"/>
  <c r="M75" i="13" s="1"/>
  <c r="L94" i="13"/>
  <c r="M94" i="13" s="1"/>
  <c r="L63" i="13"/>
  <c r="M63" i="13" s="1"/>
  <c r="L84" i="13"/>
  <c r="M84" i="13" s="1"/>
  <c r="L106" i="13"/>
  <c r="M106" i="13" s="1"/>
  <c r="L107" i="13"/>
  <c r="M107" i="13" s="1"/>
  <c r="L108" i="13"/>
  <c r="M108" i="13" s="1"/>
  <c r="L109" i="13"/>
  <c r="M109" i="13" s="1"/>
  <c r="L110" i="13"/>
  <c r="M110" i="13" s="1"/>
  <c r="L111" i="13"/>
  <c r="M111" i="13" s="1"/>
  <c r="L112" i="13"/>
  <c r="M112" i="13" s="1"/>
  <c r="L113" i="13"/>
  <c r="M113" i="13" s="1"/>
  <c r="L114" i="13"/>
  <c r="M114" i="13" s="1"/>
  <c r="L115" i="13"/>
  <c r="M115" i="13" s="1"/>
  <c r="L116" i="13"/>
  <c r="M116" i="13" s="1"/>
  <c r="L117" i="13"/>
  <c r="M117" i="13" s="1"/>
  <c r="L118" i="13"/>
  <c r="M118" i="13" s="1"/>
  <c r="L119" i="13"/>
  <c r="M119" i="13" s="1"/>
  <c r="L120" i="13"/>
  <c r="M120" i="13" s="1"/>
  <c r="L121" i="13"/>
  <c r="M121" i="13" s="1"/>
  <c r="L122" i="13"/>
  <c r="M122" i="13" s="1"/>
  <c r="L123" i="13"/>
  <c r="M123" i="13" s="1"/>
  <c r="L124" i="13"/>
  <c r="M124" i="13" s="1"/>
  <c r="L125" i="13"/>
  <c r="M125" i="13" s="1"/>
  <c r="L126" i="13"/>
  <c r="M126" i="13" s="1"/>
  <c r="L127" i="13"/>
  <c r="M127" i="13" s="1"/>
  <c r="L128" i="13"/>
  <c r="M128" i="13" s="1"/>
  <c r="L129" i="13"/>
  <c r="M129" i="13" s="1"/>
  <c r="L130" i="13"/>
  <c r="M130" i="13" s="1"/>
  <c r="L131" i="13"/>
  <c r="M131" i="13" s="1"/>
  <c r="L132" i="13"/>
  <c r="M132" i="13" s="1"/>
  <c r="L133" i="13"/>
  <c r="M133" i="13" s="1"/>
  <c r="L134" i="13"/>
  <c r="M134" i="13" s="1"/>
  <c r="L135" i="13"/>
  <c r="M135" i="13" s="1"/>
  <c r="L136" i="13"/>
  <c r="M136" i="13" s="1"/>
  <c r="L137" i="13"/>
  <c r="M137" i="13" s="1"/>
  <c r="L138" i="13"/>
  <c r="M138" i="13" s="1"/>
  <c r="L139" i="13"/>
  <c r="M139" i="13" s="1"/>
  <c r="L140" i="13"/>
  <c r="M140" i="13" s="1"/>
  <c r="L141" i="13"/>
  <c r="M141" i="13" s="1"/>
  <c r="L142" i="13"/>
  <c r="M142" i="13" s="1"/>
  <c r="L143" i="13"/>
  <c r="M143" i="13" s="1"/>
  <c r="L144" i="13"/>
  <c r="M144" i="13" s="1"/>
  <c r="L145" i="13"/>
  <c r="M145" i="13" s="1"/>
  <c r="L146" i="13"/>
  <c r="M146" i="13" s="1"/>
  <c r="L147" i="13"/>
  <c r="M147" i="13" s="1"/>
  <c r="L148" i="13"/>
  <c r="M148" i="13" s="1"/>
  <c r="L149" i="13"/>
  <c r="M149" i="13" s="1"/>
  <c r="L150" i="13"/>
  <c r="M150" i="13" s="1"/>
  <c r="L151" i="13"/>
  <c r="M151" i="13" s="1"/>
  <c r="L152" i="13"/>
  <c r="M152" i="13" s="1"/>
  <c r="L153" i="13"/>
  <c r="M153" i="13" s="1"/>
  <c r="L154" i="13"/>
  <c r="M154" i="13" s="1"/>
  <c r="L155" i="13"/>
  <c r="M155" i="13" s="1"/>
  <c r="L156" i="13"/>
  <c r="M156" i="13" s="1"/>
  <c r="L157" i="13"/>
  <c r="M157" i="13" s="1"/>
  <c r="L158" i="13"/>
  <c r="M158" i="13" s="1"/>
  <c r="L159" i="13"/>
  <c r="M159" i="13" s="1"/>
  <c r="L160" i="13"/>
  <c r="M160" i="13" s="1"/>
  <c r="L161" i="13"/>
  <c r="M161" i="13" s="1"/>
  <c r="L162" i="13"/>
  <c r="M162" i="13" s="1"/>
  <c r="L163" i="13"/>
  <c r="M163" i="13" s="1"/>
  <c r="L164" i="13"/>
  <c r="M164" i="13" s="1"/>
  <c r="L165" i="13"/>
  <c r="M165" i="13" s="1"/>
  <c r="L166" i="13"/>
  <c r="M166" i="13" s="1"/>
  <c r="L167" i="13"/>
  <c r="M167" i="13" s="1"/>
  <c r="L168" i="13"/>
  <c r="M168" i="13" s="1"/>
  <c r="L169" i="13"/>
  <c r="M169" i="13" s="1"/>
  <c r="L170" i="13"/>
  <c r="M170" i="13" s="1"/>
  <c r="L171" i="13"/>
  <c r="M171" i="13" s="1"/>
  <c r="L172" i="13"/>
  <c r="M172" i="13" s="1"/>
  <c r="L173" i="13"/>
  <c r="M173" i="13" s="1"/>
  <c r="L174" i="13"/>
  <c r="M174" i="13" s="1"/>
  <c r="L175" i="13"/>
  <c r="M175" i="13" s="1"/>
  <c r="L176" i="13"/>
  <c r="M176" i="13" s="1"/>
  <c r="L177" i="13"/>
  <c r="M177" i="13" s="1"/>
  <c r="L178" i="13"/>
  <c r="M178" i="13" s="1"/>
  <c r="L179" i="13"/>
  <c r="M179" i="13" s="1"/>
  <c r="L180" i="13"/>
  <c r="M180" i="13" s="1"/>
  <c r="L181" i="13"/>
  <c r="M181" i="13" s="1"/>
  <c r="L182" i="13"/>
  <c r="M182" i="13" s="1"/>
  <c r="L183" i="13"/>
  <c r="M183" i="13" s="1"/>
  <c r="L184" i="13"/>
  <c r="M184" i="13" s="1"/>
  <c r="L185" i="13"/>
  <c r="M185" i="13" s="1"/>
  <c r="L186" i="13"/>
  <c r="M186" i="13" s="1"/>
  <c r="L187" i="13"/>
  <c r="M187" i="13" s="1"/>
  <c r="L188" i="13"/>
  <c r="M188" i="13" s="1"/>
  <c r="L189" i="13"/>
  <c r="M189" i="13" s="1"/>
  <c r="L190" i="13"/>
  <c r="M190" i="13" s="1"/>
  <c r="L191" i="13"/>
  <c r="M191" i="13" s="1"/>
  <c r="L192" i="13"/>
  <c r="M192" i="13" s="1"/>
  <c r="L193" i="13"/>
  <c r="M193" i="13" s="1"/>
  <c r="L194" i="13"/>
  <c r="M194" i="13" s="1"/>
  <c r="L195" i="13"/>
  <c r="M195" i="13" s="1"/>
  <c r="L196" i="13"/>
  <c r="M196" i="13" s="1"/>
  <c r="L197" i="13"/>
  <c r="M197" i="13" s="1"/>
  <c r="L198" i="13"/>
  <c r="M198" i="13" s="1"/>
  <c r="L199" i="13"/>
  <c r="M199" i="13" s="1"/>
  <c r="L200" i="13"/>
  <c r="M200" i="13" s="1"/>
  <c r="L201" i="13"/>
  <c r="M201" i="13" s="1"/>
  <c r="L202" i="13"/>
  <c r="M202" i="13" s="1"/>
  <c r="L203" i="13"/>
  <c r="M203" i="13" s="1"/>
  <c r="L204" i="13"/>
  <c r="M204" i="13" s="1"/>
  <c r="L205" i="13"/>
  <c r="M205" i="13" s="1"/>
  <c r="L206" i="13"/>
  <c r="M206" i="13" s="1"/>
  <c r="L207" i="13"/>
  <c r="M207" i="13" s="1"/>
  <c r="L208" i="13"/>
  <c r="M208" i="13" s="1"/>
  <c r="L209" i="13"/>
  <c r="M209" i="13" s="1"/>
  <c r="L210" i="13"/>
  <c r="M210" i="13" s="1"/>
  <c r="L211" i="13"/>
  <c r="M211" i="13" s="1"/>
  <c r="L95" i="13"/>
  <c r="M95" i="13" s="1"/>
  <c r="L73" i="13"/>
  <c r="M73" i="13" s="1"/>
  <c r="L79" i="13"/>
  <c r="M79" i="13" s="1"/>
  <c r="L97" i="13"/>
  <c r="M97" i="13" s="1"/>
  <c r="L92" i="13"/>
  <c r="M92" i="13" s="1"/>
  <c r="L93" i="13"/>
  <c r="M93" i="13" s="1"/>
  <c r="L49" i="13"/>
  <c r="M49" i="13" s="1"/>
  <c r="L41" i="13"/>
  <c r="M41" i="13" s="1"/>
  <c r="L82" i="13"/>
  <c r="M82" i="13" s="1"/>
  <c r="L32" i="13"/>
  <c r="M32" i="13" s="1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T85" i="13"/>
  <c r="T81" i="13"/>
  <c r="T86" i="13"/>
  <c r="T77" i="13"/>
  <c r="T83" i="13"/>
  <c r="T78" i="13"/>
  <c r="T91" i="13"/>
  <c r="T90" i="13"/>
  <c r="T44" i="13"/>
  <c r="T43" i="13"/>
  <c r="T42" i="13"/>
  <c r="T37" i="13"/>
  <c r="T40" i="13"/>
  <c r="T36" i="13"/>
  <c r="T64" i="13"/>
  <c r="T66" i="13"/>
  <c r="T68" i="13"/>
  <c r="T51" i="13"/>
  <c r="T58" i="13"/>
  <c r="T54" i="13"/>
  <c r="T17" i="13"/>
  <c r="T23" i="13"/>
  <c r="T25" i="13"/>
  <c r="T15" i="13"/>
  <c r="T24" i="13"/>
  <c r="T16" i="13"/>
  <c r="T29" i="13"/>
  <c r="T18" i="13"/>
  <c r="T60" i="13"/>
  <c r="T65" i="13"/>
  <c r="T61" i="13"/>
  <c r="T69" i="13"/>
  <c r="T87" i="13"/>
  <c r="T70" i="13"/>
  <c r="T12" i="13"/>
  <c r="T67" i="13"/>
  <c r="T98" i="13"/>
  <c r="T52" i="13"/>
  <c r="T59" i="13"/>
  <c r="T50" i="13"/>
  <c r="T55" i="13"/>
  <c r="T26" i="13"/>
  <c r="T38" i="13"/>
  <c r="T47" i="13"/>
  <c r="T39" i="13"/>
  <c r="T46" i="13"/>
  <c r="T56" i="13"/>
  <c r="T53" i="13"/>
  <c r="T80" i="13"/>
  <c r="T45" i="13"/>
  <c r="T71" i="13"/>
  <c r="T62" i="13"/>
  <c r="T27" i="13"/>
  <c r="T30" i="13"/>
  <c r="T34" i="13"/>
  <c r="T19" i="13"/>
  <c r="T33" i="13"/>
  <c r="T21" i="13"/>
  <c r="T28" i="13"/>
  <c r="T20" i="13"/>
  <c r="T7" i="13"/>
  <c r="T10" i="13"/>
  <c r="T9" i="13"/>
  <c r="T8" i="13"/>
  <c r="T11" i="13"/>
  <c r="T99" i="13"/>
  <c r="T100" i="13"/>
  <c r="T101" i="13"/>
  <c r="T102" i="13"/>
  <c r="T103" i="13"/>
  <c r="T104" i="13"/>
  <c r="T105" i="13"/>
  <c r="T31" i="13"/>
  <c r="T48" i="13"/>
  <c r="T35" i="13"/>
  <c r="T22" i="13"/>
  <c r="T72" i="13"/>
  <c r="T13" i="13"/>
  <c r="T57" i="13"/>
  <c r="T14" i="13"/>
  <c r="T88" i="13"/>
  <c r="T76" i="13"/>
  <c r="T96" i="13"/>
  <c r="T89" i="13"/>
  <c r="T75" i="13"/>
  <c r="T94" i="13"/>
  <c r="T63" i="13"/>
  <c r="T84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T161" i="13"/>
  <c r="T162" i="13"/>
  <c r="T163" i="13"/>
  <c r="T164" i="13"/>
  <c r="T165" i="13"/>
  <c r="T166" i="13"/>
  <c r="T167" i="13"/>
  <c r="T168" i="13"/>
  <c r="T169" i="13"/>
  <c r="T170" i="13"/>
  <c r="T171" i="13"/>
  <c r="T172" i="13"/>
  <c r="T173" i="13"/>
  <c r="T174" i="13"/>
  <c r="T175" i="13"/>
  <c r="T176" i="13"/>
  <c r="T177" i="13"/>
  <c r="T178" i="13"/>
  <c r="T179" i="13"/>
  <c r="T180" i="13"/>
  <c r="T181" i="13"/>
  <c r="T182" i="13"/>
  <c r="T183" i="13"/>
  <c r="T184" i="13"/>
  <c r="T185" i="13"/>
  <c r="T186" i="13"/>
  <c r="T187" i="13"/>
  <c r="T188" i="13"/>
  <c r="T189" i="13"/>
  <c r="T190" i="13"/>
  <c r="T191" i="13"/>
  <c r="T192" i="13"/>
  <c r="T193" i="13"/>
  <c r="T194" i="13"/>
  <c r="T195" i="13"/>
  <c r="T196" i="13"/>
  <c r="T197" i="13"/>
  <c r="T198" i="13"/>
  <c r="T199" i="13"/>
  <c r="T200" i="13"/>
  <c r="T201" i="13"/>
  <c r="T202" i="13"/>
  <c r="T203" i="13"/>
  <c r="T204" i="13"/>
  <c r="T205" i="13"/>
  <c r="T206" i="13"/>
  <c r="T207" i="13"/>
  <c r="T208" i="13"/>
  <c r="T209" i="13"/>
  <c r="T210" i="13"/>
  <c r="T211" i="13"/>
  <c r="T95" i="13"/>
  <c r="T73" i="13"/>
  <c r="T79" i="13"/>
  <c r="T97" i="13"/>
  <c r="T92" i="13"/>
  <c r="T93" i="13"/>
  <c r="T49" i="13"/>
  <c r="T41" i="13"/>
  <c r="T82" i="13"/>
  <c r="T32" i="13"/>
  <c r="U85" i="13"/>
  <c r="U81" i="13"/>
  <c r="U86" i="13"/>
  <c r="U77" i="13"/>
  <c r="U83" i="13"/>
  <c r="U78" i="13"/>
  <c r="U91" i="13"/>
  <c r="U90" i="13"/>
  <c r="U44" i="13"/>
  <c r="U43" i="13"/>
  <c r="U42" i="13"/>
  <c r="U37" i="13"/>
  <c r="U40" i="13"/>
  <c r="U36" i="13"/>
  <c r="U64" i="13"/>
  <c r="U66" i="13"/>
  <c r="U68" i="13"/>
  <c r="U51" i="13"/>
  <c r="U58" i="13"/>
  <c r="U54" i="13"/>
  <c r="U17" i="13"/>
  <c r="U23" i="13"/>
  <c r="U25" i="13"/>
  <c r="U15" i="13"/>
  <c r="U24" i="13"/>
  <c r="U16" i="13"/>
  <c r="U29" i="13"/>
  <c r="U18" i="13"/>
  <c r="U60" i="13"/>
  <c r="U65" i="13"/>
  <c r="U61" i="13"/>
  <c r="U69" i="13"/>
  <c r="U87" i="13"/>
  <c r="U70" i="13"/>
  <c r="U12" i="13"/>
  <c r="U67" i="13"/>
  <c r="U98" i="13"/>
  <c r="U52" i="13"/>
  <c r="U59" i="13"/>
  <c r="U50" i="13"/>
  <c r="U55" i="13"/>
  <c r="U26" i="13"/>
  <c r="U38" i="13"/>
  <c r="U47" i="13"/>
  <c r="U39" i="13"/>
  <c r="U46" i="13"/>
  <c r="U56" i="13"/>
  <c r="U53" i="13"/>
  <c r="U80" i="13"/>
  <c r="U45" i="13"/>
  <c r="U71" i="13"/>
  <c r="U62" i="13"/>
  <c r="U27" i="13"/>
  <c r="U30" i="13"/>
  <c r="U34" i="13"/>
  <c r="U19" i="13"/>
  <c r="U33" i="13"/>
  <c r="U21" i="13"/>
  <c r="U28" i="13"/>
  <c r="U20" i="13"/>
  <c r="U7" i="13"/>
  <c r="U10" i="13"/>
  <c r="U9" i="13"/>
  <c r="U8" i="13"/>
  <c r="U11" i="13"/>
  <c r="U99" i="13"/>
  <c r="U100" i="13"/>
  <c r="U101" i="13"/>
  <c r="U102" i="13"/>
  <c r="U103" i="13"/>
  <c r="U104" i="13"/>
  <c r="U105" i="13"/>
  <c r="U31" i="13"/>
  <c r="U48" i="13"/>
  <c r="U35" i="13"/>
  <c r="U22" i="13"/>
  <c r="U72" i="13"/>
  <c r="U13" i="13"/>
  <c r="U57" i="13"/>
  <c r="U14" i="13"/>
  <c r="U88" i="13"/>
  <c r="U76" i="13"/>
  <c r="U96" i="13"/>
  <c r="U89" i="13"/>
  <c r="U75" i="13"/>
  <c r="U94" i="13"/>
  <c r="U63" i="13"/>
  <c r="U84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1" i="13"/>
  <c r="U192" i="13"/>
  <c r="U193" i="13"/>
  <c r="U194" i="13"/>
  <c r="U195" i="13"/>
  <c r="U196" i="13"/>
  <c r="U197" i="13"/>
  <c r="U198" i="13"/>
  <c r="U199" i="13"/>
  <c r="U200" i="13"/>
  <c r="U201" i="13"/>
  <c r="U202" i="13"/>
  <c r="U203" i="13"/>
  <c r="U204" i="13"/>
  <c r="U205" i="13"/>
  <c r="U206" i="13"/>
  <c r="U207" i="13"/>
  <c r="U208" i="13"/>
  <c r="U209" i="13"/>
  <c r="U210" i="13"/>
  <c r="U211" i="13"/>
  <c r="U95" i="13"/>
  <c r="U73" i="13"/>
  <c r="U79" i="13"/>
  <c r="U97" i="13"/>
  <c r="W97" i="13" s="1"/>
  <c r="U92" i="13"/>
  <c r="W92" i="13" s="1"/>
  <c r="U93" i="13"/>
  <c r="W93" i="13" s="1"/>
  <c r="U49" i="13"/>
  <c r="W49" i="13" s="1"/>
  <c r="U41" i="13"/>
  <c r="W41" i="13" s="1"/>
  <c r="U82" i="13"/>
  <c r="W82" i="13" s="1"/>
  <c r="U32" i="13"/>
  <c r="W32" i="13" s="1"/>
  <c r="W85" i="13"/>
  <c r="W81" i="13"/>
  <c r="W86" i="13"/>
  <c r="W77" i="13"/>
  <c r="W83" i="13"/>
  <c r="W78" i="13"/>
  <c r="W91" i="13"/>
  <c r="W90" i="13"/>
  <c r="W44" i="13"/>
  <c r="W43" i="13"/>
  <c r="W42" i="13"/>
  <c r="W37" i="13"/>
  <c r="W40" i="13"/>
  <c r="W36" i="13"/>
  <c r="W64" i="13"/>
  <c r="W66" i="13"/>
  <c r="W68" i="13"/>
  <c r="W51" i="13"/>
  <c r="W58" i="13"/>
  <c r="W54" i="13"/>
  <c r="W17" i="13"/>
  <c r="W23" i="13"/>
  <c r="W25" i="13"/>
  <c r="W15" i="13"/>
  <c r="W24" i="13"/>
  <c r="W16" i="13"/>
  <c r="W29" i="13"/>
  <c r="W18" i="13"/>
  <c r="W60" i="13"/>
  <c r="W65" i="13"/>
  <c r="W61" i="13"/>
  <c r="W69" i="13"/>
  <c r="W87" i="13"/>
  <c r="W70" i="13"/>
  <c r="W12" i="13"/>
  <c r="W67" i="13"/>
  <c r="W98" i="13"/>
  <c r="W52" i="13"/>
  <c r="W59" i="13"/>
  <c r="W50" i="13"/>
  <c r="W55" i="13"/>
  <c r="W26" i="13"/>
  <c r="W38" i="13"/>
  <c r="W47" i="13"/>
  <c r="W39" i="13"/>
  <c r="W46" i="13"/>
  <c r="W56" i="13"/>
  <c r="W53" i="13"/>
  <c r="W80" i="13"/>
  <c r="W45" i="13"/>
  <c r="W71" i="13"/>
  <c r="W62" i="13"/>
  <c r="W27" i="13"/>
  <c r="W30" i="13"/>
  <c r="W34" i="13"/>
  <c r="W19" i="13"/>
  <c r="W33" i="13"/>
  <c r="W21" i="13"/>
  <c r="W28" i="13"/>
  <c r="W20" i="13"/>
  <c r="W7" i="13"/>
  <c r="W10" i="13"/>
  <c r="W9" i="13"/>
  <c r="W8" i="13"/>
  <c r="W11" i="13"/>
  <c r="W99" i="13"/>
  <c r="W100" i="13"/>
  <c r="W101" i="13"/>
  <c r="W102" i="13"/>
  <c r="W103" i="13"/>
  <c r="W104" i="13"/>
  <c r="W105" i="13"/>
  <c r="W31" i="13"/>
  <c r="W48" i="13"/>
  <c r="W35" i="13"/>
  <c r="W22" i="13"/>
  <c r="W72" i="13"/>
  <c r="W13" i="13"/>
  <c r="W57" i="13"/>
  <c r="W14" i="13"/>
  <c r="W88" i="13"/>
  <c r="W76" i="13"/>
  <c r="W96" i="13"/>
  <c r="W89" i="13"/>
  <c r="W75" i="13"/>
  <c r="W94" i="13"/>
  <c r="W63" i="13"/>
  <c r="W84" i="13"/>
  <c r="W106" i="13"/>
  <c r="W107" i="13"/>
  <c r="W108" i="13"/>
  <c r="W109" i="13"/>
  <c r="W110" i="13"/>
  <c r="W111" i="13"/>
  <c r="W112" i="13"/>
  <c r="W113" i="13"/>
  <c r="W114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6" i="13"/>
  <c r="W137" i="13"/>
  <c r="W138" i="13"/>
  <c r="W139" i="13"/>
  <c r="W140" i="13"/>
  <c r="W141" i="13"/>
  <c r="W142" i="13"/>
  <c r="W143" i="13"/>
  <c r="W144" i="13"/>
  <c r="W145" i="13"/>
  <c r="W146" i="13"/>
  <c r="W147" i="13"/>
  <c r="W148" i="13"/>
  <c r="W149" i="13"/>
  <c r="W150" i="13"/>
  <c r="W151" i="13"/>
  <c r="W152" i="13"/>
  <c r="W153" i="13"/>
  <c r="W154" i="13"/>
  <c r="W155" i="13"/>
  <c r="W156" i="13"/>
  <c r="W157" i="13"/>
  <c r="W158" i="13"/>
  <c r="W159" i="13"/>
  <c r="W160" i="13"/>
  <c r="W161" i="13"/>
  <c r="W162" i="13"/>
  <c r="W163" i="13"/>
  <c r="W164" i="13"/>
  <c r="W165" i="13"/>
  <c r="W166" i="13"/>
  <c r="W167" i="13"/>
  <c r="W168" i="13"/>
  <c r="W169" i="13"/>
  <c r="W170" i="13"/>
  <c r="W171" i="13"/>
  <c r="W172" i="13"/>
  <c r="W173" i="13"/>
  <c r="W174" i="13"/>
  <c r="W175" i="13"/>
  <c r="W176" i="13"/>
  <c r="W177" i="13"/>
  <c r="W178" i="13"/>
  <c r="W179" i="13"/>
  <c r="W180" i="13"/>
  <c r="W181" i="13"/>
  <c r="W182" i="13"/>
  <c r="W183" i="13"/>
  <c r="W184" i="13"/>
  <c r="W185" i="13"/>
  <c r="W186" i="13"/>
  <c r="W187" i="13"/>
  <c r="W188" i="13"/>
  <c r="W189" i="13"/>
  <c r="W190" i="13"/>
  <c r="W191" i="13"/>
  <c r="W192" i="13"/>
  <c r="W193" i="13"/>
  <c r="W194" i="13"/>
  <c r="W195" i="13"/>
  <c r="W196" i="13"/>
  <c r="W197" i="13"/>
  <c r="W198" i="13"/>
  <c r="W199" i="13"/>
  <c r="W200" i="13"/>
  <c r="W201" i="13"/>
  <c r="W202" i="13"/>
  <c r="W203" i="13"/>
  <c r="W204" i="13"/>
  <c r="W205" i="13"/>
  <c r="W206" i="13"/>
  <c r="W207" i="13"/>
  <c r="W208" i="13"/>
  <c r="W209" i="13"/>
  <c r="W210" i="13"/>
  <c r="W211" i="13"/>
  <c r="W95" i="13"/>
  <c r="W73" i="13"/>
  <c r="W79" i="13"/>
  <c r="X85" i="13"/>
  <c r="X81" i="13"/>
  <c r="X86" i="13"/>
  <c r="X77" i="13"/>
  <c r="X83" i="13"/>
  <c r="X78" i="13"/>
  <c r="X91" i="13"/>
  <c r="X90" i="13"/>
  <c r="X44" i="13"/>
  <c r="X43" i="13"/>
  <c r="X42" i="13"/>
  <c r="X37" i="13"/>
  <c r="X40" i="13"/>
  <c r="X36" i="13"/>
  <c r="X64" i="13"/>
  <c r="X66" i="13"/>
  <c r="X68" i="13"/>
  <c r="X51" i="13"/>
  <c r="X58" i="13"/>
  <c r="X54" i="13"/>
  <c r="X17" i="13"/>
  <c r="X23" i="13"/>
  <c r="X25" i="13"/>
  <c r="X15" i="13"/>
  <c r="X24" i="13"/>
  <c r="X16" i="13"/>
  <c r="X29" i="13"/>
  <c r="X18" i="13"/>
  <c r="X60" i="13"/>
  <c r="X65" i="13"/>
  <c r="X61" i="13"/>
  <c r="X69" i="13"/>
  <c r="X87" i="13"/>
  <c r="X70" i="13"/>
  <c r="X12" i="13"/>
  <c r="X67" i="13"/>
  <c r="X98" i="13"/>
  <c r="X52" i="13"/>
  <c r="X59" i="13"/>
  <c r="X50" i="13"/>
  <c r="X55" i="13"/>
  <c r="X26" i="13"/>
  <c r="X38" i="13"/>
  <c r="X47" i="13"/>
  <c r="X39" i="13"/>
  <c r="X46" i="13"/>
  <c r="X56" i="13"/>
  <c r="X53" i="13"/>
  <c r="X80" i="13"/>
  <c r="X45" i="13"/>
  <c r="X71" i="13"/>
  <c r="X62" i="13"/>
  <c r="X27" i="13"/>
  <c r="X30" i="13"/>
  <c r="X34" i="13"/>
  <c r="X19" i="13"/>
  <c r="X33" i="13"/>
  <c r="X21" i="13"/>
  <c r="X28" i="13"/>
  <c r="X20" i="13"/>
  <c r="X7" i="13"/>
  <c r="X10" i="13"/>
  <c r="X9" i="13"/>
  <c r="X8" i="13"/>
  <c r="X11" i="13"/>
  <c r="X99" i="13"/>
  <c r="X100" i="13"/>
  <c r="X101" i="13"/>
  <c r="X102" i="13"/>
  <c r="X103" i="13"/>
  <c r="X104" i="13"/>
  <c r="X105" i="13"/>
  <c r="X31" i="13"/>
  <c r="X48" i="13"/>
  <c r="X35" i="13"/>
  <c r="X22" i="13"/>
  <c r="X72" i="13"/>
  <c r="X13" i="13"/>
  <c r="X57" i="13"/>
  <c r="X14" i="13"/>
  <c r="X88" i="13"/>
  <c r="X76" i="13"/>
  <c r="X96" i="13"/>
  <c r="X89" i="13"/>
  <c r="X75" i="13"/>
  <c r="X94" i="13"/>
  <c r="X63" i="13"/>
  <c r="X84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95" i="13"/>
  <c r="X73" i="13"/>
  <c r="X79" i="13"/>
  <c r="X97" i="13"/>
  <c r="X92" i="13"/>
  <c r="X93" i="13"/>
  <c r="X49" i="13"/>
  <c r="X41" i="13"/>
  <c r="X82" i="13"/>
  <c r="X32" i="13"/>
  <c r="Y85" i="13"/>
  <c r="Y81" i="13"/>
  <c r="Y86" i="13"/>
  <c r="Y77" i="13"/>
  <c r="Y83" i="13"/>
  <c r="Y78" i="13"/>
  <c r="Y91" i="13"/>
  <c r="Y90" i="13"/>
  <c r="Y44" i="13"/>
  <c r="Y43" i="13"/>
  <c r="Y42" i="13"/>
  <c r="Y37" i="13"/>
  <c r="Y40" i="13"/>
  <c r="Y36" i="13"/>
  <c r="Y64" i="13"/>
  <c r="Y66" i="13"/>
  <c r="Y68" i="13"/>
  <c r="Y51" i="13"/>
  <c r="Y58" i="13"/>
  <c r="Y54" i="13"/>
  <c r="Y17" i="13"/>
  <c r="Y23" i="13"/>
  <c r="Y25" i="13"/>
  <c r="Y15" i="13"/>
  <c r="Y24" i="13"/>
  <c r="Y16" i="13"/>
  <c r="Y29" i="13"/>
  <c r="Y18" i="13"/>
  <c r="Y60" i="13"/>
  <c r="Y65" i="13"/>
  <c r="Y61" i="13"/>
  <c r="Y69" i="13"/>
  <c r="Y87" i="13"/>
  <c r="Y70" i="13"/>
  <c r="Y12" i="13"/>
  <c r="Y67" i="13"/>
  <c r="Y98" i="13"/>
  <c r="Y52" i="13"/>
  <c r="Y59" i="13"/>
  <c r="Y50" i="13"/>
  <c r="Y55" i="13"/>
  <c r="Y26" i="13"/>
  <c r="Y38" i="13"/>
  <c r="Y47" i="13"/>
  <c r="Y39" i="13"/>
  <c r="Y46" i="13"/>
  <c r="Y56" i="13"/>
  <c r="Y53" i="13"/>
  <c r="Y80" i="13"/>
  <c r="Y45" i="13"/>
  <c r="Y71" i="13"/>
  <c r="Y62" i="13"/>
  <c r="Y27" i="13"/>
  <c r="Y30" i="13"/>
  <c r="Y34" i="13"/>
  <c r="Y19" i="13"/>
  <c r="Y33" i="13"/>
  <c r="Y21" i="13"/>
  <c r="Y28" i="13"/>
  <c r="Y20" i="13"/>
  <c r="Y7" i="13"/>
  <c r="Y10" i="13"/>
  <c r="Y9" i="13"/>
  <c r="Y8" i="13"/>
  <c r="Y11" i="13"/>
  <c r="Y99" i="13"/>
  <c r="Y100" i="13"/>
  <c r="Y101" i="13"/>
  <c r="Y102" i="13"/>
  <c r="Y103" i="13"/>
  <c r="Y104" i="13"/>
  <c r="Y105" i="13"/>
  <c r="Y31" i="13"/>
  <c r="Y48" i="13"/>
  <c r="Y35" i="13"/>
  <c r="Y22" i="13"/>
  <c r="Y72" i="13"/>
  <c r="Y13" i="13"/>
  <c r="Y57" i="13"/>
  <c r="Y14" i="13"/>
  <c r="Y88" i="13"/>
  <c r="Y76" i="13"/>
  <c r="Y96" i="13"/>
  <c r="Y89" i="13"/>
  <c r="Y75" i="13"/>
  <c r="Y94" i="13"/>
  <c r="Z94" i="13" s="1"/>
  <c r="Y63" i="13"/>
  <c r="Z63" i="13" s="1"/>
  <c r="Y84" i="13"/>
  <c r="Y106" i="13"/>
  <c r="Z106" i="13" s="1"/>
  <c r="Y107" i="13"/>
  <c r="Z107" i="13" s="1"/>
  <c r="Y108" i="13"/>
  <c r="Z108" i="13" s="1"/>
  <c r="Y109" i="13"/>
  <c r="Y110" i="13"/>
  <c r="Y111" i="13"/>
  <c r="Z111" i="13" s="1"/>
  <c r="Y112" i="13"/>
  <c r="Z112" i="13" s="1"/>
  <c r="Y113" i="13"/>
  <c r="Z113" i="13" s="1"/>
  <c r="Y114" i="13"/>
  <c r="Z114" i="13" s="1"/>
  <c r="Y115" i="13"/>
  <c r="Z115" i="13" s="1"/>
  <c r="Y116" i="13"/>
  <c r="Z116" i="13" s="1"/>
  <c r="Y117" i="13"/>
  <c r="Z117" i="13" s="1"/>
  <c r="Y118" i="13"/>
  <c r="Z118" i="13" s="1"/>
  <c r="Y119" i="13"/>
  <c r="Z119" i="13" s="1"/>
  <c r="Y120" i="13"/>
  <c r="Z120" i="13" s="1"/>
  <c r="Y121" i="13"/>
  <c r="Z121" i="13" s="1"/>
  <c r="Y122" i="13"/>
  <c r="Z122" i="13" s="1"/>
  <c r="Y123" i="13"/>
  <c r="Z123" i="13" s="1"/>
  <c r="Y124" i="13"/>
  <c r="Z124" i="13" s="1"/>
  <c r="Y125" i="13"/>
  <c r="Y126" i="13"/>
  <c r="Y127" i="13"/>
  <c r="Z127" i="13" s="1"/>
  <c r="Y128" i="13"/>
  <c r="Y129" i="13"/>
  <c r="Z129" i="13" s="1"/>
  <c r="Y130" i="13"/>
  <c r="Y131" i="13"/>
  <c r="Z131" i="13" s="1"/>
  <c r="Y132" i="13"/>
  <c r="Y133" i="13"/>
  <c r="Z133" i="13" s="1"/>
  <c r="Y134" i="13"/>
  <c r="Y135" i="13"/>
  <c r="Z135" i="13" s="1"/>
  <c r="Y136" i="13"/>
  <c r="Y137" i="13"/>
  <c r="Z137" i="13" s="1"/>
  <c r="Y138" i="13"/>
  <c r="Y139" i="13"/>
  <c r="Z139" i="13" s="1"/>
  <c r="Y140" i="13"/>
  <c r="Y141" i="13"/>
  <c r="Z141" i="13" s="1"/>
  <c r="Y142" i="13"/>
  <c r="Y143" i="13"/>
  <c r="Z143" i="13" s="1"/>
  <c r="Y144" i="13"/>
  <c r="Y145" i="13"/>
  <c r="Z145" i="13" s="1"/>
  <c r="Y146" i="13"/>
  <c r="Y147" i="13"/>
  <c r="Z147" i="13" s="1"/>
  <c r="Y148" i="13"/>
  <c r="Y149" i="13"/>
  <c r="Y150" i="13"/>
  <c r="Y151" i="13"/>
  <c r="Z151" i="13" s="1"/>
  <c r="Y152" i="13"/>
  <c r="Y153" i="13"/>
  <c r="Y154" i="13"/>
  <c r="Y155" i="13"/>
  <c r="Z155" i="13" s="1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Z167" i="13" s="1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203" i="13"/>
  <c r="Y204" i="13"/>
  <c r="Y205" i="13"/>
  <c r="Y206" i="13"/>
  <c r="Y207" i="13"/>
  <c r="Y208" i="13"/>
  <c r="Y209" i="13"/>
  <c r="Y210" i="13"/>
  <c r="Y211" i="13"/>
  <c r="Y95" i="13"/>
  <c r="Y73" i="13"/>
  <c r="Y79" i="13"/>
  <c r="Y97" i="13"/>
  <c r="Y92" i="13"/>
  <c r="Y93" i="13"/>
  <c r="Y49" i="13"/>
  <c r="Y41" i="13"/>
  <c r="Y82" i="13"/>
  <c r="Y32" i="13"/>
  <c r="Z85" i="13"/>
  <c r="Z81" i="13"/>
  <c r="Z86" i="13"/>
  <c r="Z77" i="13"/>
  <c r="Z83" i="13"/>
  <c r="Z78" i="13"/>
  <c r="Z91" i="13"/>
  <c r="Z90" i="13"/>
  <c r="Z44" i="13"/>
  <c r="Z43" i="13"/>
  <c r="Z42" i="13"/>
  <c r="Z37" i="13"/>
  <c r="Z40" i="13"/>
  <c r="Z36" i="13"/>
  <c r="Z64" i="13"/>
  <c r="Z66" i="13"/>
  <c r="Z68" i="13"/>
  <c r="Z51" i="13"/>
  <c r="Z58" i="13"/>
  <c r="Z54" i="13"/>
  <c r="Z17" i="13"/>
  <c r="Z23" i="13"/>
  <c r="Z25" i="13"/>
  <c r="Z15" i="13"/>
  <c r="Z24" i="13"/>
  <c r="Z16" i="13"/>
  <c r="Z29" i="13"/>
  <c r="Z18" i="13"/>
  <c r="Z60" i="13"/>
  <c r="Z65" i="13"/>
  <c r="Z61" i="13"/>
  <c r="Z69" i="13"/>
  <c r="Z87" i="13"/>
  <c r="Z70" i="13"/>
  <c r="Z12" i="13"/>
  <c r="Z67" i="13"/>
  <c r="Z98" i="13"/>
  <c r="Z52" i="13"/>
  <c r="Z59" i="13"/>
  <c r="Z50" i="13"/>
  <c r="Z55" i="13"/>
  <c r="Z26" i="13"/>
  <c r="Z38" i="13"/>
  <c r="Z47" i="13"/>
  <c r="Z39" i="13"/>
  <c r="Z46" i="13"/>
  <c r="Z56" i="13"/>
  <c r="Z53" i="13"/>
  <c r="Z80" i="13"/>
  <c r="Z45" i="13"/>
  <c r="Z71" i="13"/>
  <c r="Z62" i="13"/>
  <c r="Z27" i="13"/>
  <c r="Z30" i="13"/>
  <c r="Z34" i="13"/>
  <c r="Z19" i="13"/>
  <c r="Z33" i="13"/>
  <c r="Z21" i="13"/>
  <c r="Z28" i="13"/>
  <c r="Z20" i="13"/>
  <c r="Z7" i="13"/>
  <c r="Z10" i="13"/>
  <c r="Z9" i="13"/>
  <c r="Z8" i="13"/>
  <c r="Z11" i="13"/>
  <c r="Z99" i="13"/>
  <c r="Z100" i="13"/>
  <c r="Z101" i="13"/>
  <c r="Z102" i="13"/>
  <c r="Z103" i="13"/>
  <c r="Z104" i="13"/>
  <c r="Z105" i="13"/>
  <c r="Z31" i="13"/>
  <c r="Z48" i="13"/>
  <c r="Z35" i="13"/>
  <c r="Z22" i="13"/>
  <c r="Z72" i="13"/>
  <c r="Z13" i="13"/>
  <c r="Z57" i="13"/>
  <c r="Z14" i="13"/>
  <c r="Z88" i="13"/>
  <c r="Z76" i="13"/>
  <c r="Z96" i="13"/>
  <c r="Z89" i="13"/>
  <c r="Z84" i="13"/>
  <c r="Y74" i="13"/>
  <c r="X74" i="13"/>
  <c r="U74" i="13"/>
  <c r="L74" i="13"/>
  <c r="L1" i="13"/>
  <c r="L61" i="12"/>
  <c r="M61" i="12" s="1"/>
  <c r="L62" i="12"/>
  <c r="M62" i="12" s="1"/>
  <c r="L42" i="12"/>
  <c r="M42" i="12" s="1"/>
  <c r="L65" i="12"/>
  <c r="M65" i="12" s="1"/>
  <c r="L25" i="12"/>
  <c r="M25" i="12" s="1"/>
  <c r="L66" i="12"/>
  <c r="M66" i="12" s="1"/>
  <c r="L59" i="12"/>
  <c r="M59" i="12" s="1"/>
  <c r="L44" i="12"/>
  <c r="M44" i="12" s="1"/>
  <c r="L13" i="12"/>
  <c r="M13" i="12" s="1"/>
  <c r="L63" i="12"/>
  <c r="M63" i="12" s="1"/>
  <c r="L60" i="12"/>
  <c r="M60" i="12" s="1"/>
  <c r="L58" i="12"/>
  <c r="M58" i="12" s="1"/>
  <c r="L57" i="12"/>
  <c r="M57" i="12" s="1"/>
  <c r="L24" i="12"/>
  <c r="M24" i="12" s="1"/>
  <c r="L28" i="12"/>
  <c r="M28" i="12" s="1"/>
  <c r="L31" i="12"/>
  <c r="M31" i="12" s="1"/>
  <c r="L55" i="12"/>
  <c r="M55" i="12" s="1"/>
  <c r="L27" i="12"/>
  <c r="M27" i="12" s="1"/>
  <c r="L54" i="12"/>
  <c r="M54" i="12" s="1"/>
  <c r="L43" i="12"/>
  <c r="M43" i="12" s="1"/>
  <c r="L56" i="12"/>
  <c r="M56" i="12" s="1"/>
  <c r="L45" i="12"/>
  <c r="M45" i="12" s="1"/>
  <c r="L53" i="12"/>
  <c r="M53" i="12" s="1"/>
  <c r="L33" i="12"/>
  <c r="M33" i="12" s="1"/>
  <c r="L26" i="12"/>
  <c r="M26" i="12" s="1"/>
  <c r="L14" i="12"/>
  <c r="M14" i="12" s="1"/>
  <c r="L15" i="12"/>
  <c r="M15" i="12" s="1"/>
  <c r="L52" i="12"/>
  <c r="M52" i="12" s="1"/>
  <c r="L16" i="12"/>
  <c r="M16" i="12" s="1"/>
  <c r="L34" i="12"/>
  <c r="M34" i="12" s="1"/>
  <c r="L39" i="12"/>
  <c r="M39" i="12" s="1"/>
  <c r="L36" i="12"/>
  <c r="M36" i="12" s="1"/>
  <c r="L35" i="12"/>
  <c r="M35" i="12" s="1"/>
  <c r="L17" i="12"/>
  <c r="M17" i="12" s="1"/>
  <c r="L48" i="12"/>
  <c r="M48" i="12" s="1"/>
  <c r="L47" i="12"/>
  <c r="M47" i="12" s="1"/>
  <c r="L50" i="12"/>
  <c r="M50" i="12" s="1"/>
  <c r="L46" i="12"/>
  <c r="M46" i="12" s="1"/>
  <c r="L49" i="12"/>
  <c r="M49" i="12" s="1"/>
  <c r="L51" i="12"/>
  <c r="M51" i="12" s="1"/>
  <c r="L19" i="12"/>
  <c r="M19" i="12" s="1"/>
  <c r="L32" i="12"/>
  <c r="M32" i="12" s="1"/>
  <c r="L18" i="12"/>
  <c r="M18" i="12" s="1"/>
  <c r="L20" i="12"/>
  <c r="M20" i="12" s="1"/>
  <c r="L22" i="12"/>
  <c r="M22" i="12" s="1"/>
  <c r="L23" i="12"/>
  <c r="M23" i="12" s="1"/>
  <c r="L21" i="12"/>
  <c r="M21" i="12" s="1"/>
  <c r="L30" i="12"/>
  <c r="M30" i="12" s="1"/>
  <c r="L40" i="12"/>
  <c r="M40" i="12" s="1"/>
  <c r="L29" i="12"/>
  <c r="M29" i="12" s="1"/>
  <c r="L41" i="12"/>
  <c r="M41" i="12" s="1"/>
  <c r="L38" i="12"/>
  <c r="M38" i="12" s="1"/>
  <c r="L37" i="12"/>
  <c r="M37" i="12" s="1"/>
  <c r="L12" i="12"/>
  <c r="M12" i="12" s="1"/>
  <c r="N12" i="12" s="1"/>
  <c r="L9" i="12"/>
  <c r="M9" i="12" s="1"/>
  <c r="N9" i="12" s="1"/>
  <c r="L11" i="12"/>
  <c r="M11" i="12" s="1"/>
  <c r="N11" i="12" s="1"/>
  <c r="L10" i="12"/>
  <c r="M10" i="12" s="1"/>
  <c r="N10" i="12" s="1"/>
  <c r="P61" i="12"/>
  <c r="P62" i="12"/>
  <c r="P42" i="12"/>
  <c r="P65" i="12"/>
  <c r="P25" i="12"/>
  <c r="P66" i="12"/>
  <c r="P59" i="12"/>
  <c r="P44" i="12"/>
  <c r="P13" i="12"/>
  <c r="P63" i="12"/>
  <c r="P60" i="12"/>
  <c r="P58" i="12"/>
  <c r="P57" i="12"/>
  <c r="P24" i="12"/>
  <c r="P28" i="12"/>
  <c r="P31" i="12"/>
  <c r="P55" i="12"/>
  <c r="P27" i="12"/>
  <c r="P54" i="12"/>
  <c r="P43" i="12"/>
  <c r="P56" i="12"/>
  <c r="P45" i="12"/>
  <c r="P53" i="12"/>
  <c r="P33" i="12"/>
  <c r="P26" i="12"/>
  <c r="P14" i="12"/>
  <c r="P15" i="12"/>
  <c r="P52" i="12"/>
  <c r="P16" i="12"/>
  <c r="P34" i="12"/>
  <c r="P39" i="12"/>
  <c r="P36" i="12"/>
  <c r="P35" i="12"/>
  <c r="P17" i="12"/>
  <c r="P48" i="12"/>
  <c r="P47" i="12"/>
  <c r="P50" i="12"/>
  <c r="P46" i="12"/>
  <c r="P49" i="12"/>
  <c r="P51" i="12"/>
  <c r="P19" i="12"/>
  <c r="P32" i="12"/>
  <c r="P18" i="12"/>
  <c r="P20" i="12"/>
  <c r="P22" i="12"/>
  <c r="P23" i="12"/>
  <c r="P21" i="12"/>
  <c r="P30" i="12"/>
  <c r="P40" i="12"/>
  <c r="P29" i="12"/>
  <c r="P41" i="12"/>
  <c r="P38" i="12"/>
  <c r="P37" i="12"/>
  <c r="U61" i="12"/>
  <c r="U62" i="12"/>
  <c r="U42" i="12"/>
  <c r="U65" i="12"/>
  <c r="U25" i="12"/>
  <c r="U66" i="12"/>
  <c r="U59" i="12"/>
  <c r="U44" i="12"/>
  <c r="U13" i="12"/>
  <c r="U63" i="12"/>
  <c r="U60" i="12"/>
  <c r="U58" i="12"/>
  <c r="U57" i="12"/>
  <c r="U24" i="12"/>
  <c r="U28" i="12"/>
  <c r="U31" i="12"/>
  <c r="U55" i="12"/>
  <c r="U27" i="12"/>
  <c r="U54" i="12"/>
  <c r="U43" i="12"/>
  <c r="U56" i="12"/>
  <c r="U45" i="12"/>
  <c r="U53" i="12"/>
  <c r="U33" i="12"/>
  <c r="U26" i="12"/>
  <c r="U14" i="12"/>
  <c r="U15" i="12"/>
  <c r="U52" i="12"/>
  <c r="U16" i="12"/>
  <c r="U34" i="12"/>
  <c r="U39" i="12"/>
  <c r="U36" i="12"/>
  <c r="U35" i="12"/>
  <c r="U17" i="12"/>
  <c r="U48" i="12"/>
  <c r="U47" i="12"/>
  <c r="U50" i="12"/>
  <c r="U46" i="12"/>
  <c r="U49" i="12"/>
  <c r="U51" i="12"/>
  <c r="U19" i="12"/>
  <c r="U32" i="12"/>
  <c r="U18" i="12"/>
  <c r="U20" i="12"/>
  <c r="U22" i="12"/>
  <c r="U23" i="12"/>
  <c r="U21" i="12"/>
  <c r="U30" i="12"/>
  <c r="U40" i="12"/>
  <c r="U29" i="12"/>
  <c r="U41" i="12"/>
  <c r="U38" i="12"/>
  <c r="U37" i="12"/>
  <c r="U12" i="12"/>
  <c r="U9" i="12"/>
  <c r="U11" i="12"/>
  <c r="W11" i="12" s="1"/>
  <c r="U10" i="12"/>
  <c r="X61" i="12"/>
  <c r="X62" i="12"/>
  <c r="X42" i="12"/>
  <c r="X65" i="12"/>
  <c r="X25" i="12"/>
  <c r="X66" i="12"/>
  <c r="X59" i="12"/>
  <c r="X44" i="12"/>
  <c r="X13" i="12"/>
  <c r="X63" i="12"/>
  <c r="X60" i="12"/>
  <c r="X58" i="12"/>
  <c r="X57" i="12"/>
  <c r="X24" i="12"/>
  <c r="X28" i="12"/>
  <c r="X31" i="12"/>
  <c r="X55" i="12"/>
  <c r="X27" i="12"/>
  <c r="X54" i="12"/>
  <c r="X43" i="12"/>
  <c r="X56" i="12"/>
  <c r="X45" i="12"/>
  <c r="X53" i="12"/>
  <c r="X33" i="12"/>
  <c r="X26" i="12"/>
  <c r="X14" i="12"/>
  <c r="X15" i="12"/>
  <c r="X52" i="12"/>
  <c r="X16" i="12"/>
  <c r="X34" i="12"/>
  <c r="X39" i="12"/>
  <c r="X36" i="12"/>
  <c r="X35" i="12"/>
  <c r="X17" i="12"/>
  <c r="X48" i="12"/>
  <c r="X47" i="12"/>
  <c r="X50" i="12"/>
  <c r="X46" i="12"/>
  <c r="X49" i="12"/>
  <c r="X51" i="12"/>
  <c r="X19" i="12"/>
  <c r="X32" i="12"/>
  <c r="X18" i="12"/>
  <c r="X20" i="12"/>
  <c r="X22" i="12"/>
  <c r="X23" i="12"/>
  <c r="X21" i="12"/>
  <c r="X30" i="12"/>
  <c r="X40" i="12"/>
  <c r="X29" i="12"/>
  <c r="X41" i="12"/>
  <c r="X38" i="12"/>
  <c r="X37" i="12"/>
  <c r="X12" i="12"/>
  <c r="X9" i="12"/>
  <c r="X11" i="12"/>
  <c r="X10" i="12"/>
  <c r="Y61" i="12"/>
  <c r="Y62" i="12"/>
  <c r="Y42" i="12"/>
  <c r="Y65" i="12"/>
  <c r="Y25" i="12"/>
  <c r="Y66" i="12"/>
  <c r="Y59" i="12"/>
  <c r="Y44" i="12"/>
  <c r="Y13" i="12"/>
  <c r="Y63" i="12"/>
  <c r="Y60" i="12"/>
  <c r="Y58" i="12"/>
  <c r="Y57" i="12"/>
  <c r="Y24" i="12"/>
  <c r="Y28" i="12"/>
  <c r="Y31" i="12"/>
  <c r="Y55" i="12"/>
  <c r="Y27" i="12"/>
  <c r="Y54" i="12"/>
  <c r="Y43" i="12"/>
  <c r="Y56" i="12"/>
  <c r="Y45" i="12"/>
  <c r="Y53" i="12"/>
  <c r="Y33" i="12"/>
  <c r="Y26" i="12"/>
  <c r="Y14" i="12"/>
  <c r="Y15" i="12"/>
  <c r="Y52" i="12"/>
  <c r="Y16" i="12"/>
  <c r="Y34" i="12"/>
  <c r="Y39" i="12"/>
  <c r="Y36" i="12"/>
  <c r="Y35" i="12"/>
  <c r="Y17" i="12"/>
  <c r="Y48" i="12"/>
  <c r="Y47" i="12"/>
  <c r="Y50" i="12"/>
  <c r="Y46" i="12"/>
  <c r="Y49" i="12"/>
  <c r="Y51" i="12"/>
  <c r="Y19" i="12"/>
  <c r="Y32" i="12"/>
  <c r="Y18" i="12"/>
  <c r="Y20" i="12"/>
  <c r="Y22" i="12"/>
  <c r="Y23" i="12"/>
  <c r="Y21" i="12"/>
  <c r="Y30" i="12"/>
  <c r="Y40" i="12"/>
  <c r="Y29" i="12"/>
  <c r="Y41" i="12"/>
  <c r="Y38" i="12"/>
  <c r="Y37" i="12"/>
  <c r="Y12" i="12"/>
  <c r="Y9" i="12"/>
  <c r="Y11" i="12"/>
  <c r="Y10" i="12"/>
  <c r="Y64" i="12"/>
  <c r="X64" i="12"/>
  <c r="U64" i="12"/>
  <c r="P64" i="12"/>
  <c r="L64" i="12"/>
  <c r="M64" i="12" s="1"/>
  <c r="L1" i="12"/>
  <c r="L12" i="11"/>
  <c r="M12" i="11" s="1"/>
  <c r="N12" i="11" s="1"/>
  <c r="L7" i="11"/>
  <c r="M7" i="11" s="1"/>
  <c r="N7" i="11" s="1"/>
  <c r="L8" i="11"/>
  <c r="M8" i="11" s="1"/>
  <c r="N8" i="11" s="1"/>
  <c r="L52" i="11"/>
  <c r="M52" i="11" s="1"/>
  <c r="L58" i="11"/>
  <c r="M58" i="11" s="1"/>
  <c r="L59" i="11"/>
  <c r="M59" i="11" s="1"/>
  <c r="L54" i="11"/>
  <c r="M54" i="11" s="1"/>
  <c r="L48" i="11"/>
  <c r="M48" i="11" s="1"/>
  <c r="L45" i="11"/>
  <c r="M45" i="11" s="1"/>
  <c r="L47" i="11"/>
  <c r="M47" i="11" s="1"/>
  <c r="L66" i="11"/>
  <c r="M66" i="11" s="1"/>
  <c r="L65" i="11"/>
  <c r="M65" i="11" s="1"/>
  <c r="L53" i="11"/>
  <c r="M53" i="11" s="1"/>
  <c r="L69" i="11"/>
  <c r="M69" i="11" s="1"/>
  <c r="L70" i="11"/>
  <c r="M70" i="11" s="1"/>
  <c r="L71" i="11"/>
  <c r="M71" i="11" s="1"/>
  <c r="L72" i="11"/>
  <c r="M72" i="11" s="1"/>
  <c r="L73" i="11"/>
  <c r="M73" i="11" s="1"/>
  <c r="L50" i="11"/>
  <c r="M50" i="11" s="1"/>
  <c r="L62" i="11"/>
  <c r="M62" i="11" s="1"/>
  <c r="L61" i="11"/>
  <c r="M61" i="11" s="1"/>
  <c r="L56" i="11"/>
  <c r="M56" i="11" s="1"/>
  <c r="L74" i="11"/>
  <c r="M74" i="11" s="1"/>
  <c r="L67" i="11"/>
  <c r="M67" i="11" s="1"/>
  <c r="L68" i="11"/>
  <c r="M68" i="11" s="1"/>
  <c r="L75" i="11"/>
  <c r="M75" i="11" s="1"/>
  <c r="L76" i="11"/>
  <c r="M76" i="11" s="1"/>
  <c r="L77" i="11"/>
  <c r="M77" i="11" s="1"/>
  <c r="L78" i="11"/>
  <c r="M78" i="11" s="1"/>
  <c r="L79" i="11"/>
  <c r="M79" i="11" s="1"/>
  <c r="L80" i="11"/>
  <c r="M80" i="11" s="1"/>
  <c r="L60" i="11"/>
  <c r="M60" i="11" s="1"/>
  <c r="L44" i="11"/>
  <c r="M44" i="11" s="1"/>
  <c r="L63" i="11"/>
  <c r="M63" i="11" s="1"/>
  <c r="L64" i="11"/>
  <c r="M64" i="11" s="1"/>
  <c r="L46" i="11"/>
  <c r="M46" i="11" s="1"/>
  <c r="L55" i="11"/>
  <c r="M55" i="11" s="1"/>
  <c r="L57" i="11"/>
  <c r="M57" i="11" s="1"/>
  <c r="L43" i="11"/>
  <c r="M43" i="11" s="1"/>
  <c r="L49" i="11"/>
  <c r="M49" i="11" s="1"/>
  <c r="L51" i="11"/>
  <c r="M51" i="11" s="1"/>
  <c r="L30" i="11"/>
  <c r="M30" i="11" s="1"/>
  <c r="N30" i="11" s="1"/>
  <c r="L9" i="11"/>
  <c r="M9" i="11" s="1"/>
  <c r="N9" i="11" s="1"/>
  <c r="L36" i="11"/>
  <c r="M36" i="11" s="1"/>
  <c r="N36" i="11" s="1"/>
  <c r="L37" i="11"/>
  <c r="M37" i="11" s="1"/>
  <c r="N37" i="11" s="1"/>
  <c r="L38" i="11"/>
  <c r="M38" i="11" s="1"/>
  <c r="N38" i="11" s="1"/>
  <c r="L39" i="11"/>
  <c r="M39" i="11" s="1"/>
  <c r="N39" i="11" s="1"/>
  <c r="L40" i="11"/>
  <c r="M40" i="11" s="1"/>
  <c r="N40" i="11" s="1"/>
  <c r="L41" i="11"/>
  <c r="M41" i="11" s="1"/>
  <c r="N41" i="11" s="1"/>
  <c r="L11" i="11"/>
  <c r="M11" i="11" s="1"/>
  <c r="N11" i="11" s="1"/>
  <c r="L18" i="11"/>
  <c r="M18" i="11" s="1"/>
  <c r="N18" i="11" s="1"/>
  <c r="L26" i="11"/>
  <c r="M26" i="11" s="1"/>
  <c r="N26" i="11" s="1"/>
  <c r="L13" i="11"/>
  <c r="M13" i="11" s="1"/>
  <c r="N13" i="11" s="1"/>
  <c r="L35" i="11"/>
  <c r="M35" i="11" s="1"/>
  <c r="N35" i="11" s="1"/>
  <c r="L19" i="11"/>
  <c r="M19" i="11" s="1"/>
  <c r="N19" i="11" s="1"/>
  <c r="L21" i="11"/>
  <c r="M21" i="11" s="1"/>
  <c r="N21" i="11" s="1"/>
  <c r="L23" i="11"/>
  <c r="M23" i="11" s="1"/>
  <c r="N23" i="11" s="1"/>
  <c r="L24" i="11"/>
  <c r="M24" i="11" s="1"/>
  <c r="N24" i="11" s="1"/>
  <c r="L16" i="11"/>
  <c r="M16" i="11" s="1"/>
  <c r="N16" i="11" s="1"/>
  <c r="L31" i="11"/>
  <c r="M31" i="11" s="1"/>
  <c r="N31" i="11" s="1"/>
  <c r="L27" i="11"/>
  <c r="M27" i="11" s="1"/>
  <c r="N27" i="11" s="1"/>
  <c r="L32" i="11"/>
  <c r="M32" i="11" s="1"/>
  <c r="N32" i="11" s="1"/>
  <c r="L33" i="11"/>
  <c r="M33" i="11" s="1"/>
  <c r="N33" i="11" s="1"/>
  <c r="L34" i="11"/>
  <c r="M34" i="11" s="1"/>
  <c r="N34" i="11" s="1"/>
  <c r="L29" i="11"/>
  <c r="M29" i="11" s="1"/>
  <c r="N29" i="11" s="1"/>
  <c r="L15" i="11"/>
  <c r="M15" i="11" s="1"/>
  <c r="N15" i="11" s="1"/>
  <c r="L14" i="11"/>
  <c r="M14" i="11" s="1"/>
  <c r="N14" i="11" s="1"/>
  <c r="L17" i="11"/>
  <c r="M17" i="11" s="1"/>
  <c r="N17" i="11" s="1"/>
  <c r="L28" i="11"/>
  <c r="M28" i="11" s="1"/>
  <c r="N28" i="11" s="1"/>
  <c r="L25" i="11"/>
  <c r="M25" i="11" s="1"/>
  <c r="N25" i="11" s="1"/>
  <c r="L42" i="11"/>
  <c r="M42" i="11" s="1"/>
  <c r="N42" i="11" s="1"/>
  <c r="L20" i="11"/>
  <c r="M20" i="11" s="1"/>
  <c r="N20" i="11" s="1"/>
  <c r="L22" i="11"/>
  <c r="M22" i="11" s="1"/>
  <c r="N22" i="11" s="1"/>
  <c r="P52" i="11"/>
  <c r="P58" i="11"/>
  <c r="P59" i="11"/>
  <c r="P54" i="11"/>
  <c r="P48" i="11"/>
  <c r="P45" i="11"/>
  <c r="P47" i="11"/>
  <c r="P66" i="11"/>
  <c r="P65" i="11"/>
  <c r="P53" i="11"/>
  <c r="P69" i="11"/>
  <c r="P70" i="11"/>
  <c r="P71" i="11"/>
  <c r="P72" i="11"/>
  <c r="P73" i="11"/>
  <c r="P50" i="11"/>
  <c r="P62" i="11"/>
  <c r="P61" i="11"/>
  <c r="P56" i="11"/>
  <c r="P74" i="11"/>
  <c r="P67" i="11"/>
  <c r="P68" i="11"/>
  <c r="P75" i="11"/>
  <c r="P76" i="11"/>
  <c r="P77" i="11"/>
  <c r="P78" i="11"/>
  <c r="P79" i="11"/>
  <c r="P80" i="11"/>
  <c r="P60" i="11"/>
  <c r="P44" i="11"/>
  <c r="P63" i="11"/>
  <c r="P64" i="11"/>
  <c r="P46" i="11"/>
  <c r="P55" i="11"/>
  <c r="P57" i="11"/>
  <c r="P43" i="11"/>
  <c r="P49" i="11"/>
  <c r="P51" i="11"/>
  <c r="U12" i="11"/>
  <c r="U7" i="11"/>
  <c r="W7" i="11" s="1"/>
  <c r="U8" i="11"/>
  <c r="U52" i="11"/>
  <c r="U58" i="11"/>
  <c r="U59" i="11"/>
  <c r="U54" i="11"/>
  <c r="U48" i="11"/>
  <c r="U45" i="11"/>
  <c r="U47" i="11"/>
  <c r="U66" i="11"/>
  <c r="U65" i="11"/>
  <c r="U53" i="11"/>
  <c r="U69" i="11"/>
  <c r="U70" i="11"/>
  <c r="U71" i="11"/>
  <c r="U72" i="11"/>
  <c r="U73" i="11"/>
  <c r="U50" i="11"/>
  <c r="U62" i="11"/>
  <c r="U61" i="11"/>
  <c r="U56" i="11"/>
  <c r="U74" i="11"/>
  <c r="U67" i="11"/>
  <c r="U68" i="11"/>
  <c r="U75" i="11"/>
  <c r="U76" i="11"/>
  <c r="U77" i="11"/>
  <c r="U78" i="11"/>
  <c r="U79" i="11"/>
  <c r="U80" i="11"/>
  <c r="U60" i="11"/>
  <c r="U44" i="11"/>
  <c r="U63" i="11"/>
  <c r="U64" i="11"/>
  <c r="U46" i="11"/>
  <c r="U55" i="11"/>
  <c r="U57" i="11"/>
  <c r="U43" i="11"/>
  <c r="U49" i="11"/>
  <c r="U51" i="11"/>
  <c r="U30" i="11"/>
  <c r="U9" i="11"/>
  <c r="U36" i="11"/>
  <c r="U37" i="11"/>
  <c r="U38" i="11"/>
  <c r="U39" i="11"/>
  <c r="U40" i="11"/>
  <c r="U41" i="11"/>
  <c r="U11" i="11"/>
  <c r="U18" i="11"/>
  <c r="U26" i="11"/>
  <c r="U13" i="11"/>
  <c r="U35" i="11"/>
  <c r="U19" i="11"/>
  <c r="U21" i="11"/>
  <c r="U23" i="11"/>
  <c r="U24" i="11"/>
  <c r="U16" i="11"/>
  <c r="U31" i="11"/>
  <c r="U27" i="11"/>
  <c r="U32" i="11"/>
  <c r="U33" i="11"/>
  <c r="U34" i="11"/>
  <c r="U29" i="11"/>
  <c r="U15" i="11"/>
  <c r="U14" i="11"/>
  <c r="U17" i="11"/>
  <c r="U28" i="11"/>
  <c r="U25" i="11"/>
  <c r="U42" i="11"/>
  <c r="U20" i="11"/>
  <c r="U22" i="11"/>
  <c r="AA12" i="11"/>
  <c r="AA8" i="11"/>
  <c r="AA52" i="11"/>
  <c r="AA58" i="11"/>
  <c r="AA59" i="11"/>
  <c r="AA54" i="11"/>
  <c r="AA48" i="11"/>
  <c r="AA45" i="11"/>
  <c r="AA47" i="11"/>
  <c r="AA66" i="11"/>
  <c r="AA65" i="11"/>
  <c r="AA53" i="11"/>
  <c r="AA69" i="11"/>
  <c r="AA70" i="11"/>
  <c r="AA71" i="11"/>
  <c r="AA72" i="11"/>
  <c r="AA73" i="11"/>
  <c r="AA50" i="11"/>
  <c r="AA62" i="11"/>
  <c r="AA61" i="11"/>
  <c r="AA56" i="11"/>
  <c r="AA74" i="11"/>
  <c r="AA67" i="11"/>
  <c r="AA68" i="11"/>
  <c r="AA75" i="11"/>
  <c r="AA76" i="11"/>
  <c r="AA77" i="11"/>
  <c r="AA78" i="11"/>
  <c r="AA79" i="11"/>
  <c r="AA80" i="11"/>
  <c r="AA60" i="11"/>
  <c r="AA44" i="11"/>
  <c r="AA63" i="11"/>
  <c r="AA64" i="11"/>
  <c r="AA46" i="11"/>
  <c r="AA55" i="11"/>
  <c r="AA57" i="11"/>
  <c r="AA43" i="11"/>
  <c r="AA49" i="11"/>
  <c r="AA51" i="11"/>
  <c r="AA30" i="11"/>
  <c r="AA9" i="11"/>
  <c r="AA36" i="11"/>
  <c r="AA37" i="11"/>
  <c r="AA38" i="11"/>
  <c r="AA39" i="11"/>
  <c r="AA40" i="11"/>
  <c r="AA41" i="11"/>
  <c r="AA11" i="11"/>
  <c r="AA18" i="11"/>
  <c r="AA26" i="11"/>
  <c r="AA13" i="11"/>
  <c r="AA35" i="11"/>
  <c r="AA19" i="11"/>
  <c r="AA21" i="11"/>
  <c r="AA23" i="11"/>
  <c r="AA24" i="11"/>
  <c r="AA16" i="11"/>
  <c r="AA31" i="11"/>
  <c r="AA27" i="11"/>
  <c r="AA32" i="11"/>
  <c r="AA33" i="11"/>
  <c r="AA34" i="11"/>
  <c r="AA29" i="11"/>
  <c r="AA15" i="11"/>
  <c r="AA14" i="11"/>
  <c r="AA17" i="11"/>
  <c r="AA28" i="11"/>
  <c r="AA25" i="11"/>
  <c r="AA42" i="11"/>
  <c r="AA20" i="11"/>
  <c r="AA22" i="11"/>
  <c r="AB12" i="11"/>
  <c r="AB7" i="11"/>
  <c r="AB8" i="11"/>
  <c r="AB52" i="11"/>
  <c r="AB58" i="11"/>
  <c r="AB59" i="11"/>
  <c r="AB54" i="11"/>
  <c r="AB48" i="11"/>
  <c r="AB45" i="11"/>
  <c r="AB47" i="11"/>
  <c r="AB66" i="11"/>
  <c r="AB65" i="11"/>
  <c r="AB53" i="11"/>
  <c r="AB69" i="11"/>
  <c r="AB70" i="11"/>
  <c r="AB71" i="11"/>
  <c r="AB72" i="11"/>
  <c r="AB73" i="11"/>
  <c r="AB50" i="11"/>
  <c r="AB62" i="11"/>
  <c r="AB61" i="11"/>
  <c r="AB56" i="11"/>
  <c r="AB74" i="11"/>
  <c r="AB67" i="11"/>
  <c r="AB68" i="11"/>
  <c r="AB75" i="11"/>
  <c r="AB76" i="11"/>
  <c r="AB77" i="11"/>
  <c r="AB78" i="11"/>
  <c r="AB79" i="11"/>
  <c r="AB80" i="11"/>
  <c r="AB60" i="11"/>
  <c r="AB44" i="11"/>
  <c r="AB63" i="11"/>
  <c r="AB64" i="11"/>
  <c r="AB46" i="11"/>
  <c r="AB55" i="11"/>
  <c r="AB57" i="11"/>
  <c r="AB43" i="11"/>
  <c r="AB49" i="11"/>
  <c r="AB51" i="11"/>
  <c r="AB30" i="11"/>
  <c r="AB9" i="11"/>
  <c r="AB36" i="11"/>
  <c r="AB37" i="11"/>
  <c r="AB38" i="11"/>
  <c r="AB39" i="11"/>
  <c r="AB40" i="11"/>
  <c r="AB41" i="11"/>
  <c r="AB11" i="11"/>
  <c r="AB18" i="11"/>
  <c r="AB26" i="11"/>
  <c r="AB13" i="11"/>
  <c r="AB35" i="11"/>
  <c r="AB19" i="11"/>
  <c r="AB21" i="11"/>
  <c r="AB23" i="11"/>
  <c r="AB24" i="11"/>
  <c r="AB16" i="11"/>
  <c r="AB31" i="11"/>
  <c r="AB27" i="11"/>
  <c r="AB32" i="11"/>
  <c r="AB33" i="11"/>
  <c r="AB34" i="11"/>
  <c r="AB29" i="11"/>
  <c r="AB15" i="11"/>
  <c r="AB14" i="11"/>
  <c r="AB17" i="11"/>
  <c r="AB28" i="11"/>
  <c r="AB25" i="11"/>
  <c r="AB42" i="11"/>
  <c r="AB20" i="11"/>
  <c r="AB22" i="11"/>
  <c r="AB10" i="11"/>
  <c r="AA10" i="11"/>
  <c r="U10" i="11"/>
  <c r="L10" i="11"/>
  <c r="M10" i="11" s="1"/>
  <c r="N10" i="11" s="1"/>
  <c r="L1" i="11"/>
  <c r="L108" i="10"/>
  <c r="M108" i="10" s="1"/>
  <c r="L109" i="10"/>
  <c r="M109" i="10" s="1"/>
  <c r="L110" i="10"/>
  <c r="M110" i="10" s="1"/>
  <c r="L11" i="10"/>
  <c r="M11" i="10" s="1"/>
  <c r="N11" i="10" s="1"/>
  <c r="L99" i="10"/>
  <c r="M99" i="10" s="1"/>
  <c r="N99" i="10" s="1"/>
  <c r="L32" i="10"/>
  <c r="M32" i="10" s="1"/>
  <c r="N32" i="10" s="1"/>
  <c r="L25" i="10"/>
  <c r="M25" i="10" s="1"/>
  <c r="N25" i="10" s="1"/>
  <c r="L9" i="10"/>
  <c r="M9" i="10" s="1"/>
  <c r="N9" i="10" s="1"/>
  <c r="L14" i="10"/>
  <c r="M14" i="10" s="1"/>
  <c r="N14" i="10" s="1"/>
  <c r="L16" i="10"/>
  <c r="M16" i="10" s="1"/>
  <c r="N16" i="10" s="1"/>
  <c r="L33" i="10"/>
  <c r="M33" i="10" s="1"/>
  <c r="N33" i="10" s="1"/>
  <c r="L22" i="10"/>
  <c r="M22" i="10" s="1"/>
  <c r="N22" i="10" s="1"/>
  <c r="L96" i="10"/>
  <c r="M96" i="10" s="1"/>
  <c r="N96" i="10" s="1"/>
  <c r="L24" i="10"/>
  <c r="M24" i="10" s="1"/>
  <c r="N24" i="10" s="1"/>
  <c r="L59" i="10"/>
  <c r="M59" i="10" s="1"/>
  <c r="N59" i="10" s="1"/>
  <c r="L13" i="10"/>
  <c r="M13" i="10" s="1"/>
  <c r="N13" i="10" s="1"/>
  <c r="L94" i="10"/>
  <c r="M94" i="10" s="1"/>
  <c r="N94" i="10" s="1"/>
  <c r="L21" i="10"/>
  <c r="M21" i="10" s="1"/>
  <c r="N21" i="10" s="1"/>
  <c r="L41" i="10"/>
  <c r="M41" i="10" s="1"/>
  <c r="N41" i="10" s="1"/>
  <c r="L58" i="10"/>
  <c r="M58" i="10" s="1"/>
  <c r="N58" i="10" s="1"/>
  <c r="L60" i="10"/>
  <c r="M60" i="10" s="1"/>
  <c r="N60" i="10" s="1"/>
  <c r="L42" i="10"/>
  <c r="M42" i="10" s="1"/>
  <c r="N42" i="10" s="1"/>
  <c r="L57" i="10"/>
  <c r="M57" i="10" s="1"/>
  <c r="N57" i="10" s="1"/>
  <c r="L55" i="10"/>
  <c r="M55" i="10" s="1"/>
  <c r="N55" i="10" s="1"/>
  <c r="L47" i="10"/>
  <c r="M47" i="10" s="1"/>
  <c r="N47" i="10" s="1"/>
  <c r="L18" i="10"/>
  <c r="M18" i="10" s="1"/>
  <c r="N18" i="10" s="1"/>
  <c r="L7" i="10"/>
  <c r="M7" i="10" s="1"/>
  <c r="N7" i="10" s="1"/>
  <c r="L10" i="10"/>
  <c r="M10" i="10" s="1"/>
  <c r="N10" i="10" s="1"/>
  <c r="L40" i="10"/>
  <c r="M40" i="10" s="1"/>
  <c r="N40" i="10" s="1"/>
  <c r="L105" i="10"/>
  <c r="M105" i="10" s="1"/>
  <c r="N105" i="10" s="1"/>
  <c r="L102" i="10"/>
  <c r="M102" i="10" s="1"/>
  <c r="N102" i="10" s="1"/>
  <c r="L100" i="10"/>
  <c r="M100" i="10" s="1"/>
  <c r="N100" i="10" s="1"/>
  <c r="L98" i="10"/>
  <c r="M98" i="10" s="1"/>
  <c r="N98" i="10" s="1"/>
  <c r="L19" i="10"/>
  <c r="M19" i="10" s="1"/>
  <c r="N19" i="10" s="1"/>
  <c r="L81" i="10"/>
  <c r="M81" i="10" s="1"/>
  <c r="N81" i="10" s="1"/>
  <c r="L93" i="10"/>
  <c r="M93" i="10" s="1"/>
  <c r="N93" i="10" s="1"/>
  <c r="L97" i="10"/>
  <c r="M97" i="10" s="1"/>
  <c r="N97" i="10" s="1"/>
  <c r="L44" i="10"/>
  <c r="M44" i="10" s="1"/>
  <c r="N44" i="10" s="1"/>
  <c r="L39" i="10"/>
  <c r="M39" i="10" s="1"/>
  <c r="N39" i="10" s="1"/>
  <c r="L17" i="10"/>
  <c r="M17" i="10" s="1"/>
  <c r="N17" i="10" s="1"/>
  <c r="L38" i="10"/>
  <c r="M38" i="10" s="1"/>
  <c r="N38" i="10" s="1"/>
  <c r="L27" i="10"/>
  <c r="M27" i="10" s="1"/>
  <c r="N27" i="10" s="1"/>
  <c r="L15" i="10"/>
  <c r="M15" i="10" s="1"/>
  <c r="N15" i="10" s="1"/>
  <c r="L63" i="10"/>
  <c r="M63" i="10" s="1"/>
  <c r="N63" i="10" s="1"/>
  <c r="L89" i="10"/>
  <c r="M89" i="10" s="1"/>
  <c r="N89" i="10" s="1"/>
  <c r="L88" i="10"/>
  <c r="M88" i="10" s="1"/>
  <c r="N88" i="10" s="1"/>
  <c r="L61" i="10"/>
  <c r="M61" i="10" s="1"/>
  <c r="N61" i="10" s="1"/>
  <c r="L95" i="10"/>
  <c r="M95" i="10" s="1"/>
  <c r="N95" i="10" s="1"/>
  <c r="L84" i="10"/>
  <c r="M84" i="10" s="1"/>
  <c r="N84" i="10" s="1"/>
  <c r="L68" i="10"/>
  <c r="M68" i="10" s="1"/>
  <c r="N68" i="10" s="1"/>
  <c r="L69" i="10"/>
  <c r="M69" i="10" s="1"/>
  <c r="N69" i="10" s="1"/>
  <c r="L90" i="10"/>
  <c r="M90" i="10" s="1"/>
  <c r="N90" i="10" s="1"/>
  <c r="L91" i="10"/>
  <c r="M91" i="10" s="1"/>
  <c r="N91" i="10" s="1"/>
  <c r="L12" i="10"/>
  <c r="M12" i="10" s="1"/>
  <c r="N12" i="10" s="1"/>
  <c r="L71" i="10"/>
  <c r="M71" i="10" s="1"/>
  <c r="N71" i="10" s="1"/>
  <c r="L30" i="10"/>
  <c r="M30" i="10" s="1"/>
  <c r="N30" i="10" s="1"/>
  <c r="L29" i="10"/>
  <c r="M29" i="10" s="1"/>
  <c r="N29" i="10" s="1"/>
  <c r="L26" i="10"/>
  <c r="M26" i="10" s="1"/>
  <c r="N26" i="10" s="1"/>
  <c r="L53" i="10"/>
  <c r="M53" i="10" s="1"/>
  <c r="N53" i="10" s="1"/>
  <c r="L51" i="10"/>
  <c r="M51" i="10" s="1"/>
  <c r="N51" i="10" s="1"/>
  <c r="L66" i="10"/>
  <c r="M66" i="10" s="1"/>
  <c r="N66" i="10" s="1"/>
  <c r="L49" i="10"/>
  <c r="M49" i="10" s="1"/>
  <c r="N49" i="10" s="1"/>
  <c r="L87" i="10"/>
  <c r="M87" i="10" s="1"/>
  <c r="N87" i="10" s="1"/>
  <c r="L56" i="10"/>
  <c r="M56" i="10" s="1"/>
  <c r="N56" i="10" s="1"/>
  <c r="L46" i="10"/>
  <c r="M46" i="10" s="1"/>
  <c r="N46" i="10" s="1"/>
  <c r="L52" i="10"/>
  <c r="M52" i="10" s="1"/>
  <c r="N52" i="10" s="1"/>
  <c r="L54" i="10"/>
  <c r="M54" i="10" s="1"/>
  <c r="N54" i="10" s="1"/>
  <c r="L48" i="10"/>
  <c r="M48" i="10" s="1"/>
  <c r="N48" i="10" s="1"/>
  <c r="L50" i="10"/>
  <c r="M50" i="10" s="1"/>
  <c r="N50" i="10" s="1"/>
  <c r="L34" i="10"/>
  <c r="M34" i="10" s="1"/>
  <c r="N34" i="10" s="1"/>
  <c r="L28" i="10"/>
  <c r="M28" i="10" s="1"/>
  <c r="N28" i="10" s="1"/>
  <c r="L75" i="10"/>
  <c r="M75" i="10" s="1"/>
  <c r="N75" i="10" s="1"/>
  <c r="L80" i="10"/>
  <c r="M80" i="10" s="1"/>
  <c r="N80" i="10" s="1"/>
  <c r="L78" i="10"/>
  <c r="M78" i="10" s="1"/>
  <c r="N78" i="10" s="1"/>
  <c r="L79" i="10"/>
  <c r="M79" i="10" s="1"/>
  <c r="N79" i="10" s="1"/>
  <c r="L73" i="10"/>
  <c r="M73" i="10" s="1"/>
  <c r="N73" i="10" s="1"/>
  <c r="L45" i="10"/>
  <c r="M45" i="10" s="1"/>
  <c r="N45" i="10" s="1"/>
  <c r="L74" i="10"/>
  <c r="M74" i="10" s="1"/>
  <c r="N74" i="10" s="1"/>
  <c r="L77" i="10"/>
  <c r="M77" i="10" s="1"/>
  <c r="N77" i="10" s="1"/>
  <c r="L64" i="10"/>
  <c r="M64" i="10" s="1"/>
  <c r="N64" i="10" s="1"/>
  <c r="L20" i="10"/>
  <c r="M20" i="10" s="1"/>
  <c r="N20" i="10" s="1"/>
  <c r="L70" i="10"/>
  <c r="M70" i="10" s="1"/>
  <c r="N70" i="10" s="1"/>
  <c r="L62" i="10"/>
  <c r="M62" i="10" s="1"/>
  <c r="N62" i="10" s="1"/>
  <c r="L65" i="10"/>
  <c r="M65" i="10" s="1"/>
  <c r="N65" i="10" s="1"/>
  <c r="L67" i="10"/>
  <c r="M67" i="10" s="1"/>
  <c r="N67" i="10" s="1"/>
  <c r="L76" i="10"/>
  <c r="M76" i="10" s="1"/>
  <c r="N76" i="10" s="1"/>
  <c r="L23" i="10"/>
  <c r="M23" i="10" s="1"/>
  <c r="N23" i="10" s="1"/>
  <c r="L36" i="10"/>
  <c r="M36" i="10" s="1"/>
  <c r="N36" i="10" s="1"/>
  <c r="L31" i="10"/>
  <c r="M31" i="10" s="1"/>
  <c r="N31" i="10" s="1"/>
  <c r="L101" i="10"/>
  <c r="M101" i="10" s="1"/>
  <c r="N101" i="10" s="1"/>
  <c r="L72" i="10"/>
  <c r="M72" i="10" s="1"/>
  <c r="N72" i="10" s="1"/>
  <c r="L103" i="10"/>
  <c r="M103" i="10" s="1"/>
  <c r="N103" i="10" s="1"/>
  <c r="L83" i="10"/>
  <c r="M83" i="10" s="1"/>
  <c r="N83" i="10" s="1"/>
  <c r="L104" i="10"/>
  <c r="M104" i="10" s="1"/>
  <c r="N104" i="10" s="1"/>
  <c r="L82" i="10"/>
  <c r="M82" i="10" s="1"/>
  <c r="N82" i="10" s="1"/>
  <c r="L106" i="10"/>
  <c r="M106" i="10" s="1"/>
  <c r="N106" i="10" s="1"/>
  <c r="L43" i="10"/>
  <c r="M43" i="10" s="1"/>
  <c r="N43" i="10" s="1"/>
  <c r="L35" i="10"/>
  <c r="M35" i="10" s="1"/>
  <c r="N35" i="10" s="1"/>
  <c r="L86" i="10"/>
  <c r="M86" i="10" s="1"/>
  <c r="N86" i="10" s="1"/>
  <c r="L85" i="10"/>
  <c r="M85" i="10" s="1"/>
  <c r="N85" i="10" s="1"/>
  <c r="L92" i="10"/>
  <c r="M92" i="10" s="1"/>
  <c r="N92" i="10" s="1"/>
  <c r="L37" i="10"/>
  <c r="M37" i="10" s="1"/>
  <c r="N37" i="10" s="1"/>
  <c r="L8" i="10"/>
  <c r="M8" i="10" s="1"/>
  <c r="N8" i="10" s="1"/>
  <c r="P108" i="10"/>
  <c r="P109" i="10"/>
  <c r="P110" i="10"/>
  <c r="U108" i="10"/>
  <c r="U109" i="10"/>
  <c r="U110" i="10"/>
  <c r="U11" i="10"/>
  <c r="U99" i="10"/>
  <c r="U32" i="10"/>
  <c r="U25" i="10"/>
  <c r="U9" i="10"/>
  <c r="U14" i="10"/>
  <c r="U16" i="10"/>
  <c r="U33" i="10"/>
  <c r="U22" i="10"/>
  <c r="U96" i="10"/>
  <c r="U24" i="10"/>
  <c r="U59" i="10"/>
  <c r="U13" i="10"/>
  <c r="U94" i="10"/>
  <c r="U21" i="10"/>
  <c r="U41" i="10"/>
  <c r="U58" i="10"/>
  <c r="U60" i="10"/>
  <c r="U42" i="10"/>
  <c r="U57" i="10"/>
  <c r="U55" i="10"/>
  <c r="U47" i="10"/>
  <c r="U18" i="10"/>
  <c r="U7" i="10"/>
  <c r="U10" i="10"/>
  <c r="U40" i="10"/>
  <c r="U105" i="10"/>
  <c r="U102" i="10"/>
  <c r="U100" i="10"/>
  <c r="U98" i="10"/>
  <c r="U19" i="10"/>
  <c r="U81" i="10"/>
  <c r="U93" i="10"/>
  <c r="U97" i="10"/>
  <c r="U44" i="10"/>
  <c r="U39" i="10"/>
  <c r="U17" i="10"/>
  <c r="U38" i="10"/>
  <c r="U27" i="10"/>
  <c r="U15" i="10"/>
  <c r="U63" i="10"/>
  <c r="U89" i="10"/>
  <c r="U88" i="10"/>
  <c r="U61" i="10"/>
  <c r="U95" i="10"/>
  <c r="U84" i="10"/>
  <c r="U68" i="10"/>
  <c r="U69" i="10"/>
  <c r="U90" i="10"/>
  <c r="U91" i="10"/>
  <c r="U12" i="10"/>
  <c r="U71" i="10"/>
  <c r="U30" i="10"/>
  <c r="U29" i="10"/>
  <c r="U26" i="10"/>
  <c r="U53" i="10"/>
  <c r="U51" i="10"/>
  <c r="U66" i="10"/>
  <c r="U49" i="10"/>
  <c r="U87" i="10"/>
  <c r="U56" i="10"/>
  <c r="U46" i="10"/>
  <c r="U52" i="10"/>
  <c r="U54" i="10"/>
  <c r="U48" i="10"/>
  <c r="U50" i="10"/>
  <c r="U34" i="10"/>
  <c r="U28" i="10"/>
  <c r="U75" i="10"/>
  <c r="U80" i="10"/>
  <c r="U78" i="10"/>
  <c r="U79" i="10"/>
  <c r="U73" i="10"/>
  <c r="U45" i="10"/>
  <c r="U74" i="10"/>
  <c r="U77" i="10"/>
  <c r="U64" i="10"/>
  <c r="U20" i="10"/>
  <c r="U70" i="10"/>
  <c r="U62" i="10"/>
  <c r="U65" i="10"/>
  <c r="U67" i="10"/>
  <c r="U76" i="10"/>
  <c r="U23" i="10"/>
  <c r="U36" i="10"/>
  <c r="U31" i="10"/>
  <c r="U101" i="10"/>
  <c r="U72" i="10"/>
  <c r="U103" i="10"/>
  <c r="U83" i="10"/>
  <c r="U104" i="10"/>
  <c r="U82" i="10"/>
  <c r="U106" i="10"/>
  <c r="U43" i="10"/>
  <c r="U35" i="10"/>
  <c r="U86" i="10"/>
  <c r="U85" i="10"/>
  <c r="U92" i="10"/>
  <c r="U37" i="10"/>
  <c r="U8" i="10"/>
  <c r="X108" i="10"/>
  <c r="X109" i="10"/>
  <c r="X110" i="10"/>
  <c r="X11" i="10"/>
  <c r="X99" i="10"/>
  <c r="X32" i="10"/>
  <c r="X25" i="10"/>
  <c r="X9" i="10"/>
  <c r="X14" i="10"/>
  <c r="X16" i="10"/>
  <c r="X33" i="10"/>
  <c r="X22" i="10"/>
  <c r="X96" i="10"/>
  <c r="X24" i="10"/>
  <c r="X59" i="10"/>
  <c r="X13" i="10"/>
  <c r="X94" i="10"/>
  <c r="X21" i="10"/>
  <c r="X41" i="10"/>
  <c r="X58" i="10"/>
  <c r="X60" i="10"/>
  <c r="X42" i="10"/>
  <c r="X57" i="10"/>
  <c r="X55" i="10"/>
  <c r="X47" i="10"/>
  <c r="X18" i="10"/>
  <c r="X7" i="10"/>
  <c r="X10" i="10"/>
  <c r="X40" i="10"/>
  <c r="X105" i="10"/>
  <c r="X102" i="10"/>
  <c r="X100" i="10"/>
  <c r="X98" i="10"/>
  <c r="X19" i="10"/>
  <c r="X81" i="10"/>
  <c r="X93" i="10"/>
  <c r="X97" i="10"/>
  <c r="X44" i="10"/>
  <c r="X39" i="10"/>
  <c r="X17" i="10"/>
  <c r="X38" i="10"/>
  <c r="X27" i="10"/>
  <c r="X15" i="10"/>
  <c r="X63" i="10"/>
  <c r="X89" i="10"/>
  <c r="X88" i="10"/>
  <c r="X61" i="10"/>
  <c r="X95" i="10"/>
  <c r="X84" i="10"/>
  <c r="X68" i="10"/>
  <c r="X69" i="10"/>
  <c r="X90" i="10"/>
  <c r="X91" i="10"/>
  <c r="X12" i="10"/>
  <c r="X71" i="10"/>
  <c r="X30" i="10"/>
  <c r="X29" i="10"/>
  <c r="X26" i="10"/>
  <c r="X53" i="10"/>
  <c r="X51" i="10"/>
  <c r="X66" i="10"/>
  <c r="X49" i="10"/>
  <c r="X87" i="10"/>
  <c r="X56" i="10"/>
  <c r="X46" i="10"/>
  <c r="X52" i="10"/>
  <c r="X54" i="10"/>
  <c r="X48" i="10"/>
  <c r="X50" i="10"/>
  <c r="X34" i="10"/>
  <c r="X28" i="10"/>
  <c r="X75" i="10"/>
  <c r="X80" i="10"/>
  <c r="X78" i="10"/>
  <c r="X79" i="10"/>
  <c r="X73" i="10"/>
  <c r="X45" i="10"/>
  <c r="X74" i="10"/>
  <c r="X77" i="10"/>
  <c r="X64" i="10"/>
  <c r="X20" i="10"/>
  <c r="X70" i="10"/>
  <c r="X62" i="10"/>
  <c r="X65" i="10"/>
  <c r="X67" i="10"/>
  <c r="X76" i="10"/>
  <c r="X23" i="10"/>
  <c r="X36" i="10"/>
  <c r="X31" i="10"/>
  <c r="X101" i="10"/>
  <c r="X72" i="10"/>
  <c r="X103" i="10"/>
  <c r="X83" i="10"/>
  <c r="X104" i="10"/>
  <c r="X82" i="10"/>
  <c r="X106" i="10"/>
  <c r="X43" i="10"/>
  <c r="X35" i="10"/>
  <c r="X86" i="10"/>
  <c r="X85" i="10"/>
  <c r="X92" i="10"/>
  <c r="X37" i="10"/>
  <c r="X8" i="10"/>
  <c r="Y108" i="10"/>
  <c r="Y109" i="10"/>
  <c r="Y110" i="10"/>
  <c r="Y11" i="10"/>
  <c r="Y99" i="10"/>
  <c r="Y32" i="10"/>
  <c r="Y25" i="10"/>
  <c r="Y9" i="10"/>
  <c r="Y14" i="10"/>
  <c r="Y16" i="10"/>
  <c r="Y33" i="10"/>
  <c r="Y22" i="10"/>
  <c r="Y96" i="10"/>
  <c r="Y24" i="10"/>
  <c r="Y59" i="10"/>
  <c r="Y13" i="10"/>
  <c r="Y94" i="10"/>
  <c r="Y21" i="10"/>
  <c r="Y41" i="10"/>
  <c r="Y58" i="10"/>
  <c r="Y60" i="10"/>
  <c r="Y42" i="10"/>
  <c r="Y57" i="10"/>
  <c r="Y55" i="10"/>
  <c r="Y47" i="10"/>
  <c r="Y18" i="10"/>
  <c r="Y7" i="10"/>
  <c r="Y10" i="10"/>
  <c r="Y40" i="10"/>
  <c r="Y105" i="10"/>
  <c r="Y102" i="10"/>
  <c r="Y100" i="10"/>
  <c r="Y98" i="10"/>
  <c r="Y19" i="10"/>
  <c r="Y81" i="10"/>
  <c r="Y93" i="10"/>
  <c r="Y97" i="10"/>
  <c r="Y44" i="10"/>
  <c r="Y39" i="10"/>
  <c r="Y17" i="10"/>
  <c r="Y38" i="10"/>
  <c r="Y27" i="10"/>
  <c r="Y15" i="10"/>
  <c r="Y63" i="10"/>
  <c r="Y89" i="10"/>
  <c r="Y88" i="10"/>
  <c r="Y61" i="10"/>
  <c r="Y95" i="10"/>
  <c r="Y84" i="10"/>
  <c r="Y68" i="10"/>
  <c r="Y69" i="10"/>
  <c r="Y90" i="10"/>
  <c r="Y91" i="10"/>
  <c r="Y12" i="10"/>
  <c r="Y71" i="10"/>
  <c r="Y30" i="10"/>
  <c r="Y29" i="10"/>
  <c r="Y26" i="10"/>
  <c r="Y53" i="10"/>
  <c r="Y51" i="10"/>
  <c r="Y66" i="10"/>
  <c r="Y49" i="10"/>
  <c r="Y87" i="10"/>
  <c r="Y56" i="10"/>
  <c r="Y46" i="10"/>
  <c r="Y52" i="10"/>
  <c r="Y54" i="10"/>
  <c r="Y48" i="10"/>
  <c r="Y50" i="10"/>
  <c r="Y34" i="10"/>
  <c r="Y28" i="10"/>
  <c r="Y75" i="10"/>
  <c r="Y80" i="10"/>
  <c r="Y78" i="10"/>
  <c r="Y79" i="10"/>
  <c r="Y73" i="10"/>
  <c r="Y45" i="10"/>
  <c r="Y74" i="10"/>
  <c r="Y77" i="10"/>
  <c r="Y64" i="10"/>
  <c r="Y20" i="10"/>
  <c r="Y70" i="10"/>
  <c r="Y62" i="10"/>
  <c r="Y65" i="10"/>
  <c r="Y67" i="10"/>
  <c r="Y76" i="10"/>
  <c r="Y23" i="10"/>
  <c r="Y36" i="10"/>
  <c r="Y31" i="10"/>
  <c r="Y101" i="10"/>
  <c r="Y72" i="10"/>
  <c r="Y103" i="10"/>
  <c r="Y83" i="10"/>
  <c r="Y104" i="10"/>
  <c r="Y82" i="10"/>
  <c r="Y106" i="10"/>
  <c r="Y43" i="10"/>
  <c r="Y35" i="10"/>
  <c r="Y86" i="10"/>
  <c r="Y85" i="10"/>
  <c r="Y92" i="10"/>
  <c r="Y37" i="10"/>
  <c r="Y8" i="10"/>
  <c r="Y107" i="10"/>
  <c r="X107" i="10"/>
  <c r="U107" i="10"/>
  <c r="P107" i="10"/>
  <c r="L107" i="10"/>
  <c r="L1" i="10"/>
  <c r="L151" i="9"/>
  <c r="M151" i="9" s="1"/>
  <c r="L152" i="9"/>
  <c r="M152" i="9" s="1"/>
  <c r="L153" i="9"/>
  <c r="M153" i="9" s="1"/>
  <c r="L102" i="9"/>
  <c r="M102" i="9" s="1"/>
  <c r="L154" i="9"/>
  <c r="M154" i="9" s="1"/>
  <c r="L155" i="9"/>
  <c r="M155" i="9" s="1"/>
  <c r="L156" i="9"/>
  <c r="M156" i="9" s="1"/>
  <c r="L157" i="9"/>
  <c r="M157" i="9" s="1"/>
  <c r="L158" i="9"/>
  <c r="M158" i="9" s="1"/>
  <c r="L159" i="9"/>
  <c r="M159" i="9" s="1"/>
  <c r="L160" i="9"/>
  <c r="M160" i="9" s="1"/>
  <c r="L161" i="9"/>
  <c r="M161" i="9" s="1"/>
  <c r="L162" i="9"/>
  <c r="M162" i="9" s="1"/>
  <c r="L138" i="9"/>
  <c r="M138" i="9" s="1"/>
  <c r="L163" i="9"/>
  <c r="M163" i="9" s="1"/>
  <c r="L164" i="9"/>
  <c r="M164" i="9" s="1"/>
  <c r="L103" i="9"/>
  <c r="M103" i="9" s="1"/>
  <c r="L104" i="9"/>
  <c r="M104" i="9" s="1"/>
  <c r="L105" i="9"/>
  <c r="M105" i="9" s="1"/>
  <c r="L106" i="9"/>
  <c r="M106" i="9" s="1"/>
  <c r="L165" i="9"/>
  <c r="M165" i="9" s="1"/>
  <c r="L166" i="9"/>
  <c r="M166" i="9" s="1"/>
  <c r="L107" i="9"/>
  <c r="M107" i="9" s="1"/>
  <c r="L167" i="9"/>
  <c r="M167" i="9" s="1"/>
  <c r="L168" i="9"/>
  <c r="M168" i="9" s="1"/>
  <c r="L169" i="9"/>
  <c r="M169" i="9" s="1"/>
  <c r="L170" i="9"/>
  <c r="M170" i="9" s="1"/>
  <c r="L188" i="9"/>
  <c r="M188" i="9" s="1"/>
  <c r="L171" i="9"/>
  <c r="M171" i="9" s="1"/>
  <c r="L172" i="9"/>
  <c r="M172" i="9" s="1"/>
  <c r="L173" i="9"/>
  <c r="M173" i="9" s="1"/>
  <c r="L73" i="9"/>
  <c r="M73" i="9" s="1"/>
  <c r="L174" i="9"/>
  <c r="M174" i="9" s="1"/>
  <c r="L175" i="9"/>
  <c r="M175" i="9" s="1"/>
  <c r="L176" i="9"/>
  <c r="M176" i="9" s="1"/>
  <c r="L177" i="9"/>
  <c r="M177" i="9" s="1"/>
  <c r="L108" i="9"/>
  <c r="M108" i="9" s="1"/>
  <c r="L56" i="9"/>
  <c r="M56" i="9" s="1"/>
  <c r="L57" i="9"/>
  <c r="M57" i="9" s="1"/>
  <c r="L178" i="9"/>
  <c r="M178" i="9" s="1"/>
  <c r="L109" i="9"/>
  <c r="M109" i="9" s="1"/>
  <c r="L179" i="9"/>
  <c r="M179" i="9" s="1"/>
  <c r="L180" i="9"/>
  <c r="M180" i="9" s="1"/>
  <c r="L90" i="9"/>
  <c r="M90" i="9" s="1"/>
  <c r="L92" i="9"/>
  <c r="M92" i="9" s="1"/>
  <c r="L99" i="9"/>
  <c r="M99" i="9" s="1"/>
  <c r="L110" i="9"/>
  <c r="M110" i="9" s="1"/>
  <c r="L72" i="9"/>
  <c r="M72" i="9" s="1"/>
  <c r="L140" i="9"/>
  <c r="M140" i="9" s="1"/>
  <c r="L63" i="9"/>
  <c r="M63" i="9" s="1"/>
  <c r="L66" i="9"/>
  <c r="M66" i="9" s="1"/>
  <c r="L64" i="9"/>
  <c r="M64" i="9" s="1"/>
  <c r="L111" i="9"/>
  <c r="M111" i="9" s="1"/>
  <c r="L93" i="9"/>
  <c r="M93" i="9" s="1"/>
  <c r="L91" i="9"/>
  <c r="M91" i="9" s="1"/>
  <c r="L75" i="9"/>
  <c r="M75" i="9" s="1"/>
  <c r="L97" i="9"/>
  <c r="M97" i="9" s="1"/>
  <c r="L70" i="9"/>
  <c r="M70" i="9" s="1"/>
  <c r="L83" i="9"/>
  <c r="M83" i="9" s="1"/>
  <c r="L50" i="9"/>
  <c r="M50" i="9" s="1"/>
  <c r="L89" i="9"/>
  <c r="M89" i="9" s="1"/>
  <c r="L81" i="9"/>
  <c r="M81" i="9" s="1"/>
  <c r="L60" i="9"/>
  <c r="M60" i="9" s="1"/>
  <c r="L148" i="9"/>
  <c r="M148" i="9" s="1"/>
  <c r="L86" i="9"/>
  <c r="M86" i="9" s="1"/>
  <c r="L62" i="9"/>
  <c r="M62" i="9" s="1"/>
  <c r="L51" i="9"/>
  <c r="M51" i="9" s="1"/>
  <c r="L142" i="9"/>
  <c r="M142" i="9" s="1"/>
  <c r="L59" i="9"/>
  <c r="M59" i="9" s="1"/>
  <c r="L80" i="9"/>
  <c r="M80" i="9" s="1"/>
  <c r="L55" i="9"/>
  <c r="M55" i="9" s="1"/>
  <c r="L74" i="9"/>
  <c r="M74" i="9" s="1"/>
  <c r="L76" i="9"/>
  <c r="M76" i="9" s="1"/>
  <c r="L71" i="9"/>
  <c r="M71" i="9" s="1"/>
  <c r="L79" i="9"/>
  <c r="M79" i="9" s="1"/>
  <c r="L112" i="9"/>
  <c r="M112" i="9" s="1"/>
  <c r="L84" i="9"/>
  <c r="M84" i="9" s="1"/>
  <c r="L100" i="9"/>
  <c r="M100" i="9" s="1"/>
  <c r="L54" i="9"/>
  <c r="M54" i="9" s="1"/>
  <c r="L48" i="9"/>
  <c r="M48" i="9" s="1"/>
  <c r="L113" i="9"/>
  <c r="M113" i="9" s="1"/>
  <c r="L52" i="9"/>
  <c r="M52" i="9" s="1"/>
  <c r="L181" i="9"/>
  <c r="M181" i="9" s="1"/>
  <c r="L114" i="9"/>
  <c r="M114" i="9" s="1"/>
  <c r="L82" i="9"/>
  <c r="M82" i="9" s="1"/>
  <c r="L115" i="9"/>
  <c r="M115" i="9" s="1"/>
  <c r="L68" i="9"/>
  <c r="M68" i="9" s="1"/>
  <c r="L67" i="9"/>
  <c r="M67" i="9" s="1"/>
  <c r="L182" i="9"/>
  <c r="M182" i="9" s="1"/>
  <c r="L116" i="9"/>
  <c r="M116" i="9" s="1"/>
  <c r="L117" i="9"/>
  <c r="M117" i="9" s="1"/>
  <c r="L183" i="9"/>
  <c r="M183" i="9" s="1"/>
  <c r="L118" i="9"/>
  <c r="M118" i="9" s="1"/>
  <c r="L149" i="9"/>
  <c r="M149" i="9" s="1"/>
  <c r="L61" i="9"/>
  <c r="M61" i="9" s="1"/>
  <c r="L184" i="9"/>
  <c r="M184" i="9" s="1"/>
  <c r="L119" i="9"/>
  <c r="M119" i="9" s="1"/>
  <c r="L65" i="9"/>
  <c r="M65" i="9" s="1"/>
  <c r="L120" i="9"/>
  <c r="M120" i="9" s="1"/>
  <c r="L94" i="9"/>
  <c r="M94" i="9" s="1"/>
  <c r="L121" i="9"/>
  <c r="M121" i="9" s="1"/>
  <c r="L185" i="9"/>
  <c r="M185" i="9" s="1"/>
  <c r="L96" i="9"/>
  <c r="M96" i="9" s="1"/>
  <c r="L122" i="9"/>
  <c r="M122" i="9" s="1"/>
  <c r="L123" i="9"/>
  <c r="M123" i="9" s="1"/>
  <c r="L186" i="9"/>
  <c r="M186" i="9" s="1"/>
  <c r="L143" i="9"/>
  <c r="M143" i="9" s="1"/>
  <c r="L85" i="9"/>
  <c r="M85" i="9" s="1"/>
  <c r="L124" i="9"/>
  <c r="M124" i="9" s="1"/>
  <c r="L125" i="9"/>
  <c r="M125" i="9" s="1"/>
  <c r="L126" i="9"/>
  <c r="M126" i="9" s="1"/>
  <c r="L127" i="9"/>
  <c r="M127" i="9" s="1"/>
  <c r="L128" i="9"/>
  <c r="M128" i="9" s="1"/>
  <c r="L129" i="9"/>
  <c r="M129" i="9" s="1"/>
  <c r="L144" i="9"/>
  <c r="M144" i="9" s="1"/>
  <c r="L130" i="9"/>
  <c r="M130" i="9" s="1"/>
  <c r="L77" i="9"/>
  <c r="M77" i="9" s="1"/>
  <c r="L95" i="9"/>
  <c r="M95" i="9" s="1"/>
  <c r="L145" i="9"/>
  <c r="M145" i="9" s="1"/>
  <c r="L141" i="9"/>
  <c r="M141" i="9" s="1"/>
  <c r="L53" i="9"/>
  <c r="M53" i="9" s="1"/>
  <c r="L49" i="9"/>
  <c r="M49" i="9" s="1"/>
  <c r="L58" i="9"/>
  <c r="M58" i="9" s="1"/>
  <c r="L139" i="9"/>
  <c r="M139" i="9" s="1"/>
  <c r="L88" i="9"/>
  <c r="M88" i="9" s="1"/>
  <c r="L98" i="9"/>
  <c r="M98" i="9" s="1"/>
  <c r="L69" i="9"/>
  <c r="M69" i="9" s="1"/>
  <c r="L131" i="9"/>
  <c r="M131" i="9" s="1"/>
  <c r="L187" i="9"/>
  <c r="M187" i="9" s="1"/>
  <c r="L132" i="9"/>
  <c r="M132" i="9" s="1"/>
  <c r="L133" i="9"/>
  <c r="M133" i="9" s="1"/>
  <c r="L87" i="9"/>
  <c r="M87" i="9" s="1"/>
  <c r="L134" i="9"/>
  <c r="M134" i="9" s="1"/>
  <c r="L78" i="9"/>
  <c r="M78" i="9" s="1"/>
  <c r="L135" i="9"/>
  <c r="M135" i="9" s="1"/>
  <c r="L136" i="9"/>
  <c r="M136" i="9" s="1"/>
  <c r="L146" i="9"/>
  <c r="M146" i="9" s="1"/>
  <c r="L147" i="9"/>
  <c r="M147" i="9" s="1"/>
  <c r="L137" i="9"/>
  <c r="M137" i="9" s="1"/>
  <c r="L8" i="9"/>
  <c r="M8" i="9" s="1"/>
  <c r="N8" i="9" s="1"/>
  <c r="L45" i="9"/>
  <c r="M45" i="9" s="1"/>
  <c r="N45" i="9" s="1"/>
  <c r="L36" i="9"/>
  <c r="M36" i="9" s="1"/>
  <c r="N36" i="9" s="1"/>
  <c r="L43" i="9"/>
  <c r="M43" i="9" s="1"/>
  <c r="N43" i="9" s="1"/>
  <c r="L10" i="9"/>
  <c r="M10" i="9" s="1"/>
  <c r="N10" i="9" s="1"/>
  <c r="L20" i="9"/>
  <c r="M20" i="9" s="1"/>
  <c r="N20" i="9" s="1"/>
  <c r="L189" i="9"/>
  <c r="M189" i="9" s="1"/>
  <c r="L32" i="9"/>
  <c r="M32" i="9" s="1"/>
  <c r="N32" i="9" s="1"/>
  <c r="L22" i="9"/>
  <c r="M22" i="9" s="1"/>
  <c r="N22" i="9" s="1"/>
  <c r="L35" i="9"/>
  <c r="M35" i="9" s="1"/>
  <c r="N35" i="9" s="1"/>
  <c r="L44" i="9"/>
  <c r="M44" i="9" s="1"/>
  <c r="N44" i="9" s="1"/>
  <c r="L46" i="9"/>
  <c r="M46" i="9" s="1"/>
  <c r="N46" i="9" s="1"/>
  <c r="L47" i="9"/>
  <c r="M47" i="9" s="1"/>
  <c r="N47" i="9" s="1"/>
  <c r="L30" i="9"/>
  <c r="M30" i="9" s="1"/>
  <c r="N30" i="9" s="1"/>
  <c r="L24" i="9"/>
  <c r="M24" i="9" s="1"/>
  <c r="N24" i="9" s="1"/>
  <c r="L190" i="9"/>
  <c r="M190" i="9" s="1"/>
  <c r="L18" i="9"/>
  <c r="M18" i="9" s="1"/>
  <c r="N18" i="9" s="1"/>
  <c r="L21" i="9"/>
  <c r="M21" i="9" s="1"/>
  <c r="N21" i="9" s="1"/>
  <c r="L11" i="9"/>
  <c r="M11" i="9" s="1"/>
  <c r="N11" i="9" s="1"/>
  <c r="L28" i="9"/>
  <c r="M28" i="9" s="1"/>
  <c r="N28" i="9" s="1"/>
  <c r="L13" i="9"/>
  <c r="M13" i="9" s="1"/>
  <c r="N13" i="9" s="1"/>
  <c r="L29" i="9"/>
  <c r="M29" i="9" s="1"/>
  <c r="N29" i="9" s="1"/>
  <c r="L191" i="9"/>
  <c r="M191" i="9" s="1"/>
  <c r="L192" i="9"/>
  <c r="M192" i="9" s="1"/>
  <c r="L34" i="9"/>
  <c r="M34" i="9" s="1"/>
  <c r="N34" i="9" s="1"/>
  <c r="L41" i="9"/>
  <c r="M41" i="9" s="1"/>
  <c r="N41" i="9" s="1"/>
  <c r="L193" i="9"/>
  <c r="M193" i="9" s="1"/>
  <c r="L194" i="9"/>
  <c r="M194" i="9" s="1"/>
  <c r="L12" i="9"/>
  <c r="M12" i="9" s="1"/>
  <c r="N12" i="9" s="1"/>
  <c r="L9" i="9"/>
  <c r="M9" i="9" s="1"/>
  <c r="N9" i="9" s="1"/>
  <c r="L26" i="9"/>
  <c r="M26" i="9" s="1"/>
  <c r="N26" i="9" s="1"/>
  <c r="L19" i="9"/>
  <c r="M19" i="9" s="1"/>
  <c r="N19" i="9" s="1"/>
  <c r="L27" i="9"/>
  <c r="M27" i="9" s="1"/>
  <c r="N27" i="9" s="1"/>
  <c r="L42" i="9"/>
  <c r="M42" i="9" s="1"/>
  <c r="N42" i="9" s="1"/>
  <c r="L16" i="9"/>
  <c r="M16" i="9" s="1"/>
  <c r="N16" i="9" s="1"/>
  <c r="L14" i="9"/>
  <c r="M14" i="9" s="1"/>
  <c r="N14" i="9" s="1"/>
  <c r="L40" i="9"/>
  <c r="M40" i="9" s="1"/>
  <c r="N40" i="9" s="1"/>
  <c r="L39" i="9"/>
  <c r="M39" i="9" s="1"/>
  <c r="N39" i="9" s="1"/>
  <c r="L195" i="9"/>
  <c r="M195" i="9" s="1"/>
  <c r="L33" i="9"/>
  <c r="M33" i="9" s="1"/>
  <c r="N33" i="9" s="1"/>
  <c r="L17" i="9"/>
  <c r="M17" i="9" s="1"/>
  <c r="N17" i="9" s="1"/>
  <c r="L38" i="9"/>
  <c r="M38" i="9" s="1"/>
  <c r="N38" i="9" s="1"/>
  <c r="L31" i="9"/>
  <c r="M31" i="9" s="1"/>
  <c r="N31" i="9" s="1"/>
  <c r="L196" i="9"/>
  <c r="M196" i="9" s="1"/>
  <c r="L197" i="9"/>
  <c r="M197" i="9" s="1"/>
  <c r="L15" i="9"/>
  <c r="M15" i="9" s="1"/>
  <c r="N15" i="9" s="1"/>
  <c r="L150" i="9"/>
  <c r="M150" i="9" s="1"/>
  <c r="L37" i="9"/>
  <c r="M37" i="9" s="1"/>
  <c r="N37" i="9" s="1"/>
  <c r="L198" i="9"/>
  <c r="M198" i="9" s="1"/>
  <c r="L7" i="9"/>
  <c r="M7" i="9" s="1"/>
  <c r="N7" i="9" s="1"/>
  <c r="L199" i="9"/>
  <c r="M199" i="9" s="1"/>
  <c r="L23" i="9"/>
  <c r="M23" i="9" s="1"/>
  <c r="N23" i="9" s="1"/>
  <c r="P151" i="9"/>
  <c r="P152" i="9"/>
  <c r="P153" i="9"/>
  <c r="P102" i="9"/>
  <c r="P154" i="9"/>
  <c r="P155" i="9"/>
  <c r="P156" i="9"/>
  <c r="P157" i="9"/>
  <c r="P158" i="9"/>
  <c r="P159" i="9"/>
  <c r="P160" i="9"/>
  <c r="P161" i="9"/>
  <c r="P162" i="9"/>
  <c r="P138" i="9"/>
  <c r="P163" i="9"/>
  <c r="P164" i="9"/>
  <c r="P103" i="9"/>
  <c r="P104" i="9"/>
  <c r="P105" i="9"/>
  <c r="P106" i="9"/>
  <c r="P165" i="9"/>
  <c r="P166" i="9"/>
  <c r="P107" i="9"/>
  <c r="P167" i="9"/>
  <c r="P168" i="9"/>
  <c r="P169" i="9"/>
  <c r="P170" i="9"/>
  <c r="P188" i="9"/>
  <c r="P171" i="9"/>
  <c r="P172" i="9"/>
  <c r="P173" i="9"/>
  <c r="P73" i="9"/>
  <c r="P174" i="9"/>
  <c r="P175" i="9"/>
  <c r="P176" i="9"/>
  <c r="P177" i="9"/>
  <c r="P108" i="9"/>
  <c r="P56" i="9"/>
  <c r="P57" i="9"/>
  <c r="P178" i="9"/>
  <c r="P109" i="9"/>
  <c r="P179" i="9"/>
  <c r="P180" i="9"/>
  <c r="P90" i="9"/>
  <c r="P92" i="9"/>
  <c r="P99" i="9"/>
  <c r="P110" i="9"/>
  <c r="P72" i="9"/>
  <c r="P140" i="9"/>
  <c r="P63" i="9"/>
  <c r="P66" i="9"/>
  <c r="P64" i="9"/>
  <c r="P111" i="9"/>
  <c r="P93" i="9"/>
  <c r="P91" i="9"/>
  <c r="P75" i="9"/>
  <c r="P97" i="9"/>
  <c r="P70" i="9"/>
  <c r="P83" i="9"/>
  <c r="P50" i="9"/>
  <c r="P89" i="9"/>
  <c r="P81" i="9"/>
  <c r="P60" i="9"/>
  <c r="P148" i="9"/>
  <c r="P86" i="9"/>
  <c r="P62" i="9"/>
  <c r="P51" i="9"/>
  <c r="P142" i="9"/>
  <c r="P59" i="9"/>
  <c r="P80" i="9"/>
  <c r="P55" i="9"/>
  <c r="P74" i="9"/>
  <c r="P76" i="9"/>
  <c r="P71" i="9"/>
  <c r="P79" i="9"/>
  <c r="P112" i="9"/>
  <c r="P84" i="9"/>
  <c r="P100" i="9"/>
  <c r="P54" i="9"/>
  <c r="P48" i="9"/>
  <c r="P113" i="9"/>
  <c r="P52" i="9"/>
  <c r="P181" i="9"/>
  <c r="P114" i="9"/>
  <c r="P82" i="9"/>
  <c r="P115" i="9"/>
  <c r="P68" i="9"/>
  <c r="P67" i="9"/>
  <c r="P182" i="9"/>
  <c r="P116" i="9"/>
  <c r="P117" i="9"/>
  <c r="P183" i="9"/>
  <c r="P118" i="9"/>
  <c r="P149" i="9"/>
  <c r="P61" i="9"/>
  <c r="P184" i="9"/>
  <c r="P119" i="9"/>
  <c r="P65" i="9"/>
  <c r="P120" i="9"/>
  <c r="P94" i="9"/>
  <c r="P121" i="9"/>
  <c r="P185" i="9"/>
  <c r="P96" i="9"/>
  <c r="P122" i="9"/>
  <c r="P123" i="9"/>
  <c r="P186" i="9"/>
  <c r="P143" i="9"/>
  <c r="P85" i="9"/>
  <c r="P124" i="9"/>
  <c r="P125" i="9"/>
  <c r="P126" i="9"/>
  <c r="P127" i="9"/>
  <c r="P128" i="9"/>
  <c r="P129" i="9"/>
  <c r="P144" i="9"/>
  <c r="P130" i="9"/>
  <c r="P77" i="9"/>
  <c r="P95" i="9"/>
  <c r="P145" i="9"/>
  <c r="P141" i="9"/>
  <c r="P53" i="9"/>
  <c r="P49" i="9"/>
  <c r="P58" i="9"/>
  <c r="P139" i="9"/>
  <c r="P88" i="9"/>
  <c r="P98" i="9"/>
  <c r="P69" i="9"/>
  <c r="P131" i="9"/>
  <c r="P187" i="9"/>
  <c r="P132" i="9"/>
  <c r="P133" i="9"/>
  <c r="P87" i="9"/>
  <c r="P134" i="9"/>
  <c r="P78" i="9"/>
  <c r="P135" i="9"/>
  <c r="P136" i="9"/>
  <c r="P146" i="9"/>
  <c r="P147" i="9"/>
  <c r="P137" i="9"/>
  <c r="P189" i="9"/>
  <c r="P190" i="9"/>
  <c r="P191" i="9"/>
  <c r="P192" i="9"/>
  <c r="P193" i="9"/>
  <c r="P194" i="9"/>
  <c r="P195" i="9"/>
  <c r="P196" i="9"/>
  <c r="P197" i="9"/>
  <c r="P150" i="9"/>
  <c r="P198" i="9"/>
  <c r="P199" i="9"/>
  <c r="T118" i="9"/>
  <c r="T149" i="9"/>
  <c r="T184" i="9"/>
  <c r="T119" i="9"/>
  <c r="T65" i="9"/>
  <c r="T120" i="9"/>
  <c r="T94" i="9"/>
  <c r="T121" i="9"/>
  <c r="T185" i="9"/>
  <c r="T96" i="9"/>
  <c r="T122" i="9"/>
  <c r="T123" i="9"/>
  <c r="T186" i="9"/>
  <c r="T143" i="9"/>
  <c r="T85" i="9"/>
  <c r="T124" i="9"/>
  <c r="T125" i="9"/>
  <c r="T126" i="9"/>
  <c r="T127" i="9"/>
  <c r="T128" i="9"/>
  <c r="T129" i="9"/>
  <c r="T144" i="9"/>
  <c r="T130" i="9"/>
  <c r="T77" i="9"/>
  <c r="T95" i="9"/>
  <c r="T145" i="9"/>
  <c r="T141" i="9"/>
  <c r="T53" i="9"/>
  <c r="T49" i="9"/>
  <c r="T58" i="9"/>
  <c r="T139" i="9"/>
  <c r="T88" i="9"/>
  <c r="T98" i="9"/>
  <c r="T69" i="9"/>
  <c r="T131" i="9"/>
  <c r="T187" i="9"/>
  <c r="T132" i="9"/>
  <c r="T133" i="9"/>
  <c r="T87" i="9"/>
  <c r="T134" i="9"/>
  <c r="T78" i="9"/>
  <c r="T135" i="9"/>
  <c r="T136" i="9"/>
  <c r="T146" i="9"/>
  <c r="T147" i="9"/>
  <c r="T137" i="9"/>
  <c r="T8" i="9"/>
  <c r="T45" i="9"/>
  <c r="T36" i="9"/>
  <c r="T43" i="9"/>
  <c r="T10" i="9"/>
  <c r="T20" i="9"/>
  <c r="T189" i="9"/>
  <c r="T32" i="9"/>
  <c r="T22" i="9"/>
  <c r="T35" i="9"/>
  <c r="T44" i="9"/>
  <c r="T46" i="9"/>
  <c r="T47" i="9"/>
  <c r="T30" i="9"/>
  <c r="T24" i="9"/>
  <c r="T190" i="9"/>
  <c r="T18" i="9"/>
  <c r="T21" i="9"/>
  <c r="T11" i="9"/>
  <c r="T28" i="9"/>
  <c r="T13" i="9"/>
  <c r="T29" i="9"/>
  <c r="T191" i="9"/>
  <c r="T192" i="9"/>
  <c r="T34" i="9"/>
  <c r="T41" i="9"/>
  <c r="T193" i="9"/>
  <c r="T194" i="9"/>
  <c r="T12" i="9"/>
  <c r="T9" i="9"/>
  <c r="T26" i="9"/>
  <c r="T19" i="9"/>
  <c r="T27" i="9"/>
  <c r="T42" i="9"/>
  <c r="T16" i="9"/>
  <c r="T14" i="9"/>
  <c r="T40" i="9"/>
  <c r="T39" i="9"/>
  <c r="T195" i="9"/>
  <c r="T33" i="9"/>
  <c r="T17" i="9"/>
  <c r="T38" i="9"/>
  <c r="T31" i="9"/>
  <c r="T196" i="9"/>
  <c r="T197" i="9"/>
  <c r="T15" i="9"/>
  <c r="T150" i="9"/>
  <c r="T37" i="9"/>
  <c r="T25" i="9"/>
  <c r="T198" i="9"/>
  <c r="T7" i="9"/>
  <c r="T151" i="9"/>
  <c r="T152" i="9"/>
  <c r="T153" i="9"/>
  <c r="T102" i="9"/>
  <c r="T154" i="9"/>
  <c r="T155" i="9"/>
  <c r="T156" i="9"/>
  <c r="T157" i="9"/>
  <c r="T158" i="9"/>
  <c r="T159" i="9"/>
  <c r="T160" i="9"/>
  <c r="T161" i="9"/>
  <c r="T162" i="9"/>
  <c r="T138" i="9"/>
  <c r="T163" i="9"/>
  <c r="T164" i="9"/>
  <c r="T103" i="9"/>
  <c r="T104" i="9"/>
  <c r="T105" i="9"/>
  <c r="T106" i="9"/>
  <c r="T165" i="9"/>
  <c r="T166" i="9"/>
  <c r="T107" i="9"/>
  <c r="T167" i="9"/>
  <c r="T168" i="9"/>
  <c r="T169" i="9"/>
  <c r="T170" i="9"/>
  <c r="T188" i="9"/>
  <c r="T171" i="9"/>
  <c r="T172" i="9"/>
  <c r="T173" i="9"/>
  <c r="T73" i="9"/>
  <c r="T174" i="9"/>
  <c r="T175" i="9"/>
  <c r="T176" i="9"/>
  <c r="T177" i="9"/>
  <c r="T108" i="9"/>
  <c r="T56" i="9"/>
  <c r="T57" i="9"/>
  <c r="T178" i="9"/>
  <c r="T109" i="9"/>
  <c r="T179" i="9"/>
  <c r="T180" i="9"/>
  <c r="T90" i="9"/>
  <c r="T92" i="9"/>
  <c r="T99" i="9"/>
  <c r="T110" i="9"/>
  <c r="T72" i="9"/>
  <c r="T140" i="9"/>
  <c r="T63" i="9"/>
  <c r="T66" i="9"/>
  <c r="T64" i="9"/>
  <c r="T111" i="9"/>
  <c r="T93" i="9"/>
  <c r="T91" i="9"/>
  <c r="T75" i="9"/>
  <c r="T97" i="9"/>
  <c r="T70" i="9"/>
  <c r="T83" i="9"/>
  <c r="T50" i="9"/>
  <c r="T89" i="9"/>
  <c r="T81" i="9"/>
  <c r="T60" i="9"/>
  <c r="T148" i="9"/>
  <c r="T86" i="9"/>
  <c r="T62" i="9"/>
  <c r="T51" i="9"/>
  <c r="T142" i="9"/>
  <c r="T59" i="9"/>
  <c r="T80" i="9"/>
  <c r="T55" i="9"/>
  <c r="T74" i="9"/>
  <c r="T76" i="9"/>
  <c r="T71" i="9"/>
  <c r="T79" i="9"/>
  <c r="T112" i="9"/>
  <c r="T84" i="9"/>
  <c r="T100" i="9"/>
  <c r="T54" i="9"/>
  <c r="T48" i="9"/>
  <c r="T113" i="9"/>
  <c r="T52" i="9"/>
  <c r="T181" i="9"/>
  <c r="T114" i="9"/>
  <c r="T82" i="9"/>
  <c r="T115" i="9"/>
  <c r="T68" i="9"/>
  <c r="T67" i="9"/>
  <c r="T182" i="9"/>
  <c r="T116" i="9"/>
  <c r="T117" i="9"/>
  <c r="T183" i="9"/>
  <c r="T61" i="9"/>
  <c r="U151" i="9"/>
  <c r="W151" i="9" s="1"/>
  <c r="U152" i="9"/>
  <c r="W152" i="9" s="1"/>
  <c r="U153" i="9"/>
  <c r="W153" i="9" s="1"/>
  <c r="U102" i="9"/>
  <c r="W102" i="9" s="1"/>
  <c r="U154" i="9"/>
  <c r="W154" i="9" s="1"/>
  <c r="U155" i="9"/>
  <c r="W155" i="9" s="1"/>
  <c r="U156" i="9"/>
  <c r="W156" i="9" s="1"/>
  <c r="U157" i="9"/>
  <c r="W157" i="9" s="1"/>
  <c r="U158" i="9"/>
  <c r="W158" i="9" s="1"/>
  <c r="U159" i="9"/>
  <c r="W159" i="9" s="1"/>
  <c r="U160" i="9"/>
  <c r="W160" i="9" s="1"/>
  <c r="U161" i="9"/>
  <c r="W161" i="9" s="1"/>
  <c r="U162" i="9"/>
  <c r="W162" i="9" s="1"/>
  <c r="U138" i="9"/>
  <c r="W138" i="9" s="1"/>
  <c r="U163" i="9"/>
  <c r="W163" i="9" s="1"/>
  <c r="U164" i="9"/>
  <c r="W164" i="9" s="1"/>
  <c r="U103" i="9"/>
  <c r="W103" i="9" s="1"/>
  <c r="U104" i="9"/>
  <c r="W104" i="9" s="1"/>
  <c r="U105" i="9"/>
  <c r="W105" i="9" s="1"/>
  <c r="U106" i="9"/>
  <c r="W106" i="9" s="1"/>
  <c r="U165" i="9"/>
  <c r="W165" i="9" s="1"/>
  <c r="U166" i="9"/>
  <c r="W166" i="9" s="1"/>
  <c r="U107" i="9"/>
  <c r="W107" i="9" s="1"/>
  <c r="U167" i="9"/>
  <c r="W167" i="9" s="1"/>
  <c r="U168" i="9"/>
  <c r="W168" i="9" s="1"/>
  <c r="U169" i="9"/>
  <c r="W169" i="9" s="1"/>
  <c r="U170" i="9"/>
  <c r="W170" i="9" s="1"/>
  <c r="U188" i="9"/>
  <c r="W188" i="9" s="1"/>
  <c r="U171" i="9"/>
  <c r="W171" i="9" s="1"/>
  <c r="U172" i="9"/>
  <c r="W172" i="9" s="1"/>
  <c r="U173" i="9"/>
  <c r="W173" i="9" s="1"/>
  <c r="U73" i="9"/>
  <c r="W73" i="9" s="1"/>
  <c r="U174" i="9"/>
  <c r="W174" i="9" s="1"/>
  <c r="U175" i="9"/>
  <c r="W175" i="9" s="1"/>
  <c r="U176" i="9"/>
  <c r="W176" i="9" s="1"/>
  <c r="U177" i="9"/>
  <c r="W177" i="9" s="1"/>
  <c r="U108" i="9"/>
  <c r="W108" i="9" s="1"/>
  <c r="U56" i="9"/>
  <c r="W56" i="9" s="1"/>
  <c r="U57" i="9"/>
  <c r="W57" i="9" s="1"/>
  <c r="U178" i="9"/>
  <c r="W178" i="9" s="1"/>
  <c r="U109" i="9"/>
  <c r="W109" i="9" s="1"/>
  <c r="U179" i="9"/>
  <c r="W179" i="9" s="1"/>
  <c r="U180" i="9"/>
  <c r="W180" i="9" s="1"/>
  <c r="U90" i="9"/>
  <c r="W90" i="9" s="1"/>
  <c r="U92" i="9"/>
  <c r="W92" i="9" s="1"/>
  <c r="U99" i="9"/>
  <c r="W99" i="9" s="1"/>
  <c r="U110" i="9"/>
  <c r="W110" i="9" s="1"/>
  <c r="U72" i="9"/>
  <c r="W72" i="9" s="1"/>
  <c r="U140" i="9"/>
  <c r="W140" i="9" s="1"/>
  <c r="U63" i="9"/>
  <c r="W63" i="9" s="1"/>
  <c r="U66" i="9"/>
  <c r="W66" i="9" s="1"/>
  <c r="U64" i="9"/>
  <c r="W64" i="9" s="1"/>
  <c r="U111" i="9"/>
  <c r="W111" i="9" s="1"/>
  <c r="U93" i="9"/>
  <c r="W93" i="9" s="1"/>
  <c r="U91" i="9"/>
  <c r="W91" i="9" s="1"/>
  <c r="U75" i="9"/>
  <c r="W75" i="9" s="1"/>
  <c r="U97" i="9"/>
  <c r="W97" i="9" s="1"/>
  <c r="U70" i="9"/>
  <c r="W70" i="9" s="1"/>
  <c r="U83" i="9"/>
  <c r="W83" i="9" s="1"/>
  <c r="U50" i="9"/>
  <c r="W50" i="9" s="1"/>
  <c r="U89" i="9"/>
  <c r="W89" i="9" s="1"/>
  <c r="U81" i="9"/>
  <c r="W81" i="9" s="1"/>
  <c r="U60" i="9"/>
  <c r="W60" i="9" s="1"/>
  <c r="U148" i="9"/>
  <c r="W148" i="9" s="1"/>
  <c r="U86" i="9"/>
  <c r="W86" i="9" s="1"/>
  <c r="U62" i="9"/>
  <c r="W62" i="9" s="1"/>
  <c r="U51" i="9"/>
  <c r="W51" i="9" s="1"/>
  <c r="U142" i="9"/>
  <c r="W142" i="9" s="1"/>
  <c r="U59" i="9"/>
  <c r="W59" i="9" s="1"/>
  <c r="U80" i="9"/>
  <c r="W80" i="9" s="1"/>
  <c r="U55" i="9"/>
  <c r="W55" i="9" s="1"/>
  <c r="U74" i="9"/>
  <c r="W74" i="9" s="1"/>
  <c r="U76" i="9"/>
  <c r="W76" i="9" s="1"/>
  <c r="U71" i="9"/>
  <c r="W71" i="9" s="1"/>
  <c r="U79" i="9"/>
  <c r="W79" i="9" s="1"/>
  <c r="U112" i="9"/>
  <c r="W112" i="9" s="1"/>
  <c r="U84" i="9"/>
  <c r="W84" i="9" s="1"/>
  <c r="U100" i="9"/>
  <c r="W100" i="9" s="1"/>
  <c r="U54" i="9"/>
  <c r="W54" i="9" s="1"/>
  <c r="U48" i="9"/>
  <c r="W48" i="9" s="1"/>
  <c r="U113" i="9"/>
  <c r="W113" i="9" s="1"/>
  <c r="U52" i="9"/>
  <c r="W52" i="9" s="1"/>
  <c r="U181" i="9"/>
  <c r="W181" i="9" s="1"/>
  <c r="U114" i="9"/>
  <c r="W114" i="9" s="1"/>
  <c r="U82" i="9"/>
  <c r="W82" i="9" s="1"/>
  <c r="U115" i="9"/>
  <c r="W115" i="9" s="1"/>
  <c r="U68" i="9"/>
  <c r="W68" i="9" s="1"/>
  <c r="U67" i="9"/>
  <c r="W67" i="9" s="1"/>
  <c r="U182" i="9"/>
  <c r="W182" i="9" s="1"/>
  <c r="U116" i="9"/>
  <c r="W116" i="9" s="1"/>
  <c r="U117" i="9"/>
  <c r="W117" i="9" s="1"/>
  <c r="U183" i="9"/>
  <c r="W183" i="9" s="1"/>
  <c r="U118" i="9"/>
  <c r="W118" i="9" s="1"/>
  <c r="U149" i="9"/>
  <c r="W149" i="9" s="1"/>
  <c r="U61" i="9"/>
  <c r="W61" i="9" s="1"/>
  <c r="U184" i="9"/>
  <c r="W184" i="9" s="1"/>
  <c r="U119" i="9"/>
  <c r="W119" i="9" s="1"/>
  <c r="U65" i="9"/>
  <c r="W65" i="9" s="1"/>
  <c r="U120" i="9"/>
  <c r="W120" i="9" s="1"/>
  <c r="U94" i="9"/>
  <c r="W94" i="9" s="1"/>
  <c r="U121" i="9"/>
  <c r="W121" i="9" s="1"/>
  <c r="U185" i="9"/>
  <c r="W185" i="9" s="1"/>
  <c r="U96" i="9"/>
  <c r="W96" i="9" s="1"/>
  <c r="U122" i="9"/>
  <c r="W122" i="9" s="1"/>
  <c r="U123" i="9"/>
  <c r="W123" i="9" s="1"/>
  <c r="U186" i="9"/>
  <c r="W186" i="9" s="1"/>
  <c r="U143" i="9"/>
  <c r="W143" i="9" s="1"/>
  <c r="U85" i="9"/>
  <c r="W85" i="9" s="1"/>
  <c r="U124" i="9"/>
  <c r="W124" i="9" s="1"/>
  <c r="U125" i="9"/>
  <c r="W125" i="9" s="1"/>
  <c r="U126" i="9"/>
  <c r="W126" i="9" s="1"/>
  <c r="U127" i="9"/>
  <c r="W127" i="9" s="1"/>
  <c r="U128" i="9"/>
  <c r="U129" i="9"/>
  <c r="W129" i="9" s="1"/>
  <c r="U144" i="9"/>
  <c r="W144" i="9" s="1"/>
  <c r="U130" i="9"/>
  <c r="U77" i="9"/>
  <c r="W77" i="9" s="1"/>
  <c r="U95" i="9"/>
  <c r="W95" i="9" s="1"/>
  <c r="U145" i="9"/>
  <c r="W145" i="9" s="1"/>
  <c r="U141" i="9"/>
  <c r="U53" i="9"/>
  <c r="W53" i="9" s="1"/>
  <c r="U49" i="9"/>
  <c r="W49" i="9" s="1"/>
  <c r="U58" i="9"/>
  <c r="W58" i="9" s="1"/>
  <c r="U139" i="9"/>
  <c r="U88" i="9"/>
  <c r="W88" i="9" s="1"/>
  <c r="U98" i="9"/>
  <c r="W98" i="9" s="1"/>
  <c r="U69" i="9"/>
  <c r="W69" i="9" s="1"/>
  <c r="U131" i="9"/>
  <c r="U187" i="9"/>
  <c r="W187" i="9" s="1"/>
  <c r="U132" i="9"/>
  <c r="W132" i="9" s="1"/>
  <c r="U133" i="9"/>
  <c r="W133" i="9" s="1"/>
  <c r="U87" i="9"/>
  <c r="U134" i="9"/>
  <c r="W134" i="9" s="1"/>
  <c r="U78" i="9"/>
  <c r="W78" i="9" s="1"/>
  <c r="U135" i="9"/>
  <c r="W135" i="9" s="1"/>
  <c r="U136" i="9"/>
  <c r="U146" i="9"/>
  <c r="W146" i="9" s="1"/>
  <c r="U147" i="9"/>
  <c r="W147" i="9" s="1"/>
  <c r="U137" i="9"/>
  <c r="W137" i="9" s="1"/>
  <c r="U8" i="9"/>
  <c r="U45" i="9"/>
  <c r="W45" i="9" s="1"/>
  <c r="U36" i="9"/>
  <c r="W36" i="9" s="1"/>
  <c r="U43" i="9"/>
  <c r="W43" i="9" s="1"/>
  <c r="U10" i="9"/>
  <c r="U20" i="9"/>
  <c r="W20" i="9" s="1"/>
  <c r="U189" i="9"/>
  <c r="W189" i="9" s="1"/>
  <c r="U32" i="9"/>
  <c r="W32" i="9" s="1"/>
  <c r="U22" i="9"/>
  <c r="U35" i="9"/>
  <c r="W35" i="9" s="1"/>
  <c r="U44" i="9"/>
  <c r="W44" i="9" s="1"/>
  <c r="U46" i="9"/>
  <c r="W46" i="9" s="1"/>
  <c r="U47" i="9"/>
  <c r="U30" i="9"/>
  <c r="W30" i="9" s="1"/>
  <c r="U24" i="9"/>
  <c r="W24" i="9" s="1"/>
  <c r="U190" i="9"/>
  <c r="W190" i="9" s="1"/>
  <c r="U18" i="9"/>
  <c r="U21" i="9"/>
  <c r="W21" i="9" s="1"/>
  <c r="U11" i="9"/>
  <c r="W11" i="9" s="1"/>
  <c r="U28" i="9"/>
  <c r="W28" i="9" s="1"/>
  <c r="U13" i="9"/>
  <c r="U29" i="9"/>
  <c r="W29" i="9" s="1"/>
  <c r="U191" i="9"/>
  <c r="W191" i="9" s="1"/>
  <c r="U192" i="9"/>
  <c r="W192" i="9" s="1"/>
  <c r="U34" i="9"/>
  <c r="U41" i="9"/>
  <c r="W41" i="9" s="1"/>
  <c r="U193" i="9"/>
  <c r="W193" i="9" s="1"/>
  <c r="U194" i="9"/>
  <c r="W194" i="9" s="1"/>
  <c r="U12" i="9"/>
  <c r="U9" i="9"/>
  <c r="W9" i="9" s="1"/>
  <c r="U26" i="9"/>
  <c r="W26" i="9" s="1"/>
  <c r="U19" i="9"/>
  <c r="W19" i="9" s="1"/>
  <c r="U27" i="9"/>
  <c r="U42" i="9"/>
  <c r="W42" i="9" s="1"/>
  <c r="U16" i="9"/>
  <c r="W16" i="9" s="1"/>
  <c r="U14" i="9"/>
  <c r="W14" i="9" s="1"/>
  <c r="U40" i="9"/>
  <c r="U39" i="9"/>
  <c r="W39" i="9" s="1"/>
  <c r="U195" i="9"/>
  <c r="W195" i="9" s="1"/>
  <c r="U33" i="9"/>
  <c r="W33" i="9" s="1"/>
  <c r="U17" i="9"/>
  <c r="U38" i="9"/>
  <c r="W38" i="9" s="1"/>
  <c r="U31" i="9"/>
  <c r="W31" i="9" s="1"/>
  <c r="U196" i="9"/>
  <c r="W196" i="9" s="1"/>
  <c r="U197" i="9"/>
  <c r="U15" i="9"/>
  <c r="W15" i="9" s="1"/>
  <c r="U150" i="9"/>
  <c r="W150" i="9" s="1"/>
  <c r="U37" i="9"/>
  <c r="W37" i="9" s="1"/>
  <c r="U25" i="9"/>
  <c r="U198" i="9"/>
  <c r="W198" i="9" s="1"/>
  <c r="U7" i="9"/>
  <c r="W7" i="9" s="1"/>
  <c r="U199" i="9"/>
  <c r="U23" i="9"/>
  <c r="W23" i="9" s="1"/>
  <c r="W128" i="9"/>
  <c r="X151" i="9"/>
  <c r="X152" i="9"/>
  <c r="X153" i="9"/>
  <c r="X102" i="9"/>
  <c r="X154" i="9"/>
  <c r="X155" i="9"/>
  <c r="X156" i="9"/>
  <c r="X157" i="9"/>
  <c r="X158" i="9"/>
  <c r="X159" i="9"/>
  <c r="X160" i="9"/>
  <c r="X161" i="9"/>
  <c r="X162" i="9"/>
  <c r="X138" i="9"/>
  <c r="X163" i="9"/>
  <c r="X164" i="9"/>
  <c r="X103" i="9"/>
  <c r="X104" i="9"/>
  <c r="X105" i="9"/>
  <c r="X106" i="9"/>
  <c r="X165" i="9"/>
  <c r="X166" i="9"/>
  <c r="X107" i="9"/>
  <c r="X167" i="9"/>
  <c r="X168" i="9"/>
  <c r="X169" i="9"/>
  <c r="X170" i="9"/>
  <c r="X188" i="9"/>
  <c r="X171" i="9"/>
  <c r="X172" i="9"/>
  <c r="X173" i="9"/>
  <c r="X73" i="9"/>
  <c r="X174" i="9"/>
  <c r="X175" i="9"/>
  <c r="X176" i="9"/>
  <c r="X177" i="9"/>
  <c r="X108" i="9"/>
  <c r="X56" i="9"/>
  <c r="X57" i="9"/>
  <c r="X178" i="9"/>
  <c r="X109" i="9"/>
  <c r="X179" i="9"/>
  <c r="X180" i="9"/>
  <c r="X90" i="9"/>
  <c r="X92" i="9"/>
  <c r="X99" i="9"/>
  <c r="X110" i="9"/>
  <c r="X72" i="9"/>
  <c r="X140" i="9"/>
  <c r="X63" i="9"/>
  <c r="X66" i="9"/>
  <c r="X64" i="9"/>
  <c r="X111" i="9"/>
  <c r="X93" i="9"/>
  <c r="X91" i="9"/>
  <c r="X75" i="9"/>
  <c r="X97" i="9"/>
  <c r="X70" i="9"/>
  <c r="X83" i="9"/>
  <c r="X50" i="9"/>
  <c r="X89" i="9"/>
  <c r="X81" i="9"/>
  <c r="X60" i="9"/>
  <c r="X148" i="9"/>
  <c r="X86" i="9"/>
  <c r="X62" i="9"/>
  <c r="X51" i="9"/>
  <c r="X142" i="9"/>
  <c r="X59" i="9"/>
  <c r="X80" i="9"/>
  <c r="X55" i="9"/>
  <c r="X74" i="9"/>
  <c r="X76" i="9"/>
  <c r="X71" i="9"/>
  <c r="X79" i="9"/>
  <c r="X112" i="9"/>
  <c r="X84" i="9"/>
  <c r="X100" i="9"/>
  <c r="X54" i="9"/>
  <c r="X48" i="9"/>
  <c r="X113" i="9"/>
  <c r="X52" i="9"/>
  <c r="X181" i="9"/>
  <c r="X114" i="9"/>
  <c r="X82" i="9"/>
  <c r="X115" i="9"/>
  <c r="X68" i="9"/>
  <c r="X67" i="9"/>
  <c r="X182" i="9"/>
  <c r="X116" i="9"/>
  <c r="X117" i="9"/>
  <c r="X183" i="9"/>
  <c r="X118" i="9"/>
  <c r="X149" i="9"/>
  <c r="X61" i="9"/>
  <c r="X184" i="9"/>
  <c r="X119" i="9"/>
  <c r="X65" i="9"/>
  <c r="X120" i="9"/>
  <c r="X94" i="9"/>
  <c r="X121" i="9"/>
  <c r="X185" i="9"/>
  <c r="X96" i="9"/>
  <c r="X122" i="9"/>
  <c r="X123" i="9"/>
  <c r="X186" i="9"/>
  <c r="X143" i="9"/>
  <c r="X85" i="9"/>
  <c r="X124" i="9"/>
  <c r="X125" i="9"/>
  <c r="X126" i="9"/>
  <c r="X127" i="9"/>
  <c r="X128" i="9"/>
  <c r="X129" i="9"/>
  <c r="X144" i="9"/>
  <c r="X130" i="9"/>
  <c r="X77" i="9"/>
  <c r="X95" i="9"/>
  <c r="X145" i="9"/>
  <c r="X141" i="9"/>
  <c r="X53" i="9"/>
  <c r="X49" i="9"/>
  <c r="X58" i="9"/>
  <c r="X139" i="9"/>
  <c r="X88" i="9"/>
  <c r="X98" i="9"/>
  <c r="X69" i="9"/>
  <c r="X131" i="9"/>
  <c r="X187" i="9"/>
  <c r="X132" i="9"/>
  <c r="X133" i="9"/>
  <c r="X87" i="9"/>
  <c r="X134" i="9"/>
  <c r="X78" i="9"/>
  <c r="X135" i="9"/>
  <c r="X136" i="9"/>
  <c r="X146" i="9"/>
  <c r="X147" i="9"/>
  <c r="X137" i="9"/>
  <c r="X8" i="9"/>
  <c r="X45" i="9"/>
  <c r="X36" i="9"/>
  <c r="X43" i="9"/>
  <c r="X10" i="9"/>
  <c r="X20" i="9"/>
  <c r="X189" i="9"/>
  <c r="X32" i="9"/>
  <c r="X22" i="9"/>
  <c r="X35" i="9"/>
  <c r="X44" i="9"/>
  <c r="X46" i="9"/>
  <c r="X47" i="9"/>
  <c r="X30" i="9"/>
  <c r="X24" i="9"/>
  <c r="X190" i="9"/>
  <c r="X18" i="9"/>
  <c r="X21" i="9"/>
  <c r="X11" i="9"/>
  <c r="X28" i="9"/>
  <c r="X13" i="9"/>
  <c r="X29" i="9"/>
  <c r="X191" i="9"/>
  <c r="X192" i="9"/>
  <c r="X34" i="9"/>
  <c r="X41" i="9"/>
  <c r="X193" i="9"/>
  <c r="X194" i="9"/>
  <c r="X12" i="9"/>
  <c r="X9" i="9"/>
  <c r="X26" i="9"/>
  <c r="X19" i="9"/>
  <c r="X27" i="9"/>
  <c r="X42" i="9"/>
  <c r="X16" i="9"/>
  <c r="X14" i="9"/>
  <c r="X40" i="9"/>
  <c r="X39" i="9"/>
  <c r="X195" i="9"/>
  <c r="X33" i="9"/>
  <c r="X17" i="9"/>
  <c r="X38" i="9"/>
  <c r="X31" i="9"/>
  <c r="X196" i="9"/>
  <c r="X197" i="9"/>
  <c r="X15" i="9"/>
  <c r="X150" i="9"/>
  <c r="X37" i="9"/>
  <c r="X25" i="9"/>
  <c r="X198" i="9"/>
  <c r="X7" i="9"/>
  <c r="X199" i="9"/>
  <c r="X23" i="9"/>
  <c r="Y151" i="9"/>
  <c r="Y152" i="9"/>
  <c r="Y153" i="9"/>
  <c r="Y102" i="9"/>
  <c r="Y154" i="9"/>
  <c r="Y155" i="9"/>
  <c r="Y156" i="9"/>
  <c r="Y157" i="9"/>
  <c r="Y158" i="9"/>
  <c r="Y159" i="9"/>
  <c r="Y160" i="9"/>
  <c r="Y161" i="9"/>
  <c r="Z161" i="9" s="1"/>
  <c r="Y162" i="9"/>
  <c r="Z162" i="9" s="1"/>
  <c r="Y138" i="9"/>
  <c r="Z138" i="9" s="1"/>
  <c r="Y163" i="9"/>
  <c r="Z163" i="9" s="1"/>
  <c r="Y164" i="9"/>
  <c r="Z164" i="9" s="1"/>
  <c r="Y103" i="9"/>
  <c r="Z103" i="9" s="1"/>
  <c r="Y104" i="9"/>
  <c r="Z104" i="9" s="1"/>
  <c r="Y105" i="9"/>
  <c r="Z105" i="9" s="1"/>
  <c r="Y106" i="9"/>
  <c r="Y165" i="9"/>
  <c r="Z165" i="9" s="1"/>
  <c r="Y166" i="9"/>
  <c r="Z166" i="9" s="1"/>
  <c r="Y107" i="9"/>
  <c r="Y167" i="9"/>
  <c r="Y168" i="9"/>
  <c r="Z168" i="9" s="1"/>
  <c r="Y169" i="9"/>
  <c r="Y170" i="9"/>
  <c r="Z170" i="9" s="1"/>
  <c r="Y188" i="9"/>
  <c r="Y171" i="9"/>
  <c r="Z171" i="9" s="1"/>
  <c r="Y172" i="9"/>
  <c r="Z172" i="9" s="1"/>
  <c r="Y173" i="9"/>
  <c r="Z173" i="9" s="1"/>
  <c r="Y73" i="9"/>
  <c r="Y174" i="9"/>
  <c r="Z174" i="9" s="1"/>
  <c r="Y175" i="9"/>
  <c r="Y176" i="9"/>
  <c r="Z176" i="9" s="1"/>
  <c r="Y177" i="9"/>
  <c r="Y108" i="9"/>
  <c r="Z108" i="9" s="1"/>
  <c r="Y56" i="9"/>
  <c r="Z56" i="9" s="1"/>
  <c r="Y57" i="9"/>
  <c r="Z57" i="9" s="1"/>
  <c r="Y178" i="9"/>
  <c r="Y109" i="9"/>
  <c r="Y179" i="9"/>
  <c r="Y180" i="9"/>
  <c r="Z180" i="9" s="1"/>
  <c r="Y90" i="9"/>
  <c r="Y92" i="9"/>
  <c r="Z92" i="9" s="1"/>
  <c r="Y99" i="9"/>
  <c r="Z99" i="9" s="1"/>
  <c r="Y110" i="9"/>
  <c r="Z110" i="9" s="1"/>
  <c r="Y72" i="9"/>
  <c r="Y140" i="9"/>
  <c r="Z140" i="9" s="1"/>
  <c r="Y63" i="9"/>
  <c r="Y66" i="9"/>
  <c r="Z66" i="9" s="1"/>
  <c r="Y64" i="9"/>
  <c r="Y111" i="9"/>
  <c r="Z111" i="9" s="1"/>
  <c r="Y93" i="9"/>
  <c r="Z93" i="9" s="1"/>
  <c r="Y91" i="9"/>
  <c r="Z91" i="9" s="1"/>
  <c r="Y75" i="9"/>
  <c r="Y97" i="9"/>
  <c r="Z97" i="9" s="1"/>
  <c r="Y70" i="9"/>
  <c r="Y83" i="9"/>
  <c r="Z83" i="9" s="1"/>
  <c r="Y50" i="9"/>
  <c r="Y89" i="9"/>
  <c r="Z89" i="9" s="1"/>
  <c r="Y81" i="9"/>
  <c r="Y60" i="9"/>
  <c r="Y148" i="9"/>
  <c r="Y86" i="9"/>
  <c r="Z86" i="9" s="1"/>
  <c r="Y62" i="9"/>
  <c r="Y51" i="9"/>
  <c r="Y142" i="9"/>
  <c r="Y59" i="9"/>
  <c r="Z59" i="9" s="1"/>
  <c r="Y80" i="9"/>
  <c r="Y55" i="9"/>
  <c r="Y74" i="9"/>
  <c r="Y76" i="9"/>
  <c r="Z76" i="9" s="1"/>
  <c r="Y71" i="9"/>
  <c r="Y79" i="9"/>
  <c r="Y112" i="9"/>
  <c r="Y84" i="9"/>
  <c r="Z84" i="9" s="1"/>
  <c r="Y100" i="9"/>
  <c r="Y54" i="9"/>
  <c r="Y48" i="9"/>
  <c r="Y113" i="9"/>
  <c r="Z113" i="9" s="1"/>
  <c r="Y52" i="9"/>
  <c r="Y181" i="9"/>
  <c r="Z181" i="9" s="1"/>
  <c r="Y114" i="9"/>
  <c r="Y82" i="9"/>
  <c r="Z82" i="9" s="1"/>
  <c r="Y115" i="9"/>
  <c r="Y68" i="9"/>
  <c r="Z68" i="9" s="1"/>
  <c r="Y67" i="9"/>
  <c r="Y182" i="9"/>
  <c r="Z182" i="9" s="1"/>
  <c r="Y116" i="9"/>
  <c r="Y117" i="9"/>
  <c r="Z117" i="9" s="1"/>
  <c r="Y183" i="9"/>
  <c r="Y118" i="9"/>
  <c r="Y149" i="9"/>
  <c r="Y61" i="9"/>
  <c r="Z61" i="9" s="1"/>
  <c r="Y184" i="9"/>
  <c r="Y119" i="9"/>
  <c r="Y65" i="9"/>
  <c r="Y120" i="9"/>
  <c r="Z120" i="9" s="1"/>
  <c r="Y94" i="9"/>
  <c r="Y121" i="9"/>
  <c r="Y185" i="9"/>
  <c r="Y96" i="9"/>
  <c r="Z96" i="9" s="1"/>
  <c r="Y122" i="9"/>
  <c r="Y123" i="9"/>
  <c r="Y186" i="9"/>
  <c r="Y143" i="9"/>
  <c r="Z143" i="9" s="1"/>
  <c r="Y85" i="9"/>
  <c r="Y124" i="9"/>
  <c r="Y125" i="9"/>
  <c r="Y126" i="9"/>
  <c r="Z126" i="9" s="1"/>
  <c r="Y127" i="9"/>
  <c r="Y128" i="9"/>
  <c r="Y129" i="9"/>
  <c r="Y144" i="9"/>
  <c r="Z144" i="9" s="1"/>
  <c r="Y130" i="9"/>
  <c r="Y77" i="9"/>
  <c r="Y95" i="9"/>
  <c r="Y145" i="9"/>
  <c r="Z145" i="9" s="1"/>
  <c r="Y141" i="9"/>
  <c r="Y53" i="9"/>
  <c r="Y49" i="9"/>
  <c r="Y58" i="9"/>
  <c r="Z58" i="9" s="1"/>
  <c r="Y139" i="9"/>
  <c r="Y88" i="9"/>
  <c r="Y98" i="9"/>
  <c r="Y69" i="9"/>
  <c r="Z69" i="9" s="1"/>
  <c r="Y131" i="9"/>
  <c r="Y187" i="9"/>
  <c r="Z187" i="9" s="1"/>
  <c r="Y132" i="9"/>
  <c r="Y133" i="9"/>
  <c r="Y87" i="9"/>
  <c r="Y134" i="9"/>
  <c r="Z134" i="9" s="1"/>
  <c r="Y78" i="9"/>
  <c r="Y135" i="9"/>
  <c r="Y136" i="9"/>
  <c r="Y146" i="9"/>
  <c r="Z146" i="9" s="1"/>
  <c r="Y147" i="9"/>
  <c r="Y137" i="9"/>
  <c r="Z137" i="9" s="1"/>
  <c r="Y8" i="9"/>
  <c r="Y45" i="9"/>
  <c r="Y36" i="9"/>
  <c r="Y43" i="9"/>
  <c r="Y10" i="9"/>
  <c r="Y20" i="9"/>
  <c r="Z20" i="9" s="1"/>
  <c r="Y189" i="9"/>
  <c r="Y32" i="9"/>
  <c r="Z32" i="9" s="1"/>
  <c r="Y22" i="9"/>
  <c r="Y35" i="9"/>
  <c r="Z35" i="9" s="1"/>
  <c r="Y44" i="9"/>
  <c r="Y46" i="9"/>
  <c r="Z46" i="9" s="1"/>
  <c r="Y47" i="9"/>
  <c r="Y30" i="9"/>
  <c r="Z30" i="9" s="1"/>
  <c r="Y24" i="9"/>
  <c r="Y190" i="9"/>
  <c r="Z190" i="9" s="1"/>
  <c r="Y18" i="9"/>
  <c r="Y21" i="9"/>
  <c r="Z21" i="9" s="1"/>
  <c r="Y11" i="9"/>
  <c r="Y28" i="9"/>
  <c r="Y13" i="9"/>
  <c r="Y29" i="9"/>
  <c r="Z29" i="9" s="1"/>
  <c r="Y191" i="9"/>
  <c r="Y192" i="9"/>
  <c r="Y34" i="9"/>
  <c r="Y41" i="9"/>
  <c r="Y193" i="9"/>
  <c r="Y194" i="9"/>
  <c r="Y12" i="9"/>
  <c r="Y9" i="9"/>
  <c r="Z9" i="9" s="1"/>
  <c r="Y26" i="9"/>
  <c r="Y19" i="9"/>
  <c r="Y27" i="9"/>
  <c r="Y42" i="9"/>
  <c r="Z42" i="9" s="1"/>
  <c r="Y16" i="9"/>
  <c r="Y14" i="9"/>
  <c r="Y40" i="9"/>
  <c r="Y39" i="9"/>
  <c r="Z39" i="9" s="1"/>
  <c r="Y195" i="9"/>
  <c r="Y33" i="9"/>
  <c r="Y17" i="9"/>
  <c r="Y38" i="9"/>
  <c r="Y31" i="9"/>
  <c r="Y196" i="9"/>
  <c r="Y197" i="9"/>
  <c r="Y15" i="9"/>
  <c r="Y150" i="9"/>
  <c r="Y37" i="9"/>
  <c r="Y25" i="9"/>
  <c r="Y198" i="9"/>
  <c r="Y7" i="9"/>
  <c r="Y199" i="9"/>
  <c r="Y23" i="9"/>
  <c r="Z151" i="9"/>
  <c r="Z152" i="9"/>
  <c r="Z153" i="9"/>
  <c r="Z102" i="9"/>
  <c r="Z154" i="9"/>
  <c r="Z155" i="9"/>
  <c r="Z156" i="9"/>
  <c r="Z157" i="9"/>
  <c r="Z158" i="9"/>
  <c r="Y101" i="9"/>
  <c r="X101" i="9"/>
  <c r="U101" i="9"/>
  <c r="P101" i="9"/>
  <c r="L101" i="9"/>
  <c r="M101" i="9" s="1"/>
  <c r="L1" i="9"/>
  <c r="L20" i="8"/>
  <c r="M20" i="8" s="1"/>
  <c r="L129" i="8"/>
  <c r="M129" i="8" s="1"/>
  <c r="N129" i="8" s="1"/>
  <c r="L131" i="8"/>
  <c r="M131" i="8" s="1"/>
  <c r="N131" i="8" s="1"/>
  <c r="L132" i="8"/>
  <c r="M132" i="8" s="1"/>
  <c r="N132" i="8" s="1"/>
  <c r="L133" i="8"/>
  <c r="M133" i="8" s="1"/>
  <c r="N133" i="8" s="1"/>
  <c r="L130" i="8"/>
  <c r="M130" i="8" s="1"/>
  <c r="N130" i="8" s="1"/>
  <c r="L128" i="8"/>
  <c r="M128" i="8" s="1"/>
  <c r="L140" i="8"/>
  <c r="M140" i="8" s="1"/>
  <c r="N140" i="8" s="1"/>
  <c r="L134" i="8"/>
  <c r="M134" i="8" s="1"/>
  <c r="N134" i="8" s="1"/>
  <c r="L135" i="8"/>
  <c r="M135" i="8" s="1"/>
  <c r="N135" i="8" s="1"/>
  <c r="L142" i="8"/>
  <c r="M142" i="8" s="1"/>
  <c r="N142" i="8" s="1"/>
  <c r="L143" i="8"/>
  <c r="M143" i="8" s="1"/>
  <c r="N143" i="8" s="1"/>
  <c r="L146" i="8"/>
  <c r="M146" i="8" s="1"/>
  <c r="N146" i="8" s="1"/>
  <c r="L145" i="8"/>
  <c r="M145" i="8" s="1"/>
  <c r="N145" i="8" s="1"/>
  <c r="L141" i="8"/>
  <c r="M141" i="8" s="1"/>
  <c r="N141" i="8" s="1"/>
  <c r="L144" i="8"/>
  <c r="M144" i="8" s="1"/>
  <c r="N144" i="8" s="1"/>
  <c r="L136" i="8"/>
  <c r="M136" i="8" s="1"/>
  <c r="N136" i="8" s="1"/>
  <c r="L30" i="8"/>
  <c r="M30" i="8" s="1"/>
  <c r="L29" i="8"/>
  <c r="M29" i="8" s="1"/>
  <c r="L31" i="8"/>
  <c r="M31" i="8" s="1"/>
  <c r="L44" i="8"/>
  <c r="M44" i="8" s="1"/>
  <c r="L63" i="8"/>
  <c r="M63" i="8" s="1"/>
  <c r="L11" i="8"/>
  <c r="M11" i="8" s="1"/>
  <c r="L39" i="8"/>
  <c r="M39" i="8" s="1"/>
  <c r="L114" i="8"/>
  <c r="M114" i="8" s="1"/>
  <c r="L101" i="8"/>
  <c r="M101" i="8" s="1"/>
  <c r="M12" i="8"/>
  <c r="L113" i="8"/>
  <c r="M113" i="8" s="1"/>
  <c r="L7" i="8"/>
  <c r="M7" i="8" s="1"/>
  <c r="L45" i="8"/>
  <c r="M45" i="8" s="1"/>
  <c r="L26" i="8"/>
  <c r="M26" i="8" s="1"/>
  <c r="L82" i="8"/>
  <c r="M82" i="8" s="1"/>
  <c r="L71" i="8"/>
  <c r="M71" i="8" s="1"/>
  <c r="L58" i="8"/>
  <c r="M58" i="8" s="1"/>
  <c r="L124" i="8"/>
  <c r="M124" i="8" s="1"/>
  <c r="L25" i="8"/>
  <c r="M25" i="8" s="1"/>
  <c r="L74" i="8"/>
  <c r="M74" i="8" s="1"/>
  <c r="L52" i="8"/>
  <c r="M52" i="8" s="1"/>
  <c r="L54" i="8"/>
  <c r="M54" i="8" s="1"/>
  <c r="L13" i="8"/>
  <c r="M13" i="8" s="1"/>
  <c r="L90" i="8"/>
  <c r="M90" i="8" s="1"/>
  <c r="L43" i="8"/>
  <c r="M43" i="8" s="1"/>
  <c r="L32" i="8"/>
  <c r="M32" i="8" s="1"/>
  <c r="L56" i="8"/>
  <c r="M56" i="8" s="1"/>
  <c r="L75" i="8"/>
  <c r="M75" i="8" s="1"/>
  <c r="L48" i="8"/>
  <c r="M48" i="8" s="1"/>
  <c r="L34" i="8"/>
  <c r="M34" i="8" s="1"/>
  <c r="L38" i="8"/>
  <c r="M38" i="8" s="1"/>
  <c r="L89" i="8"/>
  <c r="M89" i="8" s="1"/>
  <c r="L96" i="8"/>
  <c r="L69" i="8"/>
  <c r="M69" i="8" s="1"/>
  <c r="L50" i="8"/>
  <c r="M50" i="8" s="1"/>
  <c r="L66" i="8"/>
  <c r="M66" i="8" s="1"/>
  <c r="L121" i="8"/>
  <c r="M121" i="8" s="1"/>
  <c r="L93" i="8"/>
  <c r="M93" i="8" s="1"/>
  <c r="L28" i="8"/>
  <c r="M28" i="8" s="1"/>
  <c r="L122" i="8"/>
  <c r="M122" i="8" s="1"/>
  <c r="L105" i="8"/>
  <c r="M105" i="8" s="1"/>
  <c r="L83" i="8"/>
  <c r="M83" i="8" s="1"/>
  <c r="L15" i="8"/>
  <c r="M15" i="8" s="1"/>
  <c r="L51" i="8"/>
  <c r="M51" i="8" s="1"/>
  <c r="L98" i="8"/>
  <c r="M98" i="8" s="1"/>
  <c r="L22" i="8"/>
  <c r="M22" i="8" s="1"/>
  <c r="L107" i="8"/>
  <c r="M107" i="8" s="1"/>
  <c r="L85" i="8"/>
  <c r="M85" i="8" s="1"/>
  <c r="L78" i="8"/>
  <c r="M78" i="8" s="1"/>
  <c r="L70" i="8"/>
  <c r="M70" i="8" s="1"/>
  <c r="L55" i="8"/>
  <c r="M55" i="8" s="1"/>
  <c r="L80" i="8"/>
  <c r="M80" i="8" s="1"/>
  <c r="L77" i="8"/>
  <c r="M77" i="8" s="1"/>
  <c r="L64" i="8"/>
  <c r="M64" i="8" s="1"/>
  <c r="L91" i="8"/>
  <c r="M91" i="8" s="1"/>
  <c r="L111" i="8"/>
  <c r="M111" i="8" s="1"/>
  <c r="L76" i="8"/>
  <c r="M76" i="8" s="1"/>
  <c r="L108" i="8"/>
  <c r="M108" i="8" s="1"/>
  <c r="L106" i="8"/>
  <c r="M106" i="8" s="1"/>
  <c r="L21" i="8"/>
  <c r="M21" i="8" s="1"/>
  <c r="L65" i="8"/>
  <c r="M65" i="8" s="1"/>
  <c r="L8" i="8"/>
  <c r="M8" i="8" s="1"/>
  <c r="L86" i="8"/>
  <c r="M86" i="8" s="1"/>
  <c r="L100" i="8"/>
  <c r="M100" i="8" s="1"/>
  <c r="L59" i="8"/>
  <c r="M59" i="8" s="1"/>
  <c r="L61" i="8"/>
  <c r="M61" i="8" s="1"/>
  <c r="L40" i="8"/>
  <c r="M40" i="8" s="1"/>
  <c r="L49" i="8"/>
  <c r="M49" i="8" s="1"/>
  <c r="L104" i="8"/>
  <c r="M104" i="8" s="1"/>
  <c r="L37" i="8"/>
  <c r="M37" i="8" s="1"/>
  <c r="L60" i="8"/>
  <c r="M60" i="8" s="1"/>
  <c r="L92" i="8"/>
  <c r="M92" i="8" s="1"/>
  <c r="L41" i="8"/>
  <c r="M41" i="8" s="1"/>
  <c r="L68" i="8"/>
  <c r="M68" i="8" s="1"/>
  <c r="L46" i="8"/>
  <c r="M46" i="8" s="1"/>
  <c r="L14" i="8"/>
  <c r="M14" i="8" s="1"/>
  <c r="L73" i="8"/>
  <c r="M73" i="8" s="1"/>
  <c r="L42" i="8"/>
  <c r="M42" i="8" s="1"/>
  <c r="L103" i="8"/>
  <c r="M103" i="8" s="1"/>
  <c r="L88" i="8"/>
  <c r="M88" i="8" s="1"/>
  <c r="L72" i="8"/>
  <c r="M72" i="8" s="1"/>
  <c r="L57" i="8"/>
  <c r="M57" i="8" s="1"/>
  <c r="L19" i="8"/>
  <c r="M19" i="8" s="1"/>
  <c r="L123" i="8"/>
  <c r="M123" i="8" s="1"/>
  <c r="L97" i="8"/>
  <c r="M97" i="8" s="1"/>
  <c r="M17" i="8"/>
  <c r="L84" i="8"/>
  <c r="M84" i="8" s="1"/>
  <c r="L79" i="8"/>
  <c r="M79" i="8" s="1"/>
  <c r="L87" i="8"/>
  <c r="M87" i="8" s="1"/>
  <c r="L53" i="8"/>
  <c r="M53" i="8" s="1"/>
  <c r="L102" i="8"/>
  <c r="M102" i="8" s="1"/>
  <c r="L99" i="8"/>
  <c r="M99" i="8" s="1"/>
  <c r="M18" i="8"/>
  <c r="L95" i="8"/>
  <c r="M95" i="8" s="1"/>
  <c r="L171" i="8"/>
  <c r="M171" i="8" s="1"/>
  <c r="N171" i="8" s="1"/>
  <c r="L170" i="8"/>
  <c r="M170" i="8" s="1"/>
  <c r="N170" i="8" s="1"/>
  <c r="L169" i="8"/>
  <c r="M169" i="8" s="1"/>
  <c r="N169" i="8" s="1"/>
  <c r="L167" i="8"/>
  <c r="M167" i="8" s="1"/>
  <c r="N167" i="8" s="1"/>
  <c r="L168" i="8"/>
  <c r="M168" i="8" s="1"/>
  <c r="N168" i="8" s="1"/>
  <c r="L165" i="8"/>
  <c r="M165" i="8" s="1"/>
  <c r="N165" i="8" s="1"/>
  <c r="L166" i="8"/>
  <c r="M166" i="8" s="1"/>
  <c r="N166" i="8" s="1"/>
  <c r="L148" i="8"/>
  <c r="M148" i="8" s="1"/>
  <c r="N148" i="8" s="1"/>
  <c r="L147" i="8"/>
  <c r="M147" i="8" s="1"/>
  <c r="N147" i="8" s="1"/>
  <c r="L164" i="8"/>
  <c r="M164" i="8" s="1"/>
  <c r="N164" i="8" s="1"/>
  <c r="L163" i="8"/>
  <c r="M163" i="8" s="1"/>
  <c r="N163" i="8" s="1"/>
  <c r="L162" i="8"/>
  <c r="M162" i="8" s="1"/>
  <c r="N162" i="8" s="1"/>
  <c r="L161" i="8"/>
  <c r="M161" i="8" s="1"/>
  <c r="N161" i="8" s="1"/>
  <c r="L160" i="8"/>
  <c r="M160" i="8" s="1"/>
  <c r="N160" i="8" s="1"/>
  <c r="L159" i="8"/>
  <c r="M159" i="8" s="1"/>
  <c r="N159" i="8" s="1"/>
  <c r="L158" i="8"/>
  <c r="M158" i="8" s="1"/>
  <c r="N158" i="8" s="1"/>
  <c r="L157" i="8"/>
  <c r="M157" i="8" s="1"/>
  <c r="N157" i="8" s="1"/>
  <c r="L156" i="8"/>
  <c r="M156" i="8" s="1"/>
  <c r="N156" i="8" s="1"/>
  <c r="L155" i="8"/>
  <c r="M155" i="8" s="1"/>
  <c r="N155" i="8" s="1"/>
  <c r="L112" i="8"/>
  <c r="M112" i="8" s="1"/>
  <c r="L154" i="8"/>
  <c r="M154" i="8" s="1"/>
  <c r="N154" i="8" s="1"/>
  <c r="L153" i="8"/>
  <c r="M153" i="8" s="1"/>
  <c r="N153" i="8" s="1"/>
  <c r="L152" i="8"/>
  <c r="M152" i="8" s="1"/>
  <c r="N152" i="8" s="1"/>
  <c r="L151" i="8"/>
  <c r="M151" i="8" s="1"/>
  <c r="N151" i="8" s="1"/>
  <c r="L150" i="8"/>
  <c r="M150" i="8" s="1"/>
  <c r="N150" i="8" s="1"/>
  <c r="L47" i="8"/>
  <c r="M47" i="8" s="1"/>
  <c r="L149" i="8"/>
  <c r="M149" i="8" s="1"/>
  <c r="N149" i="8" s="1"/>
  <c r="L62" i="8"/>
  <c r="M62" i="8" s="1"/>
  <c r="M24" i="8"/>
  <c r="L36" i="8"/>
  <c r="M36" i="8" s="1"/>
  <c r="L33" i="8"/>
  <c r="M33" i="8" s="1"/>
  <c r="L94" i="8"/>
  <c r="M94" i="8" s="1"/>
  <c r="L23" i="8"/>
  <c r="M23" i="8" s="1"/>
  <c r="L35" i="8"/>
  <c r="M35" i="8" s="1"/>
  <c r="L16" i="8"/>
  <c r="M16" i="8" s="1"/>
  <c r="L67" i="8"/>
  <c r="M67" i="8" s="1"/>
  <c r="L110" i="8"/>
  <c r="L81" i="8"/>
  <c r="M81" i="8" s="1"/>
  <c r="L27" i="8"/>
  <c r="M27" i="8" s="1"/>
  <c r="L109" i="8"/>
  <c r="M109" i="8" s="1"/>
  <c r="L9" i="8"/>
  <c r="M9" i="8" s="1"/>
  <c r="P131" i="8"/>
  <c r="P135" i="8"/>
  <c r="P142" i="8"/>
  <c r="P145" i="8"/>
  <c r="P171" i="8"/>
  <c r="P170" i="8"/>
  <c r="P169" i="8"/>
  <c r="P167" i="8"/>
  <c r="P168" i="8"/>
  <c r="P165" i="8"/>
  <c r="P166" i="8"/>
  <c r="P148" i="8"/>
  <c r="P147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U20" i="8"/>
  <c r="U129" i="8"/>
  <c r="U131" i="8"/>
  <c r="U132" i="8"/>
  <c r="U133" i="8"/>
  <c r="U130" i="8"/>
  <c r="U128" i="8"/>
  <c r="U140" i="8"/>
  <c r="U134" i="8"/>
  <c r="U135" i="8"/>
  <c r="U142" i="8"/>
  <c r="U143" i="8"/>
  <c r="U146" i="8"/>
  <c r="U145" i="8"/>
  <c r="U141" i="8"/>
  <c r="U144" i="8"/>
  <c r="U136" i="8"/>
  <c r="U30" i="8"/>
  <c r="U29" i="8"/>
  <c r="U31" i="8"/>
  <c r="U63" i="8"/>
  <c r="U11" i="8"/>
  <c r="U39" i="8"/>
  <c r="U114" i="8"/>
  <c r="U101" i="8"/>
  <c r="U12" i="8"/>
  <c r="U113" i="8"/>
  <c r="U7" i="8"/>
  <c r="U45" i="8"/>
  <c r="U26" i="8"/>
  <c r="U82" i="8"/>
  <c r="U71" i="8"/>
  <c r="U58" i="8"/>
  <c r="U124" i="8"/>
  <c r="U25" i="8"/>
  <c r="U74" i="8"/>
  <c r="U52" i="8"/>
  <c r="U54" i="8"/>
  <c r="U13" i="8"/>
  <c r="U90" i="8"/>
  <c r="U43" i="8"/>
  <c r="U32" i="8"/>
  <c r="U56" i="8"/>
  <c r="U75" i="8"/>
  <c r="U48" i="8"/>
  <c r="U34" i="8"/>
  <c r="U38" i="8"/>
  <c r="U89" i="8"/>
  <c r="U96" i="8"/>
  <c r="U69" i="8"/>
  <c r="U50" i="8"/>
  <c r="U66" i="8"/>
  <c r="U121" i="8"/>
  <c r="U93" i="8"/>
  <c r="U28" i="8"/>
  <c r="U122" i="8"/>
  <c r="U105" i="8"/>
  <c r="U83" i="8"/>
  <c r="U15" i="8"/>
  <c r="U51" i="8"/>
  <c r="U98" i="8"/>
  <c r="U22" i="8"/>
  <c r="U107" i="8"/>
  <c r="U85" i="8"/>
  <c r="U78" i="8"/>
  <c r="U70" i="8"/>
  <c r="U55" i="8"/>
  <c r="U80" i="8"/>
  <c r="U77" i="8"/>
  <c r="U64" i="8"/>
  <c r="U91" i="8"/>
  <c r="U111" i="8"/>
  <c r="U76" i="8"/>
  <c r="U108" i="8"/>
  <c r="U106" i="8"/>
  <c r="U21" i="8"/>
  <c r="U65" i="8"/>
  <c r="U8" i="8"/>
  <c r="U86" i="8"/>
  <c r="U100" i="8"/>
  <c r="U59" i="8"/>
  <c r="U61" i="8"/>
  <c r="U40" i="8"/>
  <c r="U49" i="8"/>
  <c r="U104" i="8"/>
  <c r="U37" i="8"/>
  <c r="U60" i="8"/>
  <c r="U92" i="8"/>
  <c r="U41" i="8"/>
  <c r="U68" i="8"/>
  <c r="U46" i="8"/>
  <c r="U14" i="8"/>
  <c r="U73" i="8"/>
  <c r="U42" i="8"/>
  <c r="U103" i="8"/>
  <c r="U88" i="8"/>
  <c r="U72" i="8"/>
  <c r="U57" i="8"/>
  <c r="U19" i="8"/>
  <c r="U123" i="8"/>
  <c r="U97" i="8"/>
  <c r="U17" i="8"/>
  <c r="U84" i="8"/>
  <c r="U79" i="8"/>
  <c r="U87" i="8"/>
  <c r="U53" i="8"/>
  <c r="U102" i="8"/>
  <c r="U99" i="8"/>
  <c r="U18" i="8"/>
  <c r="U95" i="8"/>
  <c r="U171" i="8"/>
  <c r="U170" i="8"/>
  <c r="U169" i="8"/>
  <c r="U167" i="8"/>
  <c r="U168" i="8"/>
  <c r="U165" i="8"/>
  <c r="U166" i="8"/>
  <c r="U148" i="8"/>
  <c r="U147" i="8"/>
  <c r="U164" i="8"/>
  <c r="U163" i="8"/>
  <c r="U162" i="8"/>
  <c r="U161" i="8"/>
  <c r="U160" i="8"/>
  <c r="U159" i="8"/>
  <c r="U158" i="8"/>
  <c r="U157" i="8"/>
  <c r="U156" i="8"/>
  <c r="U155" i="8"/>
  <c r="U112" i="8"/>
  <c r="U154" i="8"/>
  <c r="U153" i="8"/>
  <c r="U152" i="8"/>
  <c r="U151" i="8"/>
  <c r="U150" i="8"/>
  <c r="U47" i="8"/>
  <c r="U149" i="8"/>
  <c r="U62" i="8"/>
  <c r="U24" i="8"/>
  <c r="U36" i="8"/>
  <c r="U33" i="8"/>
  <c r="U94" i="8"/>
  <c r="U23" i="8"/>
  <c r="U35" i="8"/>
  <c r="U16" i="8"/>
  <c r="U67" i="8"/>
  <c r="U110" i="8"/>
  <c r="U81" i="8"/>
  <c r="U27" i="8"/>
  <c r="U109" i="8"/>
  <c r="U9" i="8"/>
  <c r="W9" i="8" s="1"/>
  <c r="AE20" i="8"/>
  <c r="AE129" i="8"/>
  <c r="AE132" i="8"/>
  <c r="AE130" i="8"/>
  <c r="AE140" i="8"/>
  <c r="AE134" i="8"/>
  <c r="AE135" i="8"/>
  <c r="AE143" i="8"/>
  <c r="AE146" i="8"/>
  <c r="AE145" i="8"/>
  <c r="AE144" i="8"/>
  <c r="AE136" i="8"/>
  <c r="AE30" i="8"/>
  <c r="AE31" i="8"/>
  <c r="AE44" i="8"/>
  <c r="AE63" i="8"/>
  <c r="AE39" i="8"/>
  <c r="AE114" i="8"/>
  <c r="AE101" i="8"/>
  <c r="AE113" i="8"/>
  <c r="AE7" i="8"/>
  <c r="AE45" i="8"/>
  <c r="AE82" i="8"/>
  <c r="AE71" i="8"/>
  <c r="AE58" i="8"/>
  <c r="AE25" i="8"/>
  <c r="AE74" i="8"/>
  <c r="AE52" i="8"/>
  <c r="AE13" i="8"/>
  <c r="AE90" i="8"/>
  <c r="AE43" i="8"/>
  <c r="AE56" i="8"/>
  <c r="AE75" i="8"/>
  <c r="AE48" i="8"/>
  <c r="AE38" i="8"/>
  <c r="AE89" i="8"/>
  <c r="AE96" i="8"/>
  <c r="AE50" i="8"/>
  <c r="AE66" i="8"/>
  <c r="AE121" i="8"/>
  <c r="AE28" i="8"/>
  <c r="AE122" i="8"/>
  <c r="AE105" i="8"/>
  <c r="AE15" i="8"/>
  <c r="AE51" i="8"/>
  <c r="AE98" i="8"/>
  <c r="AE107" i="8"/>
  <c r="AE85" i="8"/>
  <c r="AE78" i="8"/>
  <c r="AE55" i="8"/>
  <c r="AE80" i="8"/>
  <c r="AE77" i="8"/>
  <c r="AE91" i="8"/>
  <c r="AE111" i="8"/>
  <c r="AE76" i="8"/>
  <c r="AE106" i="8"/>
  <c r="AE21" i="8"/>
  <c r="AE65" i="8"/>
  <c r="AE86" i="8"/>
  <c r="AE100" i="8"/>
  <c r="AE59" i="8"/>
  <c r="AE40" i="8"/>
  <c r="AE49" i="8"/>
  <c r="AE104" i="8"/>
  <c r="AE60" i="8"/>
  <c r="AE92" i="8"/>
  <c r="AE41" i="8"/>
  <c r="AE46" i="8"/>
  <c r="AE14" i="8"/>
  <c r="AE73" i="8"/>
  <c r="AE103" i="8"/>
  <c r="AE88" i="8"/>
  <c r="AE72" i="8"/>
  <c r="AE19" i="8"/>
  <c r="AE123" i="8"/>
  <c r="AE97" i="8"/>
  <c r="AE84" i="8"/>
  <c r="AE79" i="8"/>
  <c r="AE87" i="8"/>
  <c r="AE102" i="8"/>
  <c r="AE99" i="8"/>
  <c r="AE18" i="8"/>
  <c r="AE171" i="8"/>
  <c r="AE170" i="8"/>
  <c r="AE169" i="8"/>
  <c r="AE168" i="8"/>
  <c r="AE165" i="8"/>
  <c r="AE166" i="8"/>
  <c r="AE147" i="8"/>
  <c r="AE164" i="8"/>
  <c r="AE163" i="8"/>
  <c r="AE161" i="8"/>
  <c r="AE160" i="8"/>
  <c r="AE159" i="8"/>
  <c r="AE157" i="8"/>
  <c r="AE156" i="8"/>
  <c r="AE155" i="8"/>
  <c r="AE154" i="8"/>
  <c r="AE153" i="8"/>
  <c r="AE152" i="8"/>
  <c r="AE150" i="8"/>
  <c r="AE47" i="8"/>
  <c r="AE149" i="8"/>
  <c r="AE36" i="8"/>
  <c r="AE110" i="8"/>
  <c r="U10" i="8"/>
  <c r="L10" i="8"/>
  <c r="M10" i="8" s="1"/>
  <c r="L1" i="8"/>
  <c r="M8" i="7"/>
  <c r="N8" i="7" s="1"/>
  <c r="L25" i="7"/>
  <c r="L21" i="7"/>
  <c r="M21" i="7" s="1"/>
  <c r="B21" i="7" s="1"/>
  <c r="L22" i="7"/>
  <c r="L7" i="7"/>
  <c r="L14" i="7"/>
  <c r="M14" i="7" s="1"/>
  <c r="N14" i="7" s="1"/>
  <c r="L16" i="7"/>
  <c r="M16" i="7" s="1"/>
  <c r="N16" i="7" s="1"/>
  <c r="L15" i="7"/>
  <c r="M15" i="7" s="1"/>
  <c r="N15" i="7" s="1"/>
  <c r="L17" i="7"/>
  <c r="M17" i="7" s="1"/>
  <c r="N17" i="7" s="1"/>
  <c r="L13" i="7"/>
  <c r="M13" i="7" s="1"/>
  <c r="N13" i="7" s="1"/>
  <c r="L26" i="7"/>
  <c r="M26" i="7" s="1"/>
  <c r="N26" i="7" s="1"/>
  <c r="L39" i="7"/>
  <c r="M39" i="7" s="1"/>
  <c r="N39" i="7" s="1"/>
  <c r="L19" i="7"/>
  <c r="M19" i="7" s="1"/>
  <c r="N19" i="7" s="1"/>
  <c r="L24" i="7"/>
  <c r="M24" i="7" s="1"/>
  <c r="N24" i="7" s="1"/>
  <c r="L23" i="7"/>
  <c r="M23" i="7" s="1"/>
  <c r="N23" i="7" s="1"/>
  <c r="L30" i="7"/>
  <c r="M30" i="7" s="1"/>
  <c r="N30" i="7" s="1"/>
  <c r="L40" i="7"/>
  <c r="M40" i="7" s="1"/>
  <c r="N40" i="7" s="1"/>
  <c r="L27" i="7"/>
  <c r="M27" i="7" s="1"/>
  <c r="N27" i="7" s="1"/>
  <c r="L38" i="7"/>
  <c r="M38" i="7" s="1"/>
  <c r="N38" i="7" s="1"/>
  <c r="L31" i="7"/>
  <c r="M31" i="7" s="1"/>
  <c r="N31" i="7" s="1"/>
  <c r="L32" i="7"/>
  <c r="M32" i="7" s="1"/>
  <c r="N32" i="7" s="1"/>
  <c r="L33" i="7"/>
  <c r="M33" i="7" s="1"/>
  <c r="N33" i="7" s="1"/>
  <c r="L34" i="7"/>
  <c r="M34" i="7" s="1"/>
  <c r="N34" i="7" s="1"/>
  <c r="L20" i="7"/>
  <c r="M20" i="7" s="1"/>
  <c r="N20" i="7" s="1"/>
  <c r="L28" i="7"/>
  <c r="M28" i="7" s="1"/>
  <c r="N28" i="7" s="1"/>
  <c r="L37" i="7"/>
  <c r="M37" i="7" s="1"/>
  <c r="N37" i="7" s="1"/>
  <c r="L18" i="7"/>
  <c r="M18" i="7" s="1"/>
  <c r="N18" i="7" s="1"/>
  <c r="L41" i="7"/>
  <c r="M41" i="7" s="1"/>
  <c r="N41" i="7" s="1"/>
  <c r="L29" i="7"/>
  <c r="M29" i="7" s="1"/>
  <c r="N29" i="7" s="1"/>
  <c r="L42" i="7"/>
  <c r="M42" i="7" s="1"/>
  <c r="N42" i="7" s="1"/>
  <c r="L35" i="7"/>
  <c r="M35" i="7" s="1"/>
  <c r="N35" i="7" s="1"/>
  <c r="L36" i="7"/>
  <c r="M36" i="7" s="1"/>
  <c r="N36" i="7" s="1"/>
  <c r="P26" i="7"/>
  <c r="P39" i="7"/>
  <c r="P19" i="7"/>
  <c r="P24" i="7"/>
  <c r="P23" i="7"/>
  <c r="P30" i="7"/>
  <c r="P40" i="7"/>
  <c r="P27" i="7"/>
  <c r="P38" i="7"/>
  <c r="P31" i="7"/>
  <c r="P32" i="7"/>
  <c r="P33" i="7"/>
  <c r="P34" i="7"/>
  <c r="P20" i="7"/>
  <c r="P28" i="7"/>
  <c r="P37" i="7"/>
  <c r="P18" i="7"/>
  <c r="P42" i="7"/>
  <c r="P35" i="7"/>
  <c r="P36" i="7"/>
  <c r="U25" i="7"/>
  <c r="U21" i="7"/>
  <c r="U22" i="7"/>
  <c r="U7" i="7"/>
  <c r="U14" i="7"/>
  <c r="U16" i="7"/>
  <c r="U15" i="7"/>
  <c r="U17" i="7"/>
  <c r="U13" i="7"/>
  <c r="U26" i="7"/>
  <c r="U39" i="7"/>
  <c r="U19" i="7"/>
  <c r="U24" i="7"/>
  <c r="U23" i="7"/>
  <c r="U30" i="7"/>
  <c r="U40" i="7"/>
  <c r="U27" i="7"/>
  <c r="U38" i="7"/>
  <c r="U31" i="7"/>
  <c r="U32" i="7"/>
  <c r="U33" i="7"/>
  <c r="U34" i="7"/>
  <c r="U20" i="7"/>
  <c r="U28" i="7"/>
  <c r="U37" i="7"/>
  <c r="U18" i="7"/>
  <c r="U41" i="7"/>
  <c r="U29" i="7"/>
  <c r="U42" i="7"/>
  <c r="U35" i="7"/>
  <c r="U36" i="7"/>
  <c r="X25" i="7"/>
  <c r="X21" i="7"/>
  <c r="X22" i="7"/>
  <c r="X7" i="7"/>
  <c r="X14" i="7"/>
  <c r="X16" i="7"/>
  <c r="X15" i="7"/>
  <c r="X17" i="7"/>
  <c r="X13" i="7"/>
  <c r="X26" i="7"/>
  <c r="X39" i="7"/>
  <c r="X19" i="7"/>
  <c r="X24" i="7"/>
  <c r="X23" i="7"/>
  <c r="X30" i="7"/>
  <c r="X40" i="7"/>
  <c r="X27" i="7"/>
  <c r="X38" i="7"/>
  <c r="X31" i="7"/>
  <c r="X32" i="7"/>
  <c r="X33" i="7"/>
  <c r="X34" i="7"/>
  <c r="X20" i="7"/>
  <c r="X28" i="7"/>
  <c r="X37" i="7"/>
  <c r="X18" i="7"/>
  <c r="X41" i="7"/>
  <c r="X29" i="7"/>
  <c r="X42" i="7"/>
  <c r="X35" i="7"/>
  <c r="X36" i="7"/>
  <c r="Y25" i="7"/>
  <c r="Y22" i="7"/>
  <c r="Y7" i="7"/>
  <c r="Y14" i="7"/>
  <c r="Y16" i="7"/>
  <c r="Y15" i="7"/>
  <c r="Y17" i="7"/>
  <c r="Y13" i="7"/>
  <c r="Y26" i="7"/>
  <c r="Y39" i="7"/>
  <c r="Y19" i="7"/>
  <c r="Y24" i="7"/>
  <c r="Y23" i="7"/>
  <c r="Y30" i="7"/>
  <c r="Y40" i="7"/>
  <c r="Y27" i="7"/>
  <c r="Y38" i="7"/>
  <c r="Y31" i="7"/>
  <c r="Y32" i="7"/>
  <c r="Y33" i="7"/>
  <c r="Y34" i="7"/>
  <c r="Y20" i="7"/>
  <c r="Y28" i="7"/>
  <c r="Y37" i="7"/>
  <c r="Y18" i="7"/>
  <c r="Y41" i="7"/>
  <c r="Y29" i="7"/>
  <c r="Y42" i="7"/>
  <c r="Y35" i="7"/>
  <c r="Y36" i="7"/>
  <c r="Y8" i="7"/>
  <c r="X8" i="7"/>
  <c r="U8" i="7"/>
  <c r="L1" i="7"/>
  <c r="Z110" i="13" l="1"/>
  <c r="Z109" i="13"/>
  <c r="Z38" i="9"/>
  <c r="Z37" i="9"/>
  <c r="Z192" i="9"/>
  <c r="Z41" i="13"/>
  <c r="Z33" i="9"/>
  <c r="P141" i="8"/>
  <c r="Z71" i="15"/>
  <c r="Z68" i="15"/>
  <c r="Z49" i="15"/>
  <c r="Z50" i="15"/>
  <c r="Z78" i="15"/>
  <c r="Z125" i="15"/>
  <c r="Z122" i="15"/>
  <c r="Z96" i="15"/>
  <c r="Z109" i="15"/>
  <c r="Z112" i="15"/>
  <c r="Z145" i="15"/>
  <c r="Z148" i="15"/>
  <c r="Z164" i="15"/>
  <c r="Z146" i="15"/>
  <c r="Z119" i="15"/>
  <c r="Z115" i="15"/>
  <c r="Z171" i="15"/>
  <c r="Z159" i="15"/>
  <c r="Z176" i="15"/>
  <c r="Z166" i="15"/>
  <c r="Z170" i="15"/>
  <c r="Z97" i="15"/>
  <c r="Z132" i="15"/>
  <c r="Z27" i="15"/>
  <c r="Z29" i="15"/>
  <c r="Z53" i="15"/>
  <c r="Z65" i="15"/>
  <c r="Z38" i="15"/>
  <c r="Z35" i="15"/>
  <c r="Z92" i="15"/>
  <c r="Z28" i="15"/>
  <c r="Z25" i="15"/>
  <c r="Z61" i="15"/>
  <c r="Z55" i="15"/>
  <c r="Z131" i="15"/>
  <c r="Z137" i="15"/>
  <c r="Z128" i="15"/>
  <c r="Z141" i="15"/>
  <c r="Z8" i="15"/>
  <c r="Z95" i="15"/>
  <c r="Z11" i="15"/>
  <c r="Z70" i="15"/>
  <c r="Z20" i="15"/>
  <c r="Z77" i="15"/>
  <c r="Z19" i="15"/>
  <c r="Z123" i="15"/>
  <c r="Z179" i="15"/>
  <c r="Z106" i="15"/>
  <c r="Z110" i="15"/>
  <c r="Z113" i="15"/>
  <c r="Z144" i="15"/>
  <c r="Z147" i="15"/>
  <c r="Z152" i="15"/>
  <c r="Z153" i="15"/>
  <c r="Z143" i="15"/>
  <c r="Z173" i="15"/>
  <c r="Z156" i="15"/>
  <c r="Z177" i="15"/>
  <c r="Z167" i="15"/>
  <c r="Z100" i="15"/>
  <c r="Z140" i="15"/>
  <c r="Z47" i="15"/>
  <c r="Z43" i="15"/>
  <c r="Z54" i="15"/>
  <c r="Z88" i="15"/>
  <c r="Z89" i="15"/>
  <c r="Z93" i="15"/>
  <c r="Z32" i="15"/>
  <c r="Z62" i="15"/>
  <c r="Z94" i="15"/>
  <c r="Z56" i="15"/>
  <c r="Z130" i="15"/>
  <c r="Z135" i="15"/>
  <c r="Z127" i="15"/>
  <c r="Z45" i="15"/>
  <c r="Z7" i="15"/>
  <c r="Z42" i="15"/>
  <c r="Z15" i="15"/>
  <c r="Z75" i="13"/>
  <c r="Z75" i="15"/>
  <c r="Z18" i="15"/>
  <c r="Z121" i="15"/>
  <c r="Z124" i="15"/>
  <c r="Z105" i="15"/>
  <c r="Z108" i="15"/>
  <c r="Z111" i="15"/>
  <c r="Z180" i="15"/>
  <c r="Z149" i="15"/>
  <c r="Z151" i="15"/>
  <c r="Z163" i="15"/>
  <c r="Z118" i="15"/>
  <c r="Z116" i="15"/>
  <c r="Z172" i="15"/>
  <c r="Z158" i="15"/>
  <c r="Z175" i="15"/>
  <c r="Z178" i="15"/>
  <c r="Z165" i="15"/>
  <c r="Z104" i="15"/>
  <c r="Z103" i="15"/>
  <c r="Z59" i="15"/>
  <c r="Z66" i="15"/>
  <c r="Z84" i="15"/>
  <c r="Z39" i="15"/>
  <c r="Z86" i="15"/>
  <c r="Z41" i="15"/>
  <c r="Z91" i="15"/>
  <c r="Z31" i="15"/>
  <c r="Z30" i="15"/>
  <c r="Z58" i="15"/>
  <c r="Z60" i="15"/>
  <c r="Z98" i="15"/>
  <c r="Z139" i="15"/>
  <c r="Z133" i="15"/>
  <c r="Z136" i="15"/>
  <c r="Z12" i="15"/>
  <c r="Z36" i="15"/>
  <c r="Z13" i="15"/>
  <c r="Z126" i="15"/>
  <c r="Z169" i="15"/>
  <c r="Z107" i="15"/>
  <c r="Z181" i="15"/>
  <c r="Z114" i="15"/>
  <c r="Z142" i="15"/>
  <c r="Z150" i="15"/>
  <c r="Z162" i="15"/>
  <c r="Z117" i="15"/>
  <c r="Z154" i="15"/>
  <c r="Z161" i="15"/>
  <c r="Z157" i="15"/>
  <c r="Z160" i="15"/>
  <c r="Z174" i="15"/>
  <c r="Z168" i="15"/>
  <c r="Z99" i="15"/>
  <c r="Z101" i="15"/>
  <c r="Z10" i="15"/>
  <c r="Z46" i="15"/>
  <c r="Z63" i="15"/>
  <c r="Z85" i="15"/>
  <c r="Z37" i="15"/>
  <c r="Z87" i="15"/>
  <c r="Z90" i="15"/>
  <c r="Z48" i="15"/>
  <c r="Z26" i="15"/>
  <c r="Z40" i="15"/>
  <c r="Z34" i="15"/>
  <c r="Z57" i="15"/>
  <c r="Z129" i="15"/>
  <c r="Z138" i="15"/>
  <c r="Z134" i="15"/>
  <c r="Z14" i="15"/>
  <c r="Z24" i="15"/>
  <c r="Z22" i="15"/>
  <c r="Z9" i="15"/>
  <c r="P144" i="8"/>
  <c r="P143" i="8"/>
  <c r="P132" i="8"/>
  <c r="P140" i="8"/>
  <c r="P146" i="8"/>
  <c r="P136" i="8"/>
  <c r="P129" i="8"/>
  <c r="P133" i="8"/>
  <c r="P130" i="8"/>
  <c r="P134" i="8"/>
  <c r="N128" i="8"/>
  <c r="P128" i="8"/>
  <c r="N35" i="8"/>
  <c r="B35" i="8"/>
  <c r="N47" i="8"/>
  <c r="B47" i="8"/>
  <c r="N79" i="8"/>
  <c r="B79" i="8"/>
  <c r="N88" i="8"/>
  <c r="B88" i="8"/>
  <c r="N92" i="8"/>
  <c r="B92" i="8"/>
  <c r="N100" i="8"/>
  <c r="B100" i="8"/>
  <c r="N111" i="8"/>
  <c r="B111" i="8"/>
  <c r="N85" i="8"/>
  <c r="B85" i="8"/>
  <c r="N122" i="8"/>
  <c r="B122" i="8"/>
  <c r="N89" i="8"/>
  <c r="B89" i="8"/>
  <c r="N74" i="8"/>
  <c r="B74" i="8"/>
  <c r="N7" i="8"/>
  <c r="B7" i="8"/>
  <c r="N44" i="8"/>
  <c r="B44" i="8"/>
  <c r="N9" i="8"/>
  <c r="B9" i="8"/>
  <c r="N102" i="8"/>
  <c r="B102" i="8"/>
  <c r="N19" i="8"/>
  <c r="B19" i="8"/>
  <c r="N46" i="8"/>
  <c r="B46" i="8"/>
  <c r="N40" i="8"/>
  <c r="B40" i="8"/>
  <c r="N106" i="8"/>
  <c r="B106" i="8"/>
  <c r="N55" i="8"/>
  <c r="B55" i="8"/>
  <c r="N15" i="8"/>
  <c r="B15" i="8"/>
  <c r="N50" i="8"/>
  <c r="B50" i="8"/>
  <c r="N38" i="8"/>
  <c r="B38" i="8"/>
  <c r="N13" i="8"/>
  <c r="B13" i="8"/>
  <c r="N82" i="8"/>
  <c r="B82" i="8"/>
  <c r="N39" i="8"/>
  <c r="B39" i="8"/>
  <c r="N27" i="8"/>
  <c r="B27" i="8"/>
  <c r="N16" i="8"/>
  <c r="B16" i="8"/>
  <c r="N33" i="8"/>
  <c r="B33" i="8"/>
  <c r="N18" i="8"/>
  <c r="B18" i="8"/>
  <c r="N87" i="8"/>
  <c r="B87" i="8"/>
  <c r="N97" i="8"/>
  <c r="B97" i="8"/>
  <c r="N72" i="8"/>
  <c r="B72" i="8"/>
  <c r="N73" i="8"/>
  <c r="B73" i="8"/>
  <c r="N41" i="8"/>
  <c r="B41" i="8"/>
  <c r="N104" i="8"/>
  <c r="B104" i="8"/>
  <c r="N59" i="8"/>
  <c r="B59" i="8"/>
  <c r="N65" i="8"/>
  <c r="B65" i="8"/>
  <c r="N76" i="8"/>
  <c r="B76" i="8"/>
  <c r="N77" i="8"/>
  <c r="B77" i="8"/>
  <c r="N78" i="8"/>
  <c r="B78" i="8"/>
  <c r="N98" i="8"/>
  <c r="B98" i="8"/>
  <c r="N105" i="8"/>
  <c r="B105" i="8"/>
  <c r="N121" i="8"/>
  <c r="B121" i="8"/>
  <c r="N48" i="8"/>
  <c r="B48" i="8"/>
  <c r="N43" i="8"/>
  <c r="B43" i="8"/>
  <c r="N52" i="8"/>
  <c r="B52" i="8"/>
  <c r="N58" i="8"/>
  <c r="B58" i="8"/>
  <c r="N45" i="8"/>
  <c r="B45" i="8"/>
  <c r="N101" i="8"/>
  <c r="B101" i="8"/>
  <c r="N63" i="8"/>
  <c r="B63" i="8"/>
  <c r="N30" i="8"/>
  <c r="B30" i="8"/>
  <c r="N10" i="8"/>
  <c r="B10" i="8"/>
  <c r="N81" i="8"/>
  <c r="B81" i="8"/>
  <c r="N36" i="8"/>
  <c r="B36" i="8"/>
  <c r="N99" i="8"/>
  <c r="B99" i="8"/>
  <c r="N123" i="8"/>
  <c r="B123" i="8"/>
  <c r="N14" i="8"/>
  <c r="B14" i="8"/>
  <c r="N49" i="8"/>
  <c r="B49" i="8"/>
  <c r="N21" i="8"/>
  <c r="B21" i="8"/>
  <c r="N80" i="8"/>
  <c r="B80" i="8"/>
  <c r="N51" i="8"/>
  <c r="B51" i="8"/>
  <c r="N66" i="8"/>
  <c r="B66" i="8"/>
  <c r="N75" i="8"/>
  <c r="B75" i="8"/>
  <c r="N90" i="8"/>
  <c r="B90" i="8"/>
  <c r="N71" i="8"/>
  <c r="B71" i="8"/>
  <c r="N114" i="8"/>
  <c r="B114" i="8"/>
  <c r="N20" i="8"/>
  <c r="B20" i="8"/>
  <c r="N23" i="8"/>
  <c r="B23" i="8"/>
  <c r="N24" i="8"/>
  <c r="B24" i="8"/>
  <c r="N84" i="8"/>
  <c r="B84" i="8"/>
  <c r="N103" i="8"/>
  <c r="B103" i="8"/>
  <c r="N60" i="8"/>
  <c r="B60" i="8"/>
  <c r="N86" i="8"/>
  <c r="B86" i="8"/>
  <c r="N91" i="8"/>
  <c r="B91" i="8"/>
  <c r="N107" i="8"/>
  <c r="B107" i="8"/>
  <c r="N28" i="8"/>
  <c r="B28" i="8"/>
  <c r="N56" i="8"/>
  <c r="B56" i="8"/>
  <c r="N25" i="8"/>
  <c r="B25" i="8"/>
  <c r="N113" i="8"/>
  <c r="B113" i="8"/>
  <c r="N31" i="8"/>
  <c r="B31" i="8"/>
  <c r="N109" i="8"/>
  <c r="B109" i="8"/>
  <c r="N67" i="8"/>
  <c r="B67" i="8"/>
  <c r="N94" i="8"/>
  <c r="B94" i="8"/>
  <c r="N62" i="8"/>
  <c r="B62" i="8"/>
  <c r="N112" i="8"/>
  <c r="B112" i="8"/>
  <c r="N95" i="8"/>
  <c r="B95" i="8"/>
  <c r="N53" i="8"/>
  <c r="B53" i="8"/>
  <c r="N17" i="8"/>
  <c r="B17" i="8"/>
  <c r="N57" i="8"/>
  <c r="B57" i="8"/>
  <c r="N42" i="8"/>
  <c r="B42" i="8"/>
  <c r="N68" i="8"/>
  <c r="B68" i="8"/>
  <c r="N37" i="8"/>
  <c r="B37" i="8"/>
  <c r="N61" i="8"/>
  <c r="B61" i="8"/>
  <c r="N8" i="8"/>
  <c r="B8" i="8"/>
  <c r="N108" i="8"/>
  <c r="B108" i="8"/>
  <c r="N64" i="8"/>
  <c r="B64" i="8"/>
  <c r="N70" i="8"/>
  <c r="B70" i="8"/>
  <c r="N22" i="8"/>
  <c r="B22" i="8"/>
  <c r="N83" i="8"/>
  <c r="B83" i="8"/>
  <c r="N93" i="8"/>
  <c r="B93" i="8"/>
  <c r="N69" i="8"/>
  <c r="B69" i="8"/>
  <c r="N34" i="8"/>
  <c r="B34" i="8"/>
  <c r="N32" i="8"/>
  <c r="B32" i="8"/>
  <c r="N54" i="8"/>
  <c r="B54" i="8"/>
  <c r="N124" i="8"/>
  <c r="B124" i="8"/>
  <c r="N26" i="8"/>
  <c r="B26" i="8"/>
  <c r="N12" i="8"/>
  <c r="B12" i="8"/>
  <c r="N11" i="8"/>
  <c r="B11" i="8"/>
  <c r="N29" i="8"/>
  <c r="B29" i="8"/>
  <c r="Z73" i="15"/>
  <c r="Z72" i="15"/>
  <c r="Z74" i="15"/>
  <c r="Z23" i="15"/>
  <c r="Z76" i="15"/>
  <c r="Z51" i="15"/>
  <c r="Z52" i="15"/>
  <c r="Z44" i="15"/>
  <c r="Z83" i="15"/>
  <c r="Z80" i="15"/>
  <c r="Z17" i="15"/>
  <c r="Z120" i="15"/>
  <c r="Z67" i="15"/>
  <c r="Z33" i="15"/>
  <c r="Z82" i="15"/>
  <c r="Z21" i="15"/>
  <c r="Z79" i="15"/>
  <c r="Z19" i="9"/>
  <c r="Z69" i="15"/>
  <c r="Z15" i="9"/>
  <c r="Z160" i="9"/>
  <c r="Z106" i="9"/>
  <c r="M96" i="8"/>
  <c r="Z41" i="9"/>
  <c r="Z194" i="9"/>
  <c r="Z159" i="9"/>
  <c r="N82" i="13"/>
  <c r="B82" i="13"/>
  <c r="N92" i="13"/>
  <c r="B92" i="13"/>
  <c r="N95" i="13"/>
  <c r="B95" i="13"/>
  <c r="N75" i="13"/>
  <c r="B75" i="13"/>
  <c r="N88" i="13"/>
  <c r="B88" i="13"/>
  <c r="N72" i="13"/>
  <c r="B72" i="13"/>
  <c r="N31" i="13"/>
  <c r="B31" i="13"/>
  <c r="N11" i="13"/>
  <c r="B11" i="13"/>
  <c r="N9" i="13"/>
  <c r="B9" i="13"/>
  <c r="N28" i="13"/>
  <c r="B28" i="13"/>
  <c r="N27" i="13"/>
  <c r="B27" i="13"/>
  <c r="N80" i="13"/>
  <c r="B80" i="13"/>
  <c r="N39" i="13"/>
  <c r="B39" i="13"/>
  <c r="N55" i="13"/>
  <c r="B55" i="13"/>
  <c r="N12" i="13"/>
  <c r="B12" i="13"/>
  <c r="N61" i="13"/>
  <c r="B61" i="13"/>
  <c r="N29" i="13"/>
  <c r="B29" i="13"/>
  <c r="N25" i="13"/>
  <c r="B25" i="13"/>
  <c r="N58" i="13"/>
  <c r="B58" i="13"/>
  <c r="N64" i="13"/>
  <c r="B64" i="13"/>
  <c r="N42" i="13"/>
  <c r="B42" i="13"/>
  <c r="N91" i="13"/>
  <c r="B91" i="13"/>
  <c r="N86" i="13"/>
  <c r="B86" i="13"/>
  <c r="N49" i="13"/>
  <c r="B49" i="13"/>
  <c r="N79" i="13"/>
  <c r="B79" i="13"/>
  <c r="N63" i="13"/>
  <c r="B63" i="13"/>
  <c r="N96" i="13"/>
  <c r="B96" i="13"/>
  <c r="N57" i="13"/>
  <c r="B57" i="13"/>
  <c r="N35" i="13"/>
  <c r="B35" i="13"/>
  <c r="N7" i="13"/>
  <c r="B7" i="13"/>
  <c r="N33" i="13"/>
  <c r="B33" i="13"/>
  <c r="N34" i="13"/>
  <c r="B34" i="13"/>
  <c r="N71" i="13"/>
  <c r="B71" i="13"/>
  <c r="N56" i="13"/>
  <c r="B56" i="13"/>
  <c r="N38" i="13"/>
  <c r="B38" i="13"/>
  <c r="N59" i="13"/>
  <c r="B59" i="13"/>
  <c r="N98" i="13"/>
  <c r="B98" i="13"/>
  <c r="N87" i="13"/>
  <c r="B87" i="13"/>
  <c r="N60" i="13"/>
  <c r="B60" i="13"/>
  <c r="N24" i="13"/>
  <c r="B24" i="13"/>
  <c r="N17" i="13"/>
  <c r="B17" i="13"/>
  <c r="N68" i="13"/>
  <c r="B68" i="13"/>
  <c r="N40" i="13"/>
  <c r="B40" i="13"/>
  <c r="N44" i="13"/>
  <c r="B44" i="13"/>
  <c r="N83" i="13"/>
  <c r="B83" i="13"/>
  <c r="N85" i="13"/>
  <c r="B85" i="13"/>
  <c r="N32" i="13"/>
  <c r="B32" i="13"/>
  <c r="N41" i="13"/>
  <c r="B41" i="13"/>
  <c r="N93" i="13"/>
  <c r="B93" i="13"/>
  <c r="N97" i="13"/>
  <c r="B97" i="13"/>
  <c r="N73" i="13"/>
  <c r="B73" i="13"/>
  <c r="N84" i="13"/>
  <c r="B84" i="13"/>
  <c r="N94" i="13"/>
  <c r="B94" i="13"/>
  <c r="N89" i="13"/>
  <c r="B89" i="13"/>
  <c r="N76" i="13"/>
  <c r="B76" i="13"/>
  <c r="N14" i="13"/>
  <c r="B14" i="13"/>
  <c r="N13" i="13"/>
  <c r="B13" i="13"/>
  <c r="N22" i="13"/>
  <c r="B22" i="13"/>
  <c r="N48" i="13"/>
  <c r="B48" i="13"/>
  <c r="N8" i="13"/>
  <c r="B8" i="13"/>
  <c r="N10" i="13"/>
  <c r="B10" i="13"/>
  <c r="N20" i="13"/>
  <c r="B20" i="13"/>
  <c r="N21" i="13"/>
  <c r="B21" i="13"/>
  <c r="N19" i="13"/>
  <c r="B19" i="13"/>
  <c r="N30" i="13"/>
  <c r="B30" i="13"/>
  <c r="N62" i="13"/>
  <c r="B62" i="13"/>
  <c r="N45" i="13"/>
  <c r="B45" i="13"/>
  <c r="N53" i="13"/>
  <c r="B53" i="13"/>
  <c r="N46" i="13"/>
  <c r="B46" i="13"/>
  <c r="N47" i="13"/>
  <c r="B47" i="13"/>
  <c r="N26" i="13"/>
  <c r="B26" i="13"/>
  <c r="N50" i="13"/>
  <c r="B50" i="13"/>
  <c r="N52" i="13"/>
  <c r="B52" i="13"/>
  <c r="N67" i="13"/>
  <c r="B67" i="13"/>
  <c r="N70" i="13"/>
  <c r="B70" i="13"/>
  <c r="N69" i="13"/>
  <c r="B69" i="13"/>
  <c r="N65" i="13"/>
  <c r="B65" i="13"/>
  <c r="N18" i="13"/>
  <c r="B18" i="13"/>
  <c r="N16" i="13"/>
  <c r="B16" i="13"/>
  <c r="N15" i="13"/>
  <c r="B15" i="13"/>
  <c r="N23" i="13"/>
  <c r="B23" i="13"/>
  <c r="N54" i="13"/>
  <c r="B54" i="13"/>
  <c r="N51" i="13"/>
  <c r="B51" i="13"/>
  <c r="N66" i="13"/>
  <c r="B66" i="13"/>
  <c r="N36" i="13"/>
  <c r="B36" i="13"/>
  <c r="N37" i="13"/>
  <c r="B37" i="13"/>
  <c r="N43" i="13"/>
  <c r="B43" i="13"/>
  <c r="N90" i="13"/>
  <c r="B90" i="13"/>
  <c r="N78" i="13"/>
  <c r="B78" i="13"/>
  <c r="N77" i="13"/>
  <c r="B77" i="13"/>
  <c r="N81" i="13"/>
  <c r="B81" i="13"/>
  <c r="Z198" i="9"/>
  <c r="Z196" i="9"/>
  <c r="N21" i="7"/>
  <c r="P21" i="7"/>
  <c r="B73" i="17"/>
  <c r="N73" i="17"/>
  <c r="B71" i="17"/>
  <c r="N71" i="17"/>
  <c r="B69" i="17"/>
  <c r="N69" i="17"/>
  <c r="B67" i="17"/>
  <c r="N67" i="17"/>
  <c r="B65" i="17"/>
  <c r="N65" i="17"/>
  <c r="B63" i="17"/>
  <c r="N63" i="17"/>
  <c r="B61" i="17"/>
  <c r="N61" i="17"/>
  <c r="B59" i="17"/>
  <c r="N59" i="17"/>
  <c r="B57" i="17"/>
  <c r="N57" i="17"/>
  <c r="B55" i="17"/>
  <c r="N55" i="17"/>
  <c r="B53" i="17"/>
  <c r="N53" i="17"/>
  <c r="B51" i="17"/>
  <c r="N51" i="17"/>
  <c r="B49" i="17"/>
  <c r="N49" i="17"/>
  <c r="B47" i="17"/>
  <c r="N47" i="17"/>
  <c r="B45" i="17"/>
  <c r="N45" i="17"/>
  <c r="B43" i="17"/>
  <c r="N43" i="17"/>
  <c r="B41" i="17"/>
  <c r="N41" i="17"/>
  <c r="B39" i="17"/>
  <c r="N39" i="17"/>
  <c r="B37" i="17"/>
  <c r="N37" i="17"/>
  <c r="B35" i="17"/>
  <c r="N35" i="17"/>
  <c r="B33" i="17"/>
  <c r="N33" i="17"/>
  <c r="B31" i="17"/>
  <c r="N31" i="17"/>
  <c r="B29" i="17"/>
  <c r="N29" i="17"/>
  <c r="B27" i="17"/>
  <c r="N27" i="17"/>
  <c r="B25" i="17"/>
  <c r="N25" i="17"/>
  <c r="B23" i="17"/>
  <c r="N23" i="17"/>
  <c r="B21" i="17"/>
  <c r="N21" i="17"/>
  <c r="B19" i="17"/>
  <c r="N19" i="17"/>
  <c r="B17" i="17"/>
  <c r="N17" i="17"/>
  <c r="B15" i="17"/>
  <c r="N15" i="17"/>
  <c r="B13" i="17"/>
  <c r="N13" i="17"/>
  <c r="B11" i="17"/>
  <c r="N11" i="17"/>
  <c r="B9" i="17"/>
  <c r="N9" i="17"/>
  <c r="B74" i="17"/>
  <c r="N74" i="17"/>
  <c r="B72" i="17"/>
  <c r="N72" i="17"/>
  <c r="B70" i="17"/>
  <c r="N70" i="17"/>
  <c r="B68" i="17"/>
  <c r="N68" i="17"/>
  <c r="B66" i="17"/>
  <c r="N66" i="17"/>
  <c r="B64" i="17"/>
  <c r="N64" i="17"/>
  <c r="B62" i="17"/>
  <c r="N62" i="17"/>
  <c r="B60" i="17"/>
  <c r="N60" i="17"/>
  <c r="B58" i="17"/>
  <c r="N58" i="17"/>
  <c r="B56" i="17"/>
  <c r="N56" i="17"/>
  <c r="B54" i="17"/>
  <c r="N54" i="17"/>
  <c r="B52" i="17"/>
  <c r="N52" i="17"/>
  <c r="B50" i="17"/>
  <c r="N50" i="17"/>
  <c r="B48" i="17"/>
  <c r="N48" i="17"/>
  <c r="B46" i="17"/>
  <c r="N46" i="17"/>
  <c r="B44" i="17"/>
  <c r="N44" i="17"/>
  <c r="B42" i="17"/>
  <c r="N42" i="17"/>
  <c r="B40" i="17"/>
  <c r="N40" i="17"/>
  <c r="B38" i="17"/>
  <c r="N38" i="17"/>
  <c r="B36" i="17"/>
  <c r="N36" i="17"/>
  <c r="B34" i="17"/>
  <c r="N34" i="17"/>
  <c r="B32" i="17"/>
  <c r="N32" i="17"/>
  <c r="B30" i="17"/>
  <c r="N30" i="17"/>
  <c r="B28" i="17"/>
  <c r="N28" i="17"/>
  <c r="B26" i="17"/>
  <c r="N26" i="17"/>
  <c r="B24" i="17"/>
  <c r="N24" i="17"/>
  <c r="B22" i="17"/>
  <c r="N22" i="17"/>
  <c r="B20" i="17"/>
  <c r="N20" i="17"/>
  <c r="B18" i="17"/>
  <c r="N18" i="17"/>
  <c r="B16" i="17"/>
  <c r="N16" i="17"/>
  <c r="B14" i="17"/>
  <c r="N14" i="17"/>
  <c r="B12" i="17"/>
  <c r="N12" i="17"/>
  <c r="B10" i="17"/>
  <c r="N10" i="17"/>
  <c r="B8" i="17"/>
  <c r="N8" i="17"/>
  <c r="B7" i="17"/>
  <c r="B119" i="16"/>
  <c r="N119" i="16"/>
  <c r="B133" i="16"/>
  <c r="N133" i="16"/>
  <c r="B131" i="16"/>
  <c r="N131" i="16"/>
  <c r="B129" i="16"/>
  <c r="N129" i="16"/>
  <c r="B127" i="16"/>
  <c r="N127" i="16"/>
  <c r="B117" i="16"/>
  <c r="N117" i="16"/>
  <c r="B115" i="16"/>
  <c r="N115" i="16"/>
  <c r="B113" i="16"/>
  <c r="N113" i="16"/>
  <c r="B112" i="16"/>
  <c r="N112" i="16"/>
  <c r="B110" i="16"/>
  <c r="N110" i="16"/>
  <c r="B108" i="16"/>
  <c r="N108" i="16"/>
  <c r="B106" i="16"/>
  <c r="N106" i="16"/>
  <c r="B104" i="16"/>
  <c r="N104" i="16"/>
  <c r="B102" i="16"/>
  <c r="N102" i="16"/>
  <c r="B100" i="16"/>
  <c r="N100" i="16"/>
  <c r="B10" i="16"/>
  <c r="N10" i="16"/>
  <c r="B97" i="16"/>
  <c r="N97" i="16"/>
  <c r="B95" i="16"/>
  <c r="N95" i="16"/>
  <c r="B93" i="16"/>
  <c r="N93" i="16"/>
  <c r="B91" i="16"/>
  <c r="N91" i="16"/>
  <c r="B89" i="16"/>
  <c r="N89" i="16"/>
  <c r="B124" i="16"/>
  <c r="N124" i="16"/>
  <c r="B88" i="16"/>
  <c r="N88" i="16"/>
  <c r="B86" i="16"/>
  <c r="N86" i="16"/>
  <c r="B84" i="16"/>
  <c r="N84" i="16"/>
  <c r="B82" i="16"/>
  <c r="N82" i="16"/>
  <c r="B80" i="16"/>
  <c r="N80" i="16"/>
  <c r="B78" i="16"/>
  <c r="N78" i="16"/>
  <c r="B76" i="16"/>
  <c r="N76" i="16"/>
  <c r="B74" i="16"/>
  <c r="N74" i="16"/>
  <c r="B72" i="16"/>
  <c r="N72" i="16"/>
  <c r="B70" i="16"/>
  <c r="N70" i="16"/>
  <c r="B68" i="16"/>
  <c r="N68" i="16"/>
  <c r="B66" i="16"/>
  <c r="N66" i="16"/>
  <c r="B64" i="16"/>
  <c r="N64" i="16"/>
  <c r="B62" i="16"/>
  <c r="N62" i="16"/>
  <c r="B60" i="16"/>
  <c r="N60" i="16"/>
  <c r="B58" i="16"/>
  <c r="N58" i="16"/>
  <c r="B56" i="16"/>
  <c r="N56" i="16"/>
  <c r="B54" i="16"/>
  <c r="N54" i="16"/>
  <c r="B52" i="16"/>
  <c r="N52" i="16"/>
  <c r="B50" i="16"/>
  <c r="N50" i="16"/>
  <c r="B48" i="16"/>
  <c r="N48" i="16"/>
  <c r="B46" i="16"/>
  <c r="N46" i="16"/>
  <c r="B44" i="16"/>
  <c r="N44" i="16"/>
  <c r="B42" i="16"/>
  <c r="N42" i="16"/>
  <c r="B40" i="16"/>
  <c r="N40" i="16"/>
  <c r="B38" i="16"/>
  <c r="N38" i="16"/>
  <c r="B36" i="16"/>
  <c r="N36" i="16"/>
  <c r="B34" i="16"/>
  <c r="N34" i="16"/>
  <c r="B32" i="16"/>
  <c r="N32" i="16"/>
  <c r="B30" i="16"/>
  <c r="N30" i="16"/>
  <c r="B16" i="16"/>
  <c r="N16" i="16"/>
  <c r="B27" i="16"/>
  <c r="N27" i="16"/>
  <c r="B18" i="16"/>
  <c r="N18" i="16"/>
  <c r="B15" i="16"/>
  <c r="N15" i="16"/>
  <c r="B12" i="16"/>
  <c r="N12" i="16"/>
  <c r="B11" i="16"/>
  <c r="N11" i="16"/>
  <c r="B13" i="16"/>
  <c r="N13" i="16"/>
  <c r="B121" i="16"/>
  <c r="N121" i="16"/>
  <c r="B21" i="16"/>
  <c r="N21" i="16"/>
  <c r="B20" i="16"/>
  <c r="N20" i="16"/>
  <c r="B120" i="16"/>
  <c r="N120" i="16"/>
  <c r="B134" i="16"/>
  <c r="N134" i="16"/>
  <c r="B132" i="16"/>
  <c r="N132" i="16"/>
  <c r="B130" i="16"/>
  <c r="N130" i="16"/>
  <c r="B128" i="16"/>
  <c r="N128" i="16"/>
  <c r="B126" i="16"/>
  <c r="N126" i="16"/>
  <c r="B116" i="16"/>
  <c r="N116" i="16"/>
  <c r="B114" i="16"/>
  <c r="N114" i="16"/>
  <c r="B8" i="16"/>
  <c r="N8" i="16"/>
  <c r="B111" i="16"/>
  <c r="N111" i="16"/>
  <c r="B109" i="16"/>
  <c r="N109" i="16"/>
  <c r="B107" i="16"/>
  <c r="N107" i="16"/>
  <c r="B105" i="16"/>
  <c r="N105" i="16"/>
  <c r="B103" i="16"/>
  <c r="N103" i="16"/>
  <c r="B101" i="16"/>
  <c r="N101" i="16"/>
  <c r="B99" i="16"/>
  <c r="N99" i="16"/>
  <c r="B98" i="16"/>
  <c r="N98" i="16"/>
  <c r="B96" i="16"/>
  <c r="N96" i="16"/>
  <c r="B94" i="16"/>
  <c r="N94" i="16"/>
  <c r="B92" i="16"/>
  <c r="N92" i="16"/>
  <c r="B90" i="16"/>
  <c r="N90" i="16"/>
  <c r="B125" i="16"/>
  <c r="N125" i="16"/>
  <c r="B14" i="16"/>
  <c r="N14" i="16"/>
  <c r="B87" i="16"/>
  <c r="N87" i="16"/>
  <c r="B85" i="16"/>
  <c r="N85" i="16"/>
  <c r="B83" i="16"/>
  <c r="N83" i="16"/>
  <c r="B9" i="16"/>
  <c r="N9" i="16"/>
  <c r="B81" i="16"/>
  <c r="N81" i="16"/>
  <c r="B79" i="16"/>
  <c r="N79" i="16"/>
  <c r="B77" i="16"/>
  <c r="N77" i="16"/>
  <c r="B75" i="16"/>
  <c r="N75" i="16"/>
  <c r="B73" i="16"/>
  <c r="N73" i="16"/>
  <c r="B71" i="16"/>
  <c r="N71" i="16"/>
  <c r="B69" i="16"/>
  <c r="N69" i="16"/>
  <c r="B67" i="16"/>
  <c r="N67" i="16"/>
  <c r="B65" i="16"/>
  <c r="N65" i="16"/>
  <c r="B63" i="16"/>
  <c r="N63" i="16"/>
  <c r="B61" i="16"/>
  <c r="N61" i="16"/>
  <c r="B59" i="16"/>
  <c r="N59" i="16"/>
  <c r="B57" i="16"/>
  <c r="N57" i="16"/>
  <c r="B55" i="16"/>
  <c r="N55" i="16"/>
  <c r="B53" i="16"/>
  <c r="N53" i="16"/>
  <c r="B51" i="16"/>
  <c r="N51" i="16"/>
  <c r="B49" i="16"/>
  <c r="N49" i="16"/>
  <c r="B47" i="16"/>
  <c r="N47" i="16"/>
  <c r="B45" i="16"/>
  <c r="N45" i="16"/>
  <c r="B43" i="16"/>
  <c r="N43" i="16"/>
  <c r="B41" i="16"/>
  <c r="N41" i="16"/>
  <c r="B39" i="16"/>
  <c r="N39" i="16"/>
  <c r="B37" i="16"/>
  <c r="N37" i="16"/>
  <c r="B35" i="16"/>
  <c r="N35" i="16"/>
  <c r="B33" i="16"/>
  <c r="N33" i="16"/>
  <c r="B31" i="16"/>
  <c r="N31" i="16"/>
  <c r="B29" i="16"/>
  <c r="N29" i="16"/>
  <c r="B28" i="16"/>
  <c r="N28" i="16"/>
  <c r="B26" i="16"/>
  <c r="N26" i="16"/>
  <c r="B123" i="16"/>
  <c r="N123" i="16"/>
  <c r="B25" i="16"/>
  <c r="N25" i="16"/>
  <c r="B122" i="16"/>
  <c r="N122" i="16"/>
  <c r="B24" i="16"/>
  <c r="N24" i="16"/>
  <c r="B23" i="16"/>
  <c r="N23" i="16"/>
  <c r="B22" i="16"/>
  <c r="N22" i="16"/>
  <c r="B118" i="16"/>
  <c r="N118" i="16"/>
  <c r="B17" i="16"/>
  <c r="N17" i="16"/>
  <c r="B19" i="16"/>
  <c r="N19" i="16"/>
  <c r="B7" i="16"/>
  <c r="B16" i="15"/>
  <c r="N16" i="15"/>
  <c r="B67" i="15"/>
  <c r="N67" i="15"/>
  <c r="B79" i="15"/>
  <c r="N79" i="15"/>
  <c r="B81" i="15"/>
  <c r="N81" i="15"/>
  <c r="B51" i="15"/>
  <c r="N51" i="15"/>
  <c r="B83" i="15"/>
  <c r="N83" i="15"/>
  <c r="B71" i="15"/>
  <c r="N71" i="15"/>
  <c r="B73" i="15"/>
  <c r="N73" i="15"/>
  <c r="B68" i="15"/>
  <c r="N68" i="15"/>
  <c r="B72" i="15"/>
  <c r="N72" i="15"/>
  <c r="B49" i="15"/>
  <c r="N49" i="15"/>
  <c r="B74" i="15"/>
  <c r="N74" i="15"/>
  <c r="B50" i="15"/>
  <c r="N50" i="15"/>
  <c r="B23" i="15"/>
  <c r="N23" i="15"/>
  <c r="B78" i="15"/>
  <c r="N78" i="15"/>
  <c r="B76" i="15"/>
  <c r="N76" i="15"/>
  <c r="B125" i="15"/>
  <c r="N125" i="15"/>
  <c r="B126" i="15"/>
  <c r="N126" i="15"/>
  <c r="B122" i="15"/>
  <c r="N122" i="15"/>
  <c r="B169" i="15"/>
  <c r="N169" i="15"/>
  <c r="B96" i="15"/>
  <c r="N96" i="15"/>
  <c r="B107" i="15"/>
  <c r="N107" i="15"/>
  <c r="B109" i="15"/>
  <c r="N109" i="15"/>
  <c r="B181" i="15"/>
  <c r="N181" i="15"/>
  <c r="B112" i="15"/>
  <c r="N112" i="15"/>
  <c r="B114" i="15"/>
  <c r="N114" i="15"/>
  <c r="B145" i="15"/>
  <c r="N145" i="15"/>
  <c r="B142" i="15"/>
  <c r="N142" i="15"/>
  <c r="B148" i="15"/>
  <c r="N148" i="15"/>
  <c r="B150" i="15"/>
  <c r="N150" i="15"/>
  <c r="B164" i="15"/>
  <c r="N164" i="15"/>
  <c r="B162" i="15"/>
  <c r="N162" i="15"/>
  <c r="B146" i="15"/>
  <c r="N146" i="15"/>
  <c r="B117" i="15"/>
  <c r="N117" i="15"/>
  <c r="B119" i="15"/>
  <c r="N119" i="15"/>
  <c r="B154" i="15"/>
  <c r="N154" i="15"/>
  <c r="B115" i="15"/>
  <c r="N115" i="15"/>
  <c r="B161" i="15"/>
  <c r="N161" i="15"/>
  <c r="B171" i="15"/>
  <c r="N171" i="15"/>
  <c r="B157" i="15"/>
  <c r="N157" i="15"/>
  <c r="B159" i="15"/>
  <c r="N159" i="15"/>
  <c r="B160" i="15"/>
  <c r="N160" i="15"/>
  <c r="B176" i="15"/>
  <c r="N176" i="15"/>
  <c r="B174" i="15"/>
  <c r="N174" i="15"/>
  <c r="B166" i="15"/>
  <c r="N166" i="15"/>
  <c r="B168" i="15"/>
  <c r="N168" i="15"/>
  <c r="B170" i="15"/>
  <c r="N170" i="15"/>
  <c r="B99" i="15"/>
  <c r="N99" i="15"/>
  <c r="B97" i="15"/>
  <c r="N97" i="15"/>
  <c r="B101" i="15"/>
  <c r="N101" i="15"/>
  <c r="B132" i="15"/>
  <c r="N132" i="15"/>
  <c r="B10" i="15"/>
  <c r="N10" i="15"/>
  <c r="B27" i="15"/>
  <c r="N27" i="15"/>
  <c r="B46" i="15"/>
  <c r="N46" i="15"/>
  <c r="B29" i="15"/>
  <c r="N29" i="15"/>
  <c r="B63" i="15"/>
  <c r="N63" i="15"/>
  <c r="B53" i="15"/>
  <c r="N53" i="15"/>
  <c r="B85" i="15"/>
  <c r="N85" i="15"/>
  <c r="B65" i="15"/>
  <c r="N65" i="15"/>
  <c r="B37" i="15"/>
  <c r="N37" i="15"/>
  <c r="B38" i="15"/>
  <c r="N38" i="15"/>
  <c r="B87" i="15"/>
  <c r="N87" i="15"/>
  <c r="B35" i="15"/>
  <c r="N35" i="15"/>
  <c r="B90" i="15"/>
  <c r="N90" i="15"/>
  <c r="B92" i="15"/>
  <c r="N92" i="15"/>
  <c r="B48" i="15"/>
  <c r="N48" i="15"/>
  <c r="B28" i="15"/>
  <c r="N28" i="15"/>
  <c r="B26" i="15"/>
  <c r="N26" i="15"/>
  <c r="B25" i="15"/>
  <c r="N25" i="15"/>
  <c r="B40" i="15"/>
  <c r="N40" i="15"/>
  <c r="B61" i="15"/>
  <c r="N61" i="15"/>
  <c r="B34" i="15"/>
  <c r="N34" i="15"/>
  <c r="B55" i="15"/>
  <c r="N55" i="15"/>
  <c r="B57" i="15"/>
  <c r="N57" i="15"/>
  <c r="B131" i="15"/>
  <c r="N131" i="15"/>
  <c r="B129" i="15"/>
  <c r="N129" i="15"/>
  <c r="B137" i="15"/>
  <c r="N137" i="15"/>
  <c r="B138" i="15"/>
  <c r="N138" i="15"/>
  <c r="B128" i="15"/>
  <c r="N128" i="15"/>
  <c r="B134" i="15"/>
  <c r="N134" i="15"/>
  <c r="B141" i="15"/>
  <c r="N141" i="15"/>
  <c r="B14" i="15"/>
  <c r="N14" i="15"/>
  <c r="B8" i="15"/>
  <c r="N8" i="15"/>
  <c r="B24" i="15"/>
  <c r="N24" i="15"/>
  <c r="B95" i="15"/>
  <c r="N95" i="15"/>
  <c r="B22" i="15"/>
  <c r="N22" i="15"/>
  <c r="B11" i="15"/>
  <c r="N11" i="15"/>
  <c r="B9" i="15"/>
  <c r="N9" i="15"/>
  <c r="B120" i="15"/>
  <c r="N120" i="15"/>
  <c r="B33" i="15"/>
  <c r="N33" i="15"/>
  <c r="B80" i="15"/>
  <c r="N80" i="15"/>
  <c r="B82" i="15"/>
  <c r="N82" i="15"/>
  <c r="B52" i="15"/>
  <c r="N52" i="15"/>
  <c r="B69" i="15"/>
  <c r="N69" i="15"/>
  <c r="B44" i="15"/>
  <c r="N44" i="15"/>
  <c r="B21" i="15"/>
  <c r="N21" i="15"/>
  <c r="B70" i="15"/>
  <c r="N70" i="15"/>
  <c r="B17" i="15"/>
  <c r="N17" i="15"/>
  <c r="B20" i="15"/>
  <c r="N20" i="15"/>
  <c r="B75" i="15"/>
  <c r="N75" i="15"/>
  <c r="B77" i="15"/>
  <c r="N77" i="15"/>
  <c r="B18" i="15"/>
  <c r="N18" i="15"/>
  <c r="B19" i="15"/>
  <c r="N19" i="15"/>
  <c r="B121" i="15"/>
  <c r="N121" i="15"/>
  <c r="B123" i="15"/>
  <c r="N123" i="15"/>
  <c r="B124" i="15"/>
  <c r="N124" i="15"/>
  <c r="B179" i="15"/>
  <c r="N179" i="15"/>
  <c r="B105" i="15"/>
  <c r="N105" i="15"/>
  <c r="B106" i="15"/>
  <c r="N106" i="15"/>
  <c r="B108" i="15"/>
  <c r="N108" i="15"/>
  <c r="B110" i="15"/>
  <c r="N110" i="15"/>
  <c r="B111" i="15"/>
  <c r="N111" i="15"/>
  <c r="B113" i="15"/>
  <c r="N113" i="15"/>
  <c r="B180" i="15"/>
  <c r="N180" i="15"/>
  <c r="B144" i="15"/>
  <c r="N144" i="15"/>
  <c r="B149" i="15"/>
  <c r="N149" i="15"/>
  <c r="B147" i="15"/>
  <c r="N147" i="15"/>
  <c r="B151" i="15"/>
  <c r="N151" i="15"/>
  <c r="B155" i="15"/>
  <c r="N155" i="15"/>
  <c r="B163" i="15"/>
  <c r="N163" i="15"/>
  <c r="B152" i="15"/>
  <c r="N152" i="15"/>
  <c r="B118" i="15"/>
  <c r="N118" i="15"/>
  <c r="B153" i="15"/>
  <c r="N153" i="15"/>
  <c r="B116" i="15"/>
  <c r="N116" i="15"/>
  <c r="B143" i="15"/>
  <c r="N143" i="15"/>
  <c r="B172" i="15"/>
  <c r="N172" i="15"/>
  <c r="B173" i="15"/>
  <c r="N173" i="15"/>
  <c r="B158" i="15"/>
  <c r="N158" i="15"/>
  <c r="B156" i="15"/>
  <c r="N156" i="15"/>
  <c r="B175" i="15"/>
  <c r="N175" i="15"/>
  <c r="B177" i="15"/>
  <c r="N177" i="15"/>
  <c r="B178" i="15"/>
  <c r="N178" i="15"/>
  <c r="B167" i="15"/>
  <c r="N167" i="15"/>
  <c r="B165" i="15"/>
  <c r="N165" i="15"/>
  <c r="B100" i="15"/>
  <c r="N100" i="15"/>
  <c r="B104" i="15"/>
  <c r="N104" i="15"/>
  <c r="B102" i="15"/>
  <c r="N102" i="15"/>
  <c r="B103" i="15"/>
  <c r="N103" i="15"/>
  <c r="B140" i="15"/>
  <c r="N140" i="15"/>
  <c r="B59" i="15"/>
  <c r="N59" i="15"/>
  <c r="B47" i="15"/>
  <c r="N47" i="15"/>
  <c r="B66" i="15"/>
  <c r="N66" i="15"/>
  <c r="B43" i="15"/>
  <c r="N43" i="15"/>
  <c r="B84" i="15"/>
  <c r="N84" i="15"/>
  <c r="B64" i="15"/>
  <c r="N64" i="15"/>
  <c r="B39" i="15"/>
  <c r="N39" i="15"/>
  <c r="B54" i="15"/>
  <c r="N54" i="15"/>
  <c r="B86" i="15"/>
  <c r="N86" i="15"/>
  <c r="B88" i="15"/>
  <c r="N88" i="15"/>
  <c r="B41" i="15"/>
  <c r="N41" i="15"/>
  <c r="B89" i="15"/>
  <c r="N89" i="15"/>
  <c r="B91" i="15"/>
  <c r="N91" i="15"/>
  <c r="B93" i="15"/>
  <c r="N93" i="15"/>
  <c r="B31" i="15"/>
  <c r="N31" i="15"/>
  <c r="B32" i="15"/>
  <c r="N32" i="15"/>
  <c r="B30" i="15"/>
  <c r="N30" i="15"/>
  <c r="B62" i="15"/>
  <c r="N62" i="15"/>
  <c r="B58" i="15"/>
  <c r="N58" i="15"/>
  <c r="B94" i="15"/>
  <c r="N94" i="15"/>
  <c r="B60" i="15"/>
  <c r="N60" i="15"/>
  <c r="B56" i="15"/>
  <c r="N56" i="15"/>
  <c r="B98" i="15"/>
  <c r="N98" i="15"/>
  <c r="B130" i="15"/>
  <c r="N130" i="15"/>
  <c r="B139" i="15"/>
  <c r="N139" i="15"/>
  <c r="B135" i="15"/>
  <c r="N135" i="15"/>
  <c r="B133" i="15"/>
  <c r="N133" i="15"/>
  <c r="B127" i="15"/>
  <c r="N127" i="15"/>
  <c r="B136" i="15"/>
  <c r="N136" i="15"/>
  <c r="B45" i="15"/>
  <c r="N45" i="15"/>
  <c r="B12" i="15"/>
  <c r="N12" i="15"/>
  <c r="B36" i="15"/>
  <c r="N36" i="15"/>
  <c r="B42" i="15"/>
  <c r="N42" i="15"/>
  <c r="B13" i="15"/>
  <c r="N13" i="15"/>
  <c r="B15" i="15"/>
  <c r="N15" i="15"/>
  <c r="B7" i="15"/>
  <c r="B211" i="13"/>
  <c r="N211" i="13"/>
  <c r="B209" i="13"/>
  <c r="N209" i="13"/>
  <c r="B207" i="13"/>
  <c r="N207" i="13"/>
  <c r="B205" i="13"/>
  <c r="N205" i="13"/>
  <c r="B203" i="13"/>
  <c r="N203" i="13"/>
  <c r="B201" i="13"/>
  <c r="N201" i="13"/>
  <c r="B199" i="13"/>
  <c r="N199" i="13"/>
  <c r="B197" i="13"/>
  <c r="N197" i="13"/>
  <c r="B195" i="13"/>
  <c r="N195" i="13"/>
  <c r="B193" i="13"/>
  <c r="N193" i="13"/>
  <c r="B191" i="13"/>
  <c r="N191" i="13"/>
  <c r="B189" i="13"/>
  <c r="N189" i="13"/>
  <c r="B187" i="13"/>
  <c r="N187" i="13"/>
  <c r="B185" i="13"/>
  <c r="N185" i="13"/>
  <c r="B183" i="13"/>
  <c r="N183" i="13"/>
  <c r="B181" i="13"/>
  <c r="N181" i="13"/>
  <c r="B179" i="13"/>
  <c r="N179" i="13"/>
  <c r="B177" i="13"/>
  <c r="N177" i="13"/>
  <c r="B175" i="13"/>
  <c r="N175" i="13"/>
  <c r="B173" i="13"/>
  <c r="N173" i="13"/>
  <c r="B171" i="13"/>
  <c r="N171" i="13"/>
  <c r="B169" i="13"/>
  <c r="N169" i="13"/>
  <c r="B167" i="13"/>
  <c r="N167" i="13"/>
  <c r="B165" i="13"/>
  <c r="N165" i="13"/>
  <c r="B163" i="13"/>
  <c r="N163" i="13"/>
  <c r="B161" i="13"/>
  <c r="N161" i="13"/>
  <c r="B159" i="13"/>
  <c r="N159" i="13"/>
  <c r="B157" i="13"/>
  <c r="N157" i="13"/>
  <c r="B155" i="13"/>
  <c r="N155" i="13"/>
  <c r="B153" i="13"/>
  <c r="N153" i="13"/>
  <c r="B151" i="13"/>
  <c r="N151" i="13"/>
  <c r="B149" i="13"/>
  <c r="N149" i="13"/>
  <c r="B147" i="13"/>
  <c r="N147" i="13"/>
  <c r="B145" i="13"/>
  <c r="N145" i="13"/>
  <c r="B143" i="13"/>
  <c r="N143" i="13"/>
  <c r="B141" i="13"/>
  <c r="N141" i="13"/>
  <c r="B139" i="13"/>
  <c r="N139" i="13"/>
  <c r="B137" i="13"/>
  <c r="N137" i="13"/>
  <c r="B135" i="13"/>
  <c r="N135" i="13"/>
  <c r="B133" i="13"/>
  <c r="N133" i="13"/>
  <c r="B131" i="13"/>
  <c r="N131" i="13"/>
  <c r="B129" i="13"/>
  <c r="N129" i="13"/>
  <c r="B127" i="13"/>
  <c r="N127" i="13"/>
  <c r="B125" i="13"/>
  <c r="N125" i="13"/>
  <c r="B123" i="13"/>
  <c r="N123" i="13"/>
  <c r="B121" i="13"/>
  <c r="N121" i="13"/>
  <c r="B119" i="13"/>
  <c r="N119" i="13"/>
  <c r="B117" i="13"/>
  <c r="N117" i="13"/>
  <c r="B115" i="13"/>
  <c r="N115" i="13"/>
  <c r="B113" i="13"/>
  <c r="N113" i="13"/>
  <c r="B111" i="13"/>
  <c r="N111" i="13"/>
  <c r="B109" i="13"/>
  <c r="N109" i="13"/>
  <c r="B107" i="13"/>
  <c r="N107" i="13"/>
  <c r="B105" i="13"/>
  <c r="N105" i="13"/>
  <c r="B103" i="13"/>
  <c r="N103" i="13"/>
  <c r="B101" i="13"/>
  <c r="N101" i="13"/>
  <c r="B99" i="13"/>
  <c r="N99" i="13"/>
  <c r="B210" i="13"/>
  <c r="N210" i="13"/>
  <c r="B208" i="13"/>
  <c r="N208" i="13"/>
  <c r="B206" i="13"/>
  <c r="N206" i="13"/>
  <c r="B204" i="13"/>
  <c r="N204" i="13"/>
  <c r="B202" i="13"/>
  <c r="N202" i="13"/>
  <c r="B200" i="13"/>
  <c r="N200" i="13"/>
  <c r="B198" i="13"/>
  <c r="N198" i="13"/>
  <c r="B196" i="13"/>
  <c r="N196" i="13"/>
  <c r="B194" i="13"/>
  <c r="N194" i="13"/>
  <c r="B192" i="13"/>
  <c r="N192" i="13"/>
  <c r="B190" i="13"/>
  <c r="N190" i="13"/>
  <c r="B188" i="13"/>
  <c r="N188" i="13"/>
  <c r="B186" i="13"/>
  <c r="N186" i="13"/>
  <c r="B184" i="13"/>
  <c r="N184" i="13"/>
  <c r="B182" i="13"/>
  <c r="N182" i="13"/>
  <c r="B180" i="13"/>
  <c r="N180" i="13"/>
  <c r="B178" i="13"/>
  <c r="N178" i="13"/>
  <c r="B176" i="13"/>
  <c r="N176" i="13"/>
  <c r="B174" i="13"/>
  <c r="N174" i="13"/>
  <c r="B172" i="13"/>
  <c r="N172" i="13"/>
  <c r="B170" i="13"/>
  <c r="N170" i="13"/>
  <c r="B168" i="13"/>
  <c r="N168" i="13"/>
  <c r="B166" i="13"/>
  <c r="N166" i="13"/>
  <c r="B164" i="13"/>
  <c r="N164" i="13"/>
  <c r="B162" i="13"/>
  <c r="N162" i="13"/>
  <c r="B160" i="13"/>
  <c r="N160" i="13"/>
  <c r="B158" i="13"/>
  <c r="N158" i="13"/>
  <c r="B156" i="13"/>
  <c r="N156" i="13"/>
  <c r="B154" i="13"/>
  <c r="N154" i="13"/>
  <c r="B152" i="13"/>
  <c r="N152" i="13"/>
  <c r="B150" i="13"/>
  <c r="N150" i="13"/>
  <c r="B148" i="13"/>
  <c r="N148" i="13"/>
  <c r="B146" i="13"/>
  <c r="N146" i="13"/>
  <c r="B144" i="13"/>
  <c r="N144" i="13"/>
  <c r="B142" i="13"/>
  <c r="N142" i="13"/>
  <c r="B140" i="13"/>
  <c r="N140" i="13"/>
  <c r="B138" i="13"/>
  <c r="N138" i="13"/>
  <c r="B136" i="13"/>
  <c r="N136" i="13"/>
  <c r="B134" i="13"/>
  <c r="N134" i="13"/>
  <c r="B132" i="13"/>
  <c r="N132" i="13"/>
  <c r="B130" i="13"/>
  <c r="N130" i="13"/>
  <c r="B128" i="13"/>
  <c r="N128" i="13"/>
  <c r="B126" i="13"/>
  <c r="N126" i="13"/>
  <c r="B124" i="13"/>
  <c r="N124" i="13"/>
  <c r="B122" i="13"/>
  <c r="N122" i="13"/>
  <c r="B120" i="13"/>
  <c r="N120" i="13"/>
  <c r="B118" i="13"/>
  <c r="N118" i="13"/>
  <c r="B116" i="13"/>
  <c r="N116" i="13"/>
  <c r="B114" i="13"/>
  <c r="N114" i="13"/>
  <c r="B112" i="13"/>
  <c r="N112" i="13"/>
  <c r="B110" i="13"/>
  <c r="N110" i="13"/>
  <c r="B108" i="13"/>
  <c r="N108" i="13"/>
  <c r="B106" i="13"/>
  <c r="N106" i="13"/>
  <c r="B104" i="13"/>
  <c r="N104" i="13"/>
  <c r="B102" i="13"/>
  <c r="N102" i="13"/>
  <c r="B100" i="13"/>
  <c r="N100" i="13"/>
  <c r="B64" i="12"/>
  <c r="N64" i="12"/>
  <c r="B38" i="12"/>
  <c r="N38" i="12"/>
  <c r="B29" i="12"/>
  <c r="N29" i="12"/>
  <c r="B30" i="12"/>
  <c r="N30" i="12"/>
  <c r="B23" i="12"/>
  <c r="N23" i="12"/>
  <c r="B20" i="12"/>
  <c r="N20" i="12"/>
  <c r="B32" i="12"/>
  <c r="N32" i="12"/>
  <c r="B51" i="12"/>
  <c r="N51" i="12"/>
  <c r="B46" i="12"/>
  <c r="N46" i="12"/>
  <c r="B47" i="12"/>
  <c r="N47" i="12"/>
  <c r="B17" i="12"/>
  <c r="N17" i="12"/>
  <c r="B36" i="12"/>
  <c r="N36" i="12"/>
  <c r="B34" i="12"/>
  <c r="N34" i="12"/>
  <c r="B52" i="12"/>
  <c r="N52" i="12"/>
  <c r="B14" i="12"/>
  <c r="N14" i="12"/>
  <c r="B33" i="12"/>
  <c r="N33" i="12"/>
  <c r="B45" i="12"/>
  <c r="N45" i="12"/>
  <c r="B43" i="12"/>
  <c r="N43" i="12"/>
  <c r="B27" i="12"/>
  <c r="N27" i="12"/>
  <c r="B31" i="12"/>
  <c r="N31" i="12"/>
  <c r="B24" i="12"/>
  <c r="N24" i="12"/>
  <c r="B58" i="12"/>
  <c r="N58" i="12"/>
  <c r="B63" i="12"/>
  <c r="N63" i="12"/>
  <c r="B44" i="12"/>
  <c r="N44" i="12"/>
  <c r="B66" i="12"/>
  <c r="N66" i="12"/>
  <c r="B65" i="12"/>
  <c r="N65" i="12"/>
  <c r="B62" i="12"/>
  <c r="N62" i="12"/>
  <c r="B37" i="12"/>
  <c r="N37" i="12"/>
  <c r="B41" i="12"/>
  <c r="N41" i="12"/>
  <c r="B40" i="12"/>
  <c r="N40" i="12"/>
  <c r="B21" i="12"/>
  <c r="N21" i="12"/>
  <c r="B22" i="12"/>
  <c r="N22" i="12"/>
  <c r="B18" i="12"/>
  <c r="N18" i="12"/>
  <c r="B19" i="12"/>
  <c r="N19" i="12"/>
  <c r="B49" i="12"/>
  <c r="N49" i="12"/>
  <c r="B50" i="12"/>
  <c r="N50" i="12"/>
  <c r="B48" i="12"/>
  <c r="N48" i="12"/>
  <c r="B35" i="12"/>
  <c r="N35" i="12"/>
  <c r="B39" i="12"/>
  <c r="N39" i="12"/>
  <c r="B16" i="12"/>
  <c r="N16" i="12"/>
  <c r="B15" i="12"/>
  <c r="N15" i="12"/>
  <c r="B26" i="12"/>
  <c r="N26" i="12"/>
  <c r="B53" i="12"/>
  <c r="N53" i="12"/>
  <c r="B56" i="12"/>
  <c r="N56" i="12"/>
  <c r="B54" i="12"/>
  <c r="N54" i="12"/>
  <c r="B55" i="12"/>
  <c r="N55" i="12"/>
  <c r="B28" i="12"/>
  <c r="N28" i="12"/>
  <c r="B57" i="12"/>
  <c r="N57" i="12"/>
  <c r="B60" i="12"/>
  <c r="N60" i="12"/>
  <c r="B13" i="12"/>
  <c r="N13" i="12"/>
  <c r="B59" i="12"/>
  <c r="N59" i="12"/>
  <c r="B25" i="12"/>
  <c r="N25" i="12"/>
  <c r="B42" i="12"/>
  <c r="N42" i="12"/>
  <c r="B61" i="12"/>
  <c r="N61" i="12"/>
  <c r="B51" i="11"/>
  <c r="N51" i="11"/>
  <c r="B43" i="11"/>
  <c r="N43" i="11"/>
  <c r="B55" i="11"/>
  <c r="N55" i="11"/>
  <c r="B64" i="11"/>
  <c r="N64" i="11"/>
  <c r="B44" i="11"/>
  <c r="N44" i="11"/>
  <c r="B80" i="11"/>
  <c r="N80" i="11"/>
  <c r="B78" i="11"/>
  <c r="N78" i="11"/>
  <c r="B76" i="11"/>
  <c r="N76" i="11"/>
  <c r="B68" i="11"/>
  <c r="N68" i="11"/>
  <c r="B74" i="11"/>
  <c r="N74" i="11"/>
  <c r="B61" i="11"/>
  <c r="N61" i="11"/>
  <c r="B50" i="11"/>
  <c r="N50" i="11"/>
  <c r="B72" i="11"/>
  <c r="N72" i="11"/>
  <c r="B70" i="11"/>
  <c r="N70" i="11"/>
  <c r="B53" i="11"/>
  <c r="N53" i="11"/>
  <c r="B66" i="11"/>
  <c r="N66" i="11"/>
  <c r="B45" i="11"/>
  <c r="N45" i="11"/>
  <c r="B54" i="11"/>
  <c r="N54" i="11"/>
  <c r="B58" i="11"/>
  <c r="N58" i="11"/>
  <c r="B49" i="11"/>
  <c r="N49" i="11"/>
  <c r="B57" i="11"/>
  <c r="N57" i="11"/>
  <c r="B46" i="11"/>
  <c r="N46" i="11"/>
  <c r="B63" i="11"/>
  <c r="N63" i="11"/>
  <c r="B60" i="11"/>
  <c r="N60" i="11"/>
  <c r="B79" i="11"/>
  <c r="N79" i="11"/>
  <c r="B77" i="11"/>
  <c r="N77" i="11"/>
  <c r="B75" i="11"/>
  <c r="N75" i="11"/>
  <c r="B67" i="11"/>
  <c r="N67" i="11"/>
  <c r="B56" i="11"/>
  <c r="N56" i="11"/>
  <c r="B62" i="11"/>
  <c r="N62" i="11"/>
  <c r="B73" i="11"/>
  <c r="N73" i="11"/>
  <c r="B71" i="11"/>
  <c r="N71" i="11"/>
  <c r="B69" i="11"/>
  <c r="N69" i="11"/>
  <c r="B65" i="11"/>
  <c r="N65" i="11"/>
  <c r="B47" i="11"/>
  <c r="N47" i="11"/>
  <c r="B48" i="11"/>
  <c r="N48" i="11"/>
  <c r="B59" i="11"/>
  <c r="N59" i="11"/>
  <c r="B52" i="11"/>
  <c r="N52" i="11"/>
  <c r="B109" i="10"/>
  <c r="N109" i="10"/>
  <c r="B110" i="10"/>
  <c r="N110" i="10"/>
  <c r="B108" i="10"/>
  <c r="N108" i="10"/>
  <c r="B101" i="9"/>
  <c r="N101" i="9"/>
  <c r="B196" i="9"/>
  <c r="N196" i="9"/>
  <c r="B194" i="9"/>
  <c r="N194" i="9"/>
  <c r="B192" i="9"/>
  <c r="N192" i="9"/>
  <c r="B190" i="9"/>
  <c r="N190" i="9"/>
  <c r="B137" i="9"/>
  <c r="N137" i="9"/>
  <c r="B146" i="9"/>
  <c r="N146" i="9"/>
  <c r="B135" i="9"/>
  <c r="N135" i="9"/>
  <c r="B134" i="9"/>
  <c r="N134" i="9"/>
  <c r="B133" i="9"/>
  <c r="N133" i="9"/>
  <c r="B187" i="9"/>
  <c r="N187" i="9"/>
  <c r="B69" i="9"/>
  <c r="N69" i="9"/>
  <c r="B88" i="9"/>
  <c r="N88" i="9"/>
  <c r="B58" i="9"/>
  <c r="N58" i="9"/>
  <c r="B53" i="9"/>
  <c r="N53" i="9"/>
  <c r="B145" i="9"/>
  <c r="N145" i="9"/>
  <c r="B77" i="9"/>
  <c r="N77" i="9"/>
  <c r="B144" i="9"/>
  <c r="N144" i="9"/>
  <c r="B128" i="9"/>
  <c r="N128" i="9"/>
  <c r="B126" i="9"/>
  <c r="N126" i="9"/>
  <c r="B124" i="9"/>
  <c r="N124" i="9"/>
  <c r="B143" i="9"/>
  <c r="N143" i="9"/>
  <c r="B123" i="9"/>
  <c r="N123" i="9"/>
  <c r="B96" i="9"/>
  <c r="N96" i="9"/>
  <c r="B121" i="9"/>
  <c r="N121" i="9"/>
  <c r="B120" i="9"/>
  <c r="N120" i="9"/>
  <c r="B119" i="9"/>
  <c r="N119" i="9"/>
  <c r="B61" i="9"/>
  <c r="N61" i="9"/>
  <c r="B118" i="9"/>
  <c r="N118" i="9"/>
  <c r="B117" i="9"/>
  <c r="N117" i="9"/>
  <c r="B182" i="9"/>
  <c r="N182" i="9"/>
  <c r="B68" i="9"/>
  <c r="N68" i="9"/>
  <c r="B82" i="9"/>
  <c r="N82" i="9"/>
  <c r="B181" i="9"/>
  <c r="N181" i="9"/>
  <c r="B113" i="9"/>
  <c r="N113" i="9"/>
  <c r="B54" i="9"/>
  <c r="N54" i="9"/>
  <c r="B84" i="9"/>
  <c r="N84" i="9"/>
  <c r="B79" i="9"/>
  <c r="N79" i="9"/>
  <c r="B76" i="9"/>
  <c r="N76" i="9"/>
  <c r="B55" i="9"/>
  <c r="N55" i="9"/>
  <c r="B59" i="9"/>
  <c r="N59" i="9"/>
  <c r="B51" i="9"/>
  <c r="N51" i="9"/>
  <c r="B86" i="9"/>
  <c r="N86" i="9"/>
  <c r="B60" i="9"/>
  <c r="N60" i="9"/>
  <c r="B89" i="9"/>
  <c r="N89" i="9"/>
  <c r="B83" i="9"/>
  <c r="N83" i="9"/>
  <c r="B97" i="9"/>
  <c r="N97" i="9"/>
  <c r="B91" i="9"/>
  <c r="N91" i="9"/>
  <c r="B111" i="9"/>
  <c r="N111" i="9"/>
  <c r="B66" i="9"/>
  <c r="N66" i="9"/>
  <c r="B140" i="9"/>
  <c r="N140" i="9"/>
  <c r="B110" i="9"/>
  <c r="N110" i="9"/>
  <c r="B92" i="9"/>
  <c r="N92" i="9"/>
  <c r="B180" i="9"/>
  <c r="N180" i="9"/>
  <c r="B109" i="9"/>
  <c r="N109" i="9"/>
  <c r="B57" i="9"/>
  <c r="N57" i="9"/>
  <c r="B108" i="9"/>
  <c r="N108" i="9"/>
  <c r="B176" i="9"/>
  <c r="N176" i="9"/>
  <c r="B174" i="9"/>
  <c r="N174" i="9"/>
  <c r="B173" i="9"/>
  <c r="N173" i="9"/>
  <c r="B171" i="9"/>
  <c r="N171" i="9"/>
  <c r="B170" i="9"/>
  <c r="N170" i="9"/>
  <c r="B168" i="9"/>
  <c r="N168" i="9"/>
  <c r="B107" i="9"/>
  <c r="N107" i="9"/>
  <c r="B165" i="9"/>
  <c r="N165" i="9"/>
  <c r="B105" i="9"/>
  <c r="N105" i="9"/>
  <c r="B103" i="9"/>
  <c r="N103" i="9"/>
  <c r="B163" i="9"/>
  <c r="N163" i="9"/>
  <c r="B162" i="9"/>
  <c r="N162" i="9"/>
  <c r="B160" i="9"/>
  <c r="N160" i="9"/>
  <c r="B158" i="9"/>
  <c r="N158" i="9"/>
  <c r="B156" i="9"/>
  <c r="N156" i="9"/>
  <c r="B154" i="9"/>
  <c r="N154" i="9"/>
  <c r="B153" i="9"/>
  <c r="N153" i="9"/>
  <c r="B151" i="9"/>
  <c r="N151" i="9"/>
  <c r="B199" i="9"/>
  <c r="N199" i="9"/>
  <c r="B198" i="9"/>
  <c r="N198" i="9"/>
  <c r="B150" i="9"/>
  <c r="N150" i="9"/>
  <c r="B197" i="9"/>
  <c r="N197" i="9"/>
  <c r="B195" i="9"/>
  <c r="N195" i="9"/>
  <c r="B193" i="9"/>
  <c r="N193" i="9"/>
  <c r="B191" i="9"/>
  <c r="N191" i="9"/>
  <c r="B189" i="9"/>
  <c r="N189" i="9"/>
  <c r="B147" i="9"/>
  <c r="N147" i="9"/>
  <c r="B136" i="9"/>
  <c r="N136" i="9"/>
  <c r="B78" i="9"/>
  <c r="N78" i="9"/>
  <c r="B87" i="9"/>
  <c r="N87" i="9"/>
  <c r="B132" i="9"/>
  <c r="N132" i="9"/>
  <c r="B131" i="9"/>
  <c r="N131" i="9"/>
  <c r="B98" i="9"/>
  <c r="N98" i="9"/>
  <c r="B139" i="9"/>
  <c r="N139" i="9"/>
  <c r="B49" i="9"/>
  <c r="N49" i="9"/>
  <c r="B141" i="9"/>
  <c r="N141" i="9"/>
  <c r="B95" i="9"/>
  <c r="N95" i="9"/>
  <c r="B130" i="9"/>
  <c r="N130" i="9"/>
  <c r="B129" i="9"/>
  <c r="N129" i="9"/>
  <c r="B127" i="9"/>
  <c r="N127" i="9"/>
  <c r="B125" i="9"/>
  <c r="N125" i="9"/>
  <c r="B85" i="9"/>
  <c r="N85" i="9"/>
  <c r="B186" i="9"/>
  <c r="N186" i="9"/>
  <c r="B122" i="9"/>
  <c r="N122" i="9"/>
  <c r="B185" i="9"/>
  <c r="N185" i="9"/>
  <c r="B94" i="9"/>
  <c r="N94" i="9"/>
  <c r="B65" i="9"/>
  <c r="N65" i="9"/>
  <c r="B184" i="9"/>
  <c r="N184" i="9"/>
  <c r="B149" i="9"/>
  <c r="N149" i="9"/>
  <c r="B183" i="9"/>
  <c r="N183" i="9"/>
  <c r="B116" i="9"/>
  <c r="N116" i="9"/>
  <c r="B67" i="9"/>
  <c r="N67" i="9"/>
  <c r="B115" i="9"/>
  <c r="N115" i="9"/>
  <c r="B114" i="9"/>
  <c r="N114" i="9"/>
  <c r="B52" i="9"/>
  <c r="N52" i="9"/>
  <c r="B48" i="9"/>
  <c r="N48" i="9"/>
  <c r="B100" i="9"/>
  <c r="N100" i="9"/>
  <c r="B112" i="9"/>
  <c r="N112" i="9"/>
  <c r="B71" i="9"/>
  <c r="N71" i="9"/>
  <c r="B74" i="9"/>
  <c r="N74" i="9"/>
  <c r="B80" i="9"/>
  <c r="N80" i="9"/>
  <c r="B142" i="9"/>
  <c r="N142" i="9"/>
  <c r="B62" i="9"/>
  <c r="N62" i="9"/>
  <c r="B148" i="9"/>
  <c r="N148" i="9"/>
  <c r="B81" i="9"/>
  <c r="N81" i="9"/>
  <c r="B50" i="9"/>
  <c r="N50" i="9"/>
  <c r="B70" i="9"/>
  <c r="N70" i="9"/>
  <c r="B75" i="9"/>
  <c r="N75" i="9"/>
  <c r="B93" i="9"/>
  <c r="N93" i="9"/>
  <c r="B64" i="9"/>
  <c r="N64" i="9"/>
  <c r="B63" i="9"/>
  <c r="N63" i="9"/>
  <c r="B72" i="9"/>
  <c r="N72" i="9"/>
  <c r="B99" i="9"/>
  <c r="N99" i="9"/>
  <c r="B90" i="9"/>
  <c r="N90" i="9"/>
  <c r="B179" i="9"/>
  <c r="N179" i="9"/>
  <c r="B178" i="9"/>
  <c r="N178" i="9"/>
  <c r="B56" i="9"/>
  <c r="N56" i="9"/>
  <c r="B177" i="9"/>
  <c r="N177" i="9"/>
  <c r="B175" i="9"/>
  <c r="N175" i="9"/>
  <c r="B73" i="9"/>
  <c r="N73" i="9"/>
  <c r="B172" i="9"/>
  <c r="N172" i="9"/>
  <c r="B188" i="9"/>
  <c r="N188" i="9"/>
  <c r="B169" i="9"/>
  <c r="N169" i="9"/>
  <c r="B167" i="9"/>
  <c r="N167" i="9"/>
  <c r="B166" i="9"/>
  <c r="N166" i="9"/>
  <c r="B106" i="9"/>
  <c r="N106" i="9"/>
  <c r="B104" i="9"/>
  <c r="N104" i="9"/>
  <c r="B164" i="9"/>
  <c r="N164" i="9"/>
  <c r="B138" i="9"/>
  <c r="N138" i="9"/>
  <c r="B161" i="9"/>
  <c r="N161" i="9"/>
  <c r="B159" i="9"/>
  <c r="N159" i="9"/>
  <c r="B157" i="9"/>
  <c r="N157" i="9"/>
  <c r="B155" i="9"/>
  <c r="N155" i="9"/>
  <c r="B102" i="9"/>
  <c r="N102" i="9"/>
  <c r="B152" i="9"/>
  <c r="N152" i="9"/>
  <c r="B42" i="7"/>
  <c r="B41" i="7"/>
  <c r="B37" i="7"/>
  <c r="B39" i="7"/>
  <c r="B38" i="7"/>
  <c r="B40" i="7"/>
  <c r="B36" i="7"/>
  <c r="B20" i="7"/>
  <c r="B33" i="7"/>
  <c r="B31" i="7"/>
  <c r="B27" i="7"/>
  <c r="B30" i="7"/>
  <c r="B24" i="7"/>
  <c r="B35" i="7"/>
  <c r="B29" i="7"/>
  <c r="B18" i="7"/>
  <c r="B28" i="7"/>
  <c r="B34" i="7"/>
  <c r="B32" i="7"/>
  <c r="B23" i="7"/>
  <c r="B19" i="7"/>
  <c r="B26" i="7"/>
  <c r="W40" i="9"/>
  <c r="W10" i="9"/>
  <c r="W197" i="9"/>
  <c r="W12" i="9"/>
  <c r="W13" i="9"/>
  <c r="W47" i="9"/>
  <c r="W136" i="9"/>
  <c r="W131" i="9"/>
  <c r="W141" i="9"/>
  <c r="W25" i="9"/>
  <c r="W17" i="9"/>
  <c r="W27" i="9"/>
  <c r="W34" i="9"/>
  <c r="W18" i="9"/>
  <c r="W22" i="9"/>
  <c r="W8" i="9"/>
  <c r="W87" i="9"/>
  <c r="W139" i="9"/>
  <c r="W130" i="9"/>
  <c r="Z102" i="15"/>
  <c r="W98" i="16"/>
  <c r="Z14" i="9"/>
  <c r="Z28" i="9"/>
  <c r="Z43" i="9"/>
  <c r="Z135" i="9"/>
  <c r="Z133" i="9"/>
  <c r="Z88" i="9"/>
  <c r="Z53" i="9"/>
  <c r="Z128" i="9"/>
  <c r="Z121" i="9"/>
  <c r="Z119" i="9"/>
  <c r="Z118" i="9"/>
  <c r="Z54" i="9"/>
  <c r="Z79" i="9"/>
  <c r="Z55" i="9"/>
  <c r="Z109" i="9"/>
  <c r="Z95" i="9"/>
  <c r="Z130" i="9"/>
  <c r="Z67" i="9"/>
  <c r="Z115" i="9"/>
  <c r="Z114" i="9"/>
  <c r="Z50" i="9"/>
  <c r="Z70" i="9"/>
  <c r="Z75" i="9"/>
  <c r="Z64" i="9"/>
  <c r="Z63" i="9"/>
  <c r="Z72" i="9"/>
  <c r="Z90" i="9"/>
  <c r="Z179" i="9"/>
  <c r="Z178" i="9"/>
  <c r="Z177" i="9"/>
  <c r="Z175" i="9"/>
  <c r="Z73" i="9"/>
  <c r="Z188" i="9"/>
  <c r="Z169" i="9"/>
  <c r="Z167" i="9"/>
  <c r="Z82" i="13"/>
  <c r="Z49" i="13"/>
  <c r="Z92" i="13"/>
  <c r="Z79" i="13"/>
  <c r="Z95" i="13"/>
  <c r="Z210" i="13"/>
  <c r="Z208" i="13"/>
  <c r="Z206" i="13"/>
  <c r="Z204" i="13"/>
  <c r="Z202" i="13"/>
  <c r="Z200" i="13"/>
  <c r="Z198" i="13"/>
  <c r="Z196" i="13"/>
  <c r="Z194" i="13"/>
  <c r="Z192" i="13"/>
  <c r="Z190" i="13"/>
  <c r="Z188" i="13"/>
  <c r="Z186" i="13"/>
  <c r="Z184" i="13"/>
  <c r="Z182" i="13"/>
  <c r="Z180" i="13"/>
  <c r="Z178" i="13"/>
  <c r="Z176" i="13"/>
  <c r="Z174" i="13"/>
  <c r="Z172" i="13"/>
  <c r="Z170" i="13"/>
  <c r="Z168" i="13"/>
  <c r="Z166" i="13"/>
  <c r="Z164" i="13"/>
  <c r="Z162" i="13"/>
  <c r="Z160" i="13"/>
  <c r="Z158" i="13"/>
  <c r="Z156" i="13"/>
  <c r="Z154" i="13"/>
  <c r="Z152" i="13"/>
  <c r="Z150" i="13"/>
  <c r="Z148" i="13"/>
  <c r="Z146" i="13"/>
  <c r="Z144" i="13"/>
  <c r="Z142" i="13"/>
  <c r="Z140" i="13"/>
  <c r="Z138" i="13"/>
  <c r="Z136" i="13"/>
  <c r="Z134" i="13"/>
  <c r="Z132" i="13"/>
  <c r="Z130" i="13"/>
  <c r="Z128" i="13"/>
  <c r="Z126" i="13"/>
  <c r="Z77" i="9"/>
  <c r="Z124" i="9"/>
  <c r="Z123" i="9"/>
  <c r="Z51" i="9"/>
  <c r="Z60" i="9"/>
  <c r="Z32" i="13"/>
  <c r="Z93" i="13"/>
  <c r="Z97" i="13"/>
  <c r="Z73" i="13"/>
  <c r="Z211" i="13"/>
  <c r="Z209" i="13"/>
  <c r="Z207" i="13"/>
  <c r="Z205" i="13"/>
  <c r="Z203" i="13"/>
  <c r="Z201" i="13"/>
  <c r="Z199" i="13"/>
  <c r="Z197" i="13"/>
  <c r="Z195" i="13"/>
  <c r="Z193" i="13"/>
  <c r="Z191" i="13"/>
  <c r="Z189" i="13"/>
  <c r="Z187" i="13"/>
  <c r="Z185" i="13"/>
  <c r="Z183" i="13"/>
  <c r="Z181" i="13"/>
  <c r="Z179" i="13"/>
  <c r="Z177" i="13"/>
  <c r="Z175" i="13"/>
  <c r="Z173" i="13"/>
  <c r="Z171" i="13"/>
  <c r="Z169" i="13"/>
  <c r="Z165" i="13"/>
  <c r="Z163" i="13"/>
  <c r="Z161" i="13"/>
  <c r="Z159" i="13"/>
  <c r="Z157" i="13"/>
  <c r="Z153" i="13"/>
  <c r="Z149" i="13"/>
  <c r="Z125" i="13"/>
  <c r="W132" i="15"/>
  <c r="W35" i="15"/>
  <c r="W61" i="15"/>
  <c r="W128" i="15"/>
  <c r="W11" i="17"/>
  <c r="Z85" i="16"/>
  <c r="Z71" i="16"/>
  <c r="Z55" i="16"/>
  <c r="Z39" i="16"/>
  <c r="Z123" i="16"/>
  <c r="Z19" i="16"/>
  <c r="W44" i="16"/>
  <c r="W42" i="16"/>
  <c r="W40" i="16"/>
  <c r="W38" i="16"/>
  <c r="W36" i="16"/>
  <c r="W34" i="16"/>
  <c r="W32" i="16"/>
  <c r="W30" i="16"/>
  <c r="W16" i="16"/>
  <c r="W27" i="16"/>
  <c r="W18" i="16"/>
  <c r="W15" i="16"/>
  <c r="W12" i="16"/>
  <c r="W11" i="16"/>
  <c r="W13" i="16"/>
  <c r="W121" i="16"/>
  <c r="W21" i="16"/>
  <c r="W20" i="16"/>
  <c r="W120" i="16"/>
  <c r="Z98" i="16"/>
  <c r="W64" i="16"/>
  <c r="W62" i="16"/>
  <c r="W60" i="16"/>
  <c r="W58" i="16"/>
  <c r="W56" i="16"/>
  <c r="W54" i="16"/>
  <c r="W52" i="16"/>
  <c r="W50" i="16"/>
  <c r="W48" i="16"/>
  <c r="W46" i="16"/>
  <c r="Z24" i="17"/>
  <c r="Z20" i="17"/>
  <c r="Z16" i="17"/>
  <c r="Z12" i="17"/>
  <c r="Z8" i="17"/>
  <c r="AC70" i="11"/>
  <c r="W70" i="16"/>
  <c r="W68" i="16"/>
  <c r="W66" i="16"/>
  <c r="Z199" i="9"/>
  <c r="T23" i="9"/>
  <c r="T47" i="10"/>
  <c r="Z59" i="17"/>
  <c r="Z57" i="17"/>
  <c r="Z55" i="17"/>
  <c r="Z53" i="17"/>
  <c r="Z51" i="17"/>
  <c r="Z49" i="17"/>
  <c r="Z47" i="17"/>
  <c r="Z45" i="17"/>
  <c r="Z43" i="17"/>
  <c r="Z41" i="17"/>
  <c r="Z39" i="17"/>
  <c r="Z37" i="17"/>
  <c r="Z35" i="17"/>
  <c r="Z33" i="17"/>
  <c r="Z31" i="17"/>
  <c r="Z29" i="17"/>
  <c r="Z27" i="17"/>
  <c r="Z25" i="17"/>
  <c r="Z23" i="17"/>
  <c r="Z21" i="17"/>
  <c r="Z19" i="17"/>
  <c r="Z17" i="17"/>
  <c r="Z15" i="17"/>
  <c r="Z13" i="17"/>
  <c r="Z11" i="17"/>
  <c r="Z9" i="17"/>
  <c r="Z36" i="17"/>
  <c r="Z81" i="15"/>
  <c r="T178" i="15"/>
  <c r="Z64" i="15"/>
  <c r="W119" i="15"/>
  <c r="W65" i="15"/>
  <c r="W28" i="15"/>
  <c r="W131" i="15"/>
  <c r="W8" i="15"/>
  <c r="Z65" i="12"/>
  <c r="W12" i="12"/>
  <c r="W45" i="12"/>
  <c r="T43" i="12"/>
  <c r="W55" i="10"/>
  <c r="Z8" i="9"/>
  <c r="Z147" i="9"/>
  <c r="Z136" i="9"/>
  <c r="Z78" i="9"/>
  <c r="Z87" i="9"/>
  <c r="Z132" i="9"/>
  <c r="Z131" i="9"/>
  <c r="Z98" i="9"/>
  <c r="Z139" i="9"/>
  <c r="Z49" i="9"/>
  <c r="Z141" i="9"/>
  <c r="Z129" i="9"/>
  <c r="Z127" i="9"/>
  <c r="Z125" i="9"/>
  <c r="Z85" i="9"/>
  <c r="Z186" i="9"/>
  <c r="Z122" i="9"/>
  <c r="Z185" i="9"/>
  <c r="Z94" i="9"/>
  <c r="Z65" i="9"/>
  <c r="Z184" i="9"/>
  <c r="Z149" i="9"/>
  <c r="Z183" i="9"/>
  <c r="Z116" i="9"/>
  <c r="Z52" i="9"/>
  <c r="Z48" i="9"/>
  <c r="Z100" i="9"/>
  <c r="Z112" i="9"/>
  <c r="Z71" i="9"/>
  <c r="Z74" i="9"/>
  <c r="Z80" i="9"/>
  <c r="Z142" i="9"/>
  <c r="Z62" i="9"/>
  <c r="Z148" i="9"/>
  <c r="Z81" i="9"/>
  <c r="T199" i="9"/>
  <c r="Z107" i="9"/>
  <c r="Z29" i="10"/>
  <c r="Z84" i="10"/>
  <c r="Z38" i="10"/>
  <c r="Z98" i="10"/>
  <c r="Z47" i="10"/>
  <c r="Z94" i="10"/>
  <c r="Z14" i="10"/>
  <c r="Z108" i="10"/>
  <c r="AC71" i="11"/>
  <c r="AC69" i="11"/>
  <c r="AC65" i="11"/>
  <c r="AC47" i="11"/>
  <c r="AC48" i="11"/>
  <c r="AC59" i="11"/>
  <c r="AC52" i="11"/>
  <c r="AC7" i="11"/>
  <c r="Z62" i="16"/>
  <c r="Z60" i="16"/>
  <c r="Z58" i="16"/>
  <c r="Z56" i="16"/>
  <c r="Z54" i="16"/>
  <c r="Z52" i="16"/>
  <c r="Z50" i="16"/>
  <c r="Z48" i="16"/>
  <c r="Z46" i="16"/>
  <c r="Z44" i="16"/>
  <c r="Z42" i="16"/>
  <c r="Z40" i="16"/>
  <c r="Z38" i="16"/>
  <c r="Z36" i="16"/>
  <c r="Z34" i="16"/>
  <c r="Z32" i="16"/>
  <c r="Z30" i="16"/>
  <c r="Z16" i="16"/>
  <c r="Z27" i="16"/>
  <c r="Z18" i="16"/>
  <c r="Z15" i="16"/>
  <c r="Z12" i="16"/>
  <c r="Z11" i="16"/>
  <c r="Z13" i="16"/>
  <c r="Z121" i="16"/>
  <c r="Z21" i="16"/>
  <c r="Z20" i="16"/>
  <c r="Z120" i="16"/>
  <c r="Z44" i="17"/>
  <c r="Z40" i="17"/>
  <c r="Z32" i="17"/>
  <c r="Z28" i="17"/>
  <c r="W31" i="17"/>
  <c r="W27" i="17"/>
  <c r="W23" i="17"/>
  <c r="W19" i="17"/>
  <c r="W15" i="17"/>
  <c r="Z7" i="9"/>
  <c r="Z197" i="9"/>
  <c r="Z17" i="9"/>
  <c r="Z40" i="9"/>
  <c r="Z27" i="9"/>
  <c r="Z12" i="9"/>
  <c r="Z191" i="9"/>
  <c r="Z11" i="9"/>
  <c r="Z18" i="9"/>
  <c r="Z22" i="9"/>
  <c r="Z45" i="9"/>
  <c r="Z23" i="9"/>
  <c r="Z25" i="9"/>
  <c r="Z150" i="9"/>
  <c r="Z31" i="9"/>
  <c r="Z195" i="9"/>
  <c r="Z16" i="9"/>
  <c r="Z26" i="9"/>
  <c r="Z193" i="9"/>
  <c r="Z34" i="9"/>
  <c r="Z13" i="9"/>
  <c r="Z24" i="9"/>
  <c r="Z47" i="9"/>
  <c r="Z44" i="9"/>
  <c r="Z189" i="9"/>
  <c r="Z10" i="9"/>
  <c r="Z36" i="9"/>
  <c r="T50" i="11"/>
  <c r="Z49" i="10"/>
  <c r="Z51" i="10"/>
  <c r="Z26" i="10"/>
  <c r="Z30" i="10"/>
  <c r="Z12" i="10"/>
  <c r="Z90" i="10"/>
  <c r="Z68" i="10"/>
  <c r="Z95" i="10"/>
  <c r="Z88" i="10"/>
  <c r="Z63" i="10"/>
  <c r="Z27" i="10"/>
  <c r="Z17" i="10"/>
  <c r="Z44" i="10"/>
  <c r="Z93" i="10"/>
  <c r="Z19" i="10"/>
  <c r="Z100" i="10"/>
  <c r="Z105" i="10"/>
  <c r="Z10" i="10"/>
  <c r="Z18" i="10"/>
  <c r="Z55" i="10"/>
  <c r="Z42" i="10"/>
  <c r="Z58" i="10"/>
  <c r="Z21" i="10"/>
  <c r="Z13" i="10"/>
  <c r="Z24" i="10"/>
  <c r="Z22" i="10"/>
  <c r="Z16" i="10"/>
  <c r="Z9" i="10"/>
  <c r="Z32" i="10"/>
  <c r="Z11" i="10"/>
  <c r="Z109" i="10"/>
  <c r="AC76" i="11"/>
  <c r="AC68" i="11"/>
  <c r="AC74" i="11"/>
  <c r="AC61" i="11"/>
  <c r="AC50" i="11"/>
  <c r="AC72" i="11"/>
  <c r="AC53" i="11"/>
  <c r="AC66" i="11"/>
  <c r="AC45" i="11"/>
  <c r="AC54" i="11"/>
  <c r="AC58" i="11"/>
  <c r="AC8" i="11"/>
  <c r="AC12" i="11"/>
  <c r="W47" i="11"/>
  <c r="Z30" i="12"/>
  <c r="Z43" i="12"/>
  <c r="Z31" i="12"/>
  <c r="Z58" i="12"/>
  <c r="Z44" i="12"/>
  <c r="W176" i="15"/>
  <c r="Z10" i="16"/>
  <c r="Z97" i="16"/>
  <c r="Z95" i="16"/>
  <c r="Z93" i="16"/>
  <c r="Z91" i="16"/>
  <c r="Z89" i="16"/>
  <c r="Z124" i="16"/>
  <c r="Z88" i="16"/>
  <c r="Z86" i="16"/>
  <c r="Z84" i="16"/>
  <c r="Z7" i="16"/>
  <c r="Z82" i="16"/>
  <c r="Z80" i="16"/>
  <c r="Z78" i="16"/>
  <c r="Z76" i="16"/>
  <c r="Z74" i="16"/>
  <c r="Z72" i="16"/>
  <c r="Z70" i="16"/>
  <c r="Z68" i="16"/>
  <c r="Z66" i="16"/>
  <c r="Z64" i="16"/>
  <c r="T122" i="15"/>
  <c r="T34" i="15"/>
  <c r="W30" i="10"/>
  <c r="AC80" i="11"/>
  <c r="W24" i="11"/>
  <c r="W30" i="11"/>
  <c r="W75" i="11"/>
  <c r="Z65" i="10"/>
  <c r="Z70" i="10"/>
  <c r="Z64" i="10"/>
  <c r="Z74" i="10"/>
  <c r="Z73" i="10"/>
  <c r="Z78" i="10"/>
  <c r="Z75" i="10"/>
  <c r="Z34" i="10"/>
  <c r="Z48" i="10"/>
  <c r="Z52" i="10"/>
  <c r="Z56" i="10"/>
  <c r="AC39" i="11"/>
  <c r="W55" i="12"/>
  <c r="W57" i="12"/>
  <c r="W13" i="12"/>
  <c r="W25" i="12"/>
  <c r="W61" i="12"/>
  <c r="T38" i="12"/>
  <c r="Z134" i="16"/>
  <c r="Z132" i="16"/>
  <c r="Z130" i="16"/>
  <c r="Z128" i="16"/>
  <c r="Z126" i="16"/>
  <c r="Z116" i="16"/>
  <c r="Z114" i="16"/>
  <c r="W39" i="16"/>
  <c r="W123" i="16"/>
  <c r="W19" i="16"/>
  <c r="Z74" i="17"/>
  <c r="Z72" i="17"/>
  <c r="Z70" i="17"/>
  <c r="Z68" i="17"/>
  <c r="Z66" i="17"/>
  <c r="Z60" i="17"/>
  <c r="AC37" i="11"/>
  <c r="AC9" i="11"/>
  <c r="AC51" i="11"/>
  <c r="AC43" i="11"/>
  <c r="AC55" i="11"/>
  <c r="AC64" i="11"/>
  <c r="AC44" i="11"/>
  <c r="AC78" i="11"/>
  <c r="W72" i="11"/>
  <c r="W70" i="11"/>
  <c r="W53" i="11"/>
  <c r="W66" i="11"/>
  <c r="W45" i="11"/>
  <c r="W54" i="11"/>
  <c r="W58" i="11"/>
  <c r="W8" i="11"/>
  <c r="W12" i="11"/>
  <c r="T18" i="11"/>
  <c r="T8" i="11"/>
  <c r="W134" i="16"/>
  <c r="W132" i="16"/>
  <c r="W130" i="16"/>
  <c r="W128" i="16"/>
  <c r="W126" i="16"/>
  <c r="W8" i="16"/>
  <c r="W85" i="16"/>
  <c r="W71" i="16"/>
  <c r="W55" i="16"/>
  <c r="W101" i="10"/>
  <c r="W17" i="10"/>
  <c r="W11" i="10"/>
  <c r="AC19" i="11"/>
  <c r="AC13" i="11"/>
  <c r="AC18" i="11"/>
  <c r="AC41" i="11"/>
  <c r="W11" i="11"/>
  <c r="W63" i="11"/>
  <c r="W73" i="11"/>
  <c r="Z69" i="17"/>
  <c r="Z67" i="17"/>
  <c r="Z65" i="17"/>
  <c r="T73" i="17"/>
  <c r="T71" i="17"/>
  <c r="T69" i="17"/>
  <c r="T67" i="17"/>
  <c r="T65" i="17"/>
  <c r="T63" i="17"/>
  <c r="T61" i="17"/>
  <c r="T59" i="17"/>
  <c r="T57" i="17"/>
  <c r="T55" i="17"/>
  <c r="T53" i="17"/>
  <c r="T51" i="17"/>
  <c r="T49" i="17"/>
  <c r="T47" i="17"/>
  <c r="T45" i="17"/>
  <c r="T43" i="17"/>
  <c r="T41" i="17"/>
  <c r="T39" i="17"/>
  <c r="T37" i="17"/>
  <c r="T35" i="17"/>
  <c r="T33" i="17"/>
  <c r="T31" i="17"/>
  <c r="T29" i="17"/>
  <c r="T27" i="17"/>
  <c r="T25" i="17"/>
  <c r="T23" i="17"/>
  <c r="T21" i="17"/>
  <c r="T19" i="17"/>
  <c r="T17" i="17"/>
  <c r="T15" i="17"/>
  <c r="T13" i="17"/>
  <c r="T11" i="17"/>
  <c r="T9" i="17"/>
  <c r="T64" i="11"/>
  <c r="T66" i="11"/>
  <c r="T19" i="16"/>
  <c r="T62" i="16"/>
  <c r="Z48" i="17"/>
  <c r="W59" i="17"/>
  <c r="W55" i="17"/>
  <c r="W51" i="17"/>
  <c r="W47" i="17"/>
  <c r="W43" i="17"/>
  <c r="W39" i="17"/>
  <c r="W35" i="17"/>
  <c r="Z52" i="12"/>
  <c r="Z33" i="12"/>
  <c r="W61" i="11"/>
  <c r="W50" i="11"/>
  <c r="W41" i="8"/>
  <c r="W105" i="8"/>
  <c r="W101" i="8"/>
  <c r="T31" i="10"/>
  <c r="AC77" i="11"/>
  <c r="AC75" i="11"/>
  <c r="AC67" i="11"/>
  <c r="AC56" i="11"/>
  <c r="AC62" i="11"/>
  <c r="AC73" i="11"/>
  <c r="T112" i="16"/>
  <c r="T97" i="16"/>
  <c r="T84" i="16"/>
  <c r="Z73" i="17"/>
  <c r="Z71" i="17"/>
  <c r="T127" i="16"/>
  <c r="W67" i="17"/>
  <c r="W163" i="8"/>
  <c r="Z43" i="10"/>
  <c r="Z31" i="10"/>
  <c r="Z20" i="10"/>
  <c r="Z80" i="10"/>
  <c r="Z46" i="10"/>
  <c r="W93" i="10"/>
  <c r="W19" i="10"/>
  <c r="W100" i="10"/>
  <c r="W105" i="10"/>
  <c r="W10" i="10"/>
  <c r="W18" i="10"/>
  <c r="W42" i="10"/>
  <c r="W58" i="10"/>
  <c r="W21" i="10"/>
  <c r="W13" i="10"/>
  <c r="W24" i="10"/>
  <c r="W22" i="10"/>
  <c r="W9" i="10"/>
  <c r="T29" i="10"/>
  <c r="T43" i="10"/>
  <c r="T20" i="10"/>
  <c r="T80" i="10"/>
  <c r="T46" i="10"/>
  <c r="T84" i="10"/>
  <c r="T38" i="10"/>
  <c r="T98" i="10"/>
  <c r="T94" i="10"/>
  <c r="T14" i="10"/>
  <c r="T108" i="10"/>
  <c r="W20" i="11"/>
  <c r="W15" i="11"/>
  <c r="W34" i="11"/>
  <c r="W32" i="11"/>
  <c r="W31" i="11"/>
  <c r="W21" i="11"/>
  <c r="W35" i="11"/>
  <c r="W26" i="11"/>
  <c r="W40" i="11"/>
  <c r="W38" i="11"/>
  <c r="W36" i="11"/>
  <c r="W49" i="11"/>
  <c r="W57" i="11"/>
  <c r="W46" i="11"/>
  <c r="W60" i="11"/>
  <c r="W79" i="11"/>
  <c r="W77" i="11"/>
  <c r="W67" i="11"/>
  <c r="W56" i="11"/>
  <c r="W62" i="11"/>
  <c r="W71" i="11"/>
  <c r="W69" i="11"/>
  <c r="W65" i="11"/>
  <c r="W48" i="11"/>
  <c r="W59" i="11"/>
  <c r="W52" i="11"/>
  <c r="Z47" i="12"/>
  <c r="Z36" i="12"/>
  <c r="W23" i="12"/>
  <c r="W46" i="12"/>
  <c r="W34" i="12"/>
  <c r="T74" i="17"/>
  <c r="T72" i="17"/>
  <c r="T70" i="17"/>
  <c r="T68" i="17"/>
  <c r="T66" i="17"/>
  <c r="T43" i="11"/>
  <c r="T80" i="11"/>
  <c r="T76" i="11"/>
  <c r="T74" i="11"/>
  <c r="T70" i="11"/>
  <c r="AC22" i="11"/>
  <c r="AC33" i="11"/>
  <c r="Z63" i="17"/>
  <c r="Z61" i="17"/>
  <c r="Z64" i="17"/>
  <c r="Z62" i="17"/>
  <c r="Z58" i="17"/>
  <c r="Z56" i="17"/>
  <c r="Z54" i="17"/>
  <c r="Z52" i="17"/>
  <c r="Z50" i="17"/>
  <c r="T64" i="17"/>
  <c r="T62" i="17"/>
  <c r="T60" i="17"/>
  <c r="T58" i="17"/>
  <c r="T56" i="17"/>
  <c r="T54" i="17"/>
  <c r="T52" i="17"/>
  <c r="T50" i="17"/>
  <c r="T48" i="17"/>
  <c r="T46" i="17"/>
  <c r="T44" i="17"/>
  <c r="T42" i="17"/>
  <c r="T40" i="17"/>
  <c r="T38" i="17"/>
  <c r="T36" i="17"/>
  <c r="T34" i="17"/>
  <c r="T32" i="17"/>
  <c r="T30" i="17"/>
  <c r="T28" i="17"/>
  <c r="T26" i="17"/>
  <c r="T24" i="17"/>
  <c r="T22" i="17"/>
  <c r="T20" i="17"/>
  <c r="T18" i="17"/>
  <c r="T16" i="17"/>
  <c r="T14" i="17"/>
  <c r="T12" i="17"/>
  <c r="T10" i="17"/>
  <c r="T104" i="16"/>
  <c r="T89" i="16"/>
  <c r="T78" i="16"/>
  <c r="W116" i="16"/>
  <c r="W114" i="16"/>
  <c r="W29" i="12"/>
  <c r="W32" i="12"/>
  <c r="W17" i="12"/>
  <c r="W14" i="12"/>
  <c r="T47" i="12"/>
  <c r="T65" i="12"/>
  <c r="Z11" i="12"/>
  <c r="Z51" i="12"/>
  <c r="T54" i="11"/>
  <c r="W10" i="11"/>
  <c r="T29" i="11"/>
  <c r="T9" i="11"/>
  <c r="P44" i="10"/>
  <c r="W75" i="10"/>
  <c r="P8" i="10"/>
  <c r="P16" i="9"/>
  <c r="P14" i="7"/>
  <c r="W37" i="7"/>
  <c r="Z101" i="10"/>
  <c r="Z36" i="10"/>
  <c r="Z76" i="10"/>
  <c r="W37" i="10"/>
  <c r="W35" i="10"/>
  <c r="W104" i="10"/>
  <c r="W76" i="10"/>
  <c r="W65" i="10"/>
  <c r="W70" i="10"/>
  <c r="W64" i="10"/>
  <c r="W74" i="10"/>
  <c r="W73" i="10"/>
  <c r="W78" i="10"/>
  <c r="W34" i="10"/>
  <c r="W48" i="10"/>
  <c r="W52" i="10"/>
  <c r="W56" i="10"/>
  <c r="W49" i="10"/>
  <c r="W51" i="10"/>
  <c r="W26" i="10"/>
  <c r="W12" i="10"/>
  <c r="W90" i="10"/>
  <c r="W68" i="10"/>
  <c r="W95" i="10"/>
  <c r="W88" i="10"/>
  <c r="W63" i="10"/>
  <c r="W27" i="10"/>
  <c r="W44" i="10"/>
  <c r="T26" i="10"/>
  <c r="T30" i="10"/>
  <c r="T12" i="10"/>
  <c r="T90" i="10"/>
  <c r="T68" i="10"/>
  <c r="T95" i="10"/>
  <c r="T88" i="10"/>
  <c r="T63" i="10"/>
  <c r="T27" i="10"/>
  <c r="T17" i="10"/>
  <c r="T44" i="10"/>
  <c r="T93" i="10"/>
  <c r="T19" i="10"/>
  <c r="T100" i="10"/>
  <c r="T105" i="10"/>
  <c r="T10" i="10"/>
  <c r="T18" i="10"/>
  <c r="T55" i="10"/>
  <c r="T42" i="10"/>
  <c r="T58" i="10"/>
  <c r="T21" i="10"/>
  <c r="T13" i="10"/>
  <c r="T24" i="10"/>
  <c r="T22" i="10"/>
  <c r="T16" i="10"/>
  <c r="T9" i="10"/>
  <c r="T32" i="10"/>
  <c r="T11" i="10"/>
  <c r="T109" i="10"/>
  <c r="AC28" i="11"/>
  <c r="AC14" i="11"/>
  <c r="AC29" i="11"/>
  <c r="AC27" i="11"/>
  <c r="AC16" i="11"/>
  <c r="AC23" i="11"/>
  <c r="W22" i="11"/>
  <c r="W42" i="11"/>
  <c r="W28" i="11"/>
  <c r="W14" i="11"/>
  <c r="W29" i="11"/>
  <c r="W33" i="11"/>
  <c r="W27" i="11"/>
  <c r="W16" i="11"/>
  <c r="W23" i="11"/>
  <c r="W19" i="11"/>
  <c r="W13" i="11"/>
  <c r="W18" i="11"/>
  <c r="W41" i="11"/>
  <c r="W39" i="11"/>
  <c r="W37" i="11"/>
  <c r="W9" i="11"/>
  <c r="W51" i="11"/>
  <c r="W43" i="11"/>
  <c r="W55" i="11"/>
  <c r="W64" i="11"/>
  <c r="W44" i="11"/>
  <c r="W80" i="11"/>
  <c r="W78" i="11"/>
  <c r="W76" i="11"/>
  <c r="W68" i="11"/>
  <c r="W74" i="11"/>
  <c r="T22" i="11"/>
  <c r="T23" i="11"/>
  <c r="T39" i="11"/>
  <c r="T28" i="11"/>
  <c r="T27" i="11"/>
  <c r="T13" i="11"/>
  <c r="T41" i="11"/>
  <c r="T37" i="11"/>
  <c r="T51" i="11"/>
  <c r="T55" i="11"/>
  <c r="T44" i="11"/>
  <c r="T78" i="11"/>
  <c r="T68" i="11"/>
  <c r="T61" i="11"/>
  <c r="T72" i="11"/>
  <c r="T133" i="16"/>
  <c r="T131" i="16"/>
  <c r="T129" i="16"/>
  <c r="T117" i="16"/>
  <c r="T115" i="16"/>
  <c r="T113" i="16"/>
  <c r="T110" i="16"/>
  <c r="T108" i="16"/>
  <c r="T106" i="16"/>
  <c r="T102" i="16"/>
  <c r="T100" i="16"/>
  <c r="T10" i="16"/>
  <c r="T95" i="16"/>
  <c r="T93" i="16"/>
  <c r="T91" i="16"/>
  <c r="T124" i="16"/>
  <c r="T88" i="16"/>
  <c r="T86" i="16"/>
  <c r="T7" i="16"/>
  <c r="T82" i="16"/>
  <c r="T80" i="16"/>
  <c r="T76" i="16"/>
  <c r="T74" i="16"/>
  <c r="T72" i="16"/>
  <c r="T70" i="16"/>
  <c r="T68" i="16"/>
  <c r="T66" i="16"/>
  <c r="T64" i="16"/>
  <c r="T60" i="16"/>
  <c r="T58" i="16"/>
  <c r="T56" i="16"/>
  <c r="T54" i="16"/>
  <c r="T52" i="16"/>
  <c r="T50" i="16"/>
  <c r="T48" i="16"/>
  <c r="T46" i="16"/>
  <c r="T53" i="11"/>
  <c r="T45" i="11"/>
  <c r="T58" i="11"/>
  <c r="T12" i="11"/>
  <c r="Z38" i="12"/>
  <c r="Z20" i="12"/>
  <c r="W38" i="12"/>
  <c r="W30" i="12"/>
  <c r="W20" i="12"/>
  <c r="W51" i="12"/>
  <c r="W47" i="12"/>
  <c r="W36" i="12"/>
  <c r="W52" i="12"/>
  <c r="W33" i="12"/>
  <c r="W43" i="12"/>
  <c r="W27" i="12"/>
  <c r="W31" i="12"/>
  <c r="W24" i="12"/>
  <c r="W58" i="12"/>
  <c r="W63" i="12"/>
  <c r="W44" i="12"/>
  <c r="W66" i="12"/>
  <c r="W65" i="12"/>
  <c r="W62" i="12"/>
  <c r="W10" i="12"/>
  <c r="W9" i="12"/>
  <c r="W37" i="12"/>
  <c r="W41" i="12"/>
  <c r="W40" i="12"/>
  <c r="W21" i="12"/>
  <c r="W22" i="12"/>
  <c r="W18" i="12"/>
  <c r="W19" i="12"/>
  <c r="W49" i="12"/>
  <c r="W50" i="12"/>
  <c r="W48" i="12"/>
  <c r="W35" i="12"/>
  <c r="W39" i="12"/>
  <c r="W16" i="12"/>
  <c r="W15" i="12"/>
  <c r="W26" i="12"/>
  <c r="W53" i="12"/>
  <c r="W54" i="12"/>
  <c r="W28" i="12"/>
  <c r="W60" i="12"/>
  <c r="W59" i="12"/>
  <c r="W42" i="12"/>
  <c r="T11" i="12"/>
  <c r="T30" i="12"/>
  <c r="T20" i="12"/>
  <c r="T51" i="12"/>
  <c r="T36" i="12"/>
  <c r="T52" i="12"/>
  <c r="T33" i="12"/>
  <c r="T31" i="12"/>
  <c r="T58" i="12"/>
  <c r="T44" i="12"/>
  <c r="Z8" i="16"/>
  <c r="Z111" i="16"/>
  <c r="Z109" i="16"/>
  <c r="Z107" i="16"/>
  <c r="Z105" i="16"/>
  <c r="Z103" i="16"/>
  <c r="Z101" i="16"/>
  <c r="Z99" i="16"/>
  <c r="Z96" i="16"/>
  <c r="Z94" i="16"/>
  <c r="Z92" i="16"/>
  <c r="Z90" i="16"/>
  <c r="Z125" i="16"/>
  <c r="Z14" i="16"/>
  <c r="Z87" i="16"/>
  <c r="Z83" i="16"/>
  <c r="Z9" i="16"/>
  <c r="Z81" i="16"/>
  <c r="Z79" i="16"/>
  <c r="Z77" i="16"/>
  <c r="Z75" i="16"/>
  <c r="Z73" i="16"/>
  <c r="Z69" i="16"/>
  <c r="Z67" i="16"/>
  <c r="Z65" i="16"/>
  <c r="Z63" i="16"/>
  <c r="Z61" i="16"/>
  <c r="Z59" i="16"/>
  <c r="Z57" i="16"/>
  <c r="Z53" i="16"/>
  <c r="Z51" i="16"/>
  <c r="Z49" i="16"/>
  <c r="Z47" i="16"/>
  <c r="Z45" i="16"/>
  <c r="Z43" i="16"/>
  <c r="Z41" i="16"/>
  <c r="Z37" i="16"/>
  <c r="Z35" i="16"/>
  <c r="Z33" i="16"/>
  <c r="Z31" i="16"/>
  <c r="Z29" i="16"/>
  <c r="Z28" i="16"/>
  <c r="Z26" i="16"/>
  <c r="Z25" i="16"/>
  <c r="Z122" i="16"/>
  <c r="Z24" i="16"/>
  <c r="Z23" i="16"/>
  <c r="Z22" i="16"/>
  <c r="Z118" i="16"/>
  <c r="Z17" i="16"/>
  <c r="W111" i="16"/>
  <c r="W109" i="16"/>
  <c r="W107" i="16"/>
  <c r="W105" i="16"/>
  <c r="W103" i="16"/>
  <c r="W101" i="16"/>
  <c r="W99" i="16"/>
  <c r="W96" i="16"/>
  <c r="W94" i="16"/>
  <c r="W92" i="16"/>
  <c r="W90" i="16"/>
  <c r="W125" i="16"/>
  <c r="W14" i="16"/>
  <c r="W87" i="16"/>
  <c r="W83" i="16"/>
  <c r="W9" i="16"/>
  <c r="W81" i="16"/>
  <c r="W79" i="16"/>
  <c r="W77" i="16"/>
  <c r="W75" i="16"/>
  <c r="W73" i="16"/>
  <c r="W69" i="16"/>
  <c r="W67" i="16"/>
  <c r="W65" i="16"/>
  <c r="W63" i="16"/>
  <c r="W61" i="16"/>
  <c r="W59" i="16"/>
  <c r="W57" i="16"/>
  <c r="W53" i="16"/>
  <c r="W51" i="16"/>
  <c r="W49" i="16"/>
  <c r="W47" i="16"/>
  <c r="W45" i="16"/>
  <c r="W43" i="16"/>
  <c r="W41" i="16"/>
  <c r="W37" i="16"/>
  <c r="W35" i="16"/>
  <c r="W33" i="16"/>
  <c r="W31" i="16"/>
  <c r="W29" i="16"/>
  <c r="W28" i="16"/>
  <c r="W26" i="16"/>
  <c r="W25" i="16"/>
  <c r="W122" i="16"/>
  <c r="W24" i="16"/>
  <c r="W23" i="16"/>
  <c r="W22" i="16"/>
  <c r="W118" i="16"/>
  <c r="W17" i="16"/>
  <c r="Z46" i="17"/>
  <c r="Z42" i="17"/>
  <c r="Z38" i="17"/>
  <c r="Z34" i="17"/>
  <c r="Z30" i="17"/>
  <c r="Z26" i="17"/>
  <c r="Z22" i="17"/>
  <c r="Z18" i="17"/>
  <c r="Z14" i="17"/>
  <c r="Z10" i="17"/>
  <c r="T44" i="16"/>
  <c r="T42" i="16"/>
  <c r="T40" i="16"/>
  <c r="T38" i="16"/>
  <c r="T36" i="16"/>
  <c r="T34" i="16"/>
  <c r="T32" i="16"/>
  <c r="T30" i="16"/>
  <c r="T16" i="16"/>
  <c r="T27" i="16"/>
  <c r="T18" i="16"/>
  <c r="T15" i="16"/>
  <c r="T12" i="16"/>
  <c r="T11" i="16"/>
  <c r="T13" i="16"/>
  <c r="T121" i="16"/>
  <c r="T21" i="16"/>
  <c r="T20" i="16"/>
  <c r="T120" i="16"/>
  <c r="T134" i="16"/>
  <c r="T132" i="16"/>
  <c r="T130" i="16"/>
  <c r="T128" i="16"/>
  <c r="T126" i="16"/>
  <c r="T116" i="16"/>
  <c r="T114" i="16"/>
  <c r="T8" i="16"/>
  <c r="T111" i="16"/>
  <c r="T109" i="16"/>
  <c r="T107" i="16"/>
  <c r="T105" i="16"/>
  <c r="T103" i="16"/>
  <c r="T101" i="16"/>
  <c r="T99" i="16"/>
  <c r="T98" i="16"/>
  <c r="T96" i="16"/>
  <c r="T94" i="16"/>
  <c r="T92" i="16"/>
  <c r="T90" i="16"/>
  <c r="T125" i="16"/>
  <c r="T14" i="16"/>
  <c r="T87" i="16"/>
  <c r="T85" i="16"/>
  <c r="T83" i="16"/>
  <c r="T9" i="16"/>
  <c r="T81" i="16"/>
  <c r="T79" i="16"/>
  <c r="T77" i="16"/>
  <c r="T75" i="16"/>
  <c r="T73" i="16"/>
  <c r="T71" i="16"/>
  <c r="T69" i="16"/>
  <c r="T67" i="16"/>
  <c r="T65" i="16"/>
  <c r="T63" i="16"/>
  <c r="T61" i="16"/>
  <c r="T59" i="16"/>
  <c r="T57" i="16"/>
  <c r="T55" i="16"/>
  <c r="T53" i="16"/>
  <c r="T51" i="16"/>
  <c r="T49" i="16"/>
  <c r="T47" i="16"/>
  <c r="T45" i="16"/>
  <c r="T43" i="16"/>
  <c r="T41" i="16"/>
  <c r="T39" i="16"/>
  <c r="T37" i="16"/>
  <c r="T35" i="16"/>
  <c r="T33" i="16"/>
  <c r="T31" i="16"/>
  <c r="T29" i="16"/>
  <c r="T28" i="16"/>
  <c r="T26" i="16"/>
  <c r="T123" i="16"/>
  <c r="T25" i="16"/>
  <c r="T122" i="16"/>
  <c r="T24" i="16"/>
  <c r="T23" i="16"/>
  <c r="T22" i="16"/>
  <c r="T118" i="16"/>
  <c r="T17" i="16"/>
  <c r="W199" i="9"/>
  <c r="Z37" i="7"/>
  <c r="Z27" i="7"/>
  <c r="Z7" i="7"/>
  <c r="Z8" i="10"/>
  <c r="Z92" i="10"/>
  <c r="Z86" i="10"/>
  <c r="Z82" i="10"/>
  <c r="Z83" i="10"/>
  <c r="Z72" i="10"/>
  <c r="Z23" i="10"/>
  <c r="Z67" i="10"/>
  <c r="Z62" i="10"/>
  <c r="Z77" i="10"/>
  <c r="Z45" i="10"/>
  <c r="Z79" i="10"/>
  <c r="Z28" i="10"/>
  <c r="Z50" i="10"/>
  <c r="Z54" i="10"/>
  <c r="Z87" i="10"/>
  <c r="Z66" i="10"/>
  <c r="Z53" i="10"/>
  <c r="Z71" i="10"/>
  <c r="Z91" i="10"/>
  <c r="Z69" i="10"/>
  <c r="Z61" i="10"/>
  <c r="Z89" i="10"/>
  <c r="Z15" i="10"/>
  <c r="Z39" i="10"/>
  <c r="Z97" i="10"/>
  <c r="Z81" i="10"/>
  <c r="Z102" i="10"/>
  <c r="Z40" i="10"/>
  <c r="Z7" i="10"/>
  <c r="Z57" i="10"/>
  <c r="Z60" i="10"/>
  <c r="Z41" i="10"/>
  <c r="Z59" i="10"/>
  <c r="Z96" i="10"/>
  <c r="Z33" i="10"/>
  <c r="Z25" i="10"/>
  <c r="Z99" i="10"/>
  <c r="Z110" i="10"/>
  <c r="T8" i="10"/>
  <c r="T92" i="10"/>
  <c r="T86" i="10"/>
  <c r="T82" i="10"/>
  <c r="T83" i="10"/>
  <c r="T72" i="10"/>
  <c r="T23" i="10"/>
  <c r="T67" i="10"/>
  <c r="T62" i="10"/>
  <c r="T77" i="10"/>
  <c r="T45" i="10"/>
  <c r="T79" i="10"/>
  <c r="T28" i="10"/>
  <c r="T50" i="10"/>
  <c r="T54" i="10"/>
  <c r="T87" i="10"/>
  <c r="T66" i="10"/>
  <c r="T53" i="10"/>
  <c r="T71" i="10"/>
  <c r="T91" i="10"/>
  <c r="T69" i="10"/>
  <c r="T61" i="10"/>
  <c r="T89" i="10"/>
  <c r="T15" i="10"/>
  <c r="T39" i="10"/>
  <c r="T97" i="10"/>
  <c r="T81" i="10"/>
  <c r="T102" i="10"/>
  <c r="T40" i="10"/>
  <c r="T7" i="10"/>
  <c r="T57" i="10"/>
  <c r="T60" i="10"/>
  <c r="T41" i="10"/>
  <c r="T59" i="10"/>
  <c r="T96" i="10"/>
  <c r="T33" i="10"/>
  <c r="T25" i="10"/>
  <c r="T99" i="10"/>
  <c r="T110" i="10"/>
  <c r="W17" i="11"/>
  <c r="T20" i="11"/>
  <c r="T25" i="11"/>
  <c r="T17" i="11"/>
  <c r="T15" i="11"/>
  <c r="T34" i="11"/>
  <c r="T32" i="11"/>
  <c r="T31" i="11"/>
  <c r="T24" i="11"/>
  <c r="T21" i="11"/>
  <c r="T35" i="11"/>
  <c r="T26" i="11"/>
  <c r="T11" i="11"/>
  <c r="T40" i="11"/>
  <c r="T38" i="11"/>
  <c r="T36" i="11"/>
  <c r="T30" i="11"/>
  <c r="T49" i="11"/>
  <c r="T57" i="11"/>
  <c r="T46" i="11"/>
  <c r="T63" i="11"/>
  <c r="T60" i="11"/>
  <c r="T79" i="11"/>
  <c r="T77" i="11"/>
  <c r="T75" i="11"/>
  <c r="T67" i="11"/>
  <c r="T56" i="11"/>
  <c r="T62" i="11"/>
  <c r="T73" i="11"/>
  <c r="T71" i="11"/>
  <c r="T69" i="11"/>
  <c r="T65" i="11"/>
  <c r="T47" i="11"/>
  <c r="T48" i="11"/>
  <c r="T59" i="11"/>
  <c r="T52" i="11"/>
  <c r="T7" i="11"/>
  <c r="Z10" i="12"/>
  <c r="Z9" i="12"/>
  <c r="Z37" i="12"/>
  <c r="Z41" i="12"/>
  <c r="Z40" i="12"/>
  <c r="Z21" i="12"/>
  <c r="Z22" i="12"/>
  <c r="Z18" i="12"/>
  <c r="Z19" i="12"/>
  <c r="Z49" i="12"/>
  <c r="Z50" i="12"/>
  <c r="Z48" i="12"/>
  <c r="Z35" i="12"/>
  <c r="Z39" i="12"/>
  <c r="Z16" i="12"/>
  <c r="Z15" i="12"/>
  <c r="Z26" i="12"/>
  <c r="Z53" i="12"/>
  <c r="Z56" i="12"/>
  <c r="Z54" i="12"/>
  <c r="Z55" i="12"/>
  <c r="Z28" i="12"/>
  <c r="Z57" i="12"/>
  <c r="Z60" i="12"/>
  <c r="Z13" i="12"/>
  <c r="Z59" i="12"/>
  <c r="Z25" i="12"/>
  <c r="Z42" i="12"/>
  <c r="Z61" i="12"/>
  <c r="Z12" i="12"/>
  <c r="Z29" i="12"/>
  <c r="Z23" i="12"/>
  <c r="Z32" i="12"/>
  <c r="Z46" i="12"/>
  <c r="Z17" i="12"/>
  <c r="Z34" i="12"/>
  <c r="Z14" i="12"/>
  <c r="Z45" i="12"/>
  <c r="Z27" i="12"/>
  <c r="Z24" i="12"/>
  <c r="Z63" i="12"/>
  <c r="Z66" i="12"/>
  <c r="Z62" i="12"/>
  <c r="T10" i="12"/>
  <c r="T9" i="12"/>
  <c r="T37" i="12"/>
  <c r="T41" i="12"/>
  <c r="T40" i="12"/>
  <c r="T21" i="12"/>
  <c r="T22" i="12"/>
  <c r="T18" i="12"/>
  <c r="T19" i="12"/>
  <c r="T49" i="12"/>
  <c r="T50" i="12"/>
  <c r="T48" i="12"/>
  <c r="T35" i="12"/>
  <c r="T39" i="12"/>
  <c r="T16" i="12"/>
  <c r="T15" i="12"/>
  <c r="T26" i="12"/>
  <c r="T53" i="12"/>
  <c r="T56" i="12"/>
  <c r="T54" i="12"/>
  <c r="T55" i="12"/>
  <c r="T28" i="12"/>
  <c r="T57" i="12"/>
  <c r="T60" i="12"/>
  <c r="T13" i="12"/>
  <c r="T59" i="12"/>
  <c r="T25" i="12"/>
  <c r="T42" i="12"/>
  <c r="T61" i="12"/>
  <c r="T29" i="12"/>
  <c r="T23" i="12"/>
  <c r="T32" i="12"/>
  <c r="T46" i="12"/>
  <c r="T17" i="12"/>
  <c r="T34" i="12"/>
  <c r="T14" i="12"/>
  <c r="T45" i="12"/>
  <c r="T27" i="12"/>
  <c r="T24" i="12"/>
  <c r="T63" i="12"/>
  <c r="T66" i="12"/>
  <c r="T62" i="12"/>
  <c r="W74" i="13"/>
  <c r="T119" i="16"/>
  <c r="W74" i="17"/>
  <c r="W72" i="17"/>
  <c r="W70" i="17"/>
  <c r="W68" i="17"/>
  <c r="W66" i="17"/>
  <c r="W64" i="17"/>
  <c r="W62" i="17"/>
  <c r="W60" i="17"/>
  <c r="W58" i="17"/>
  <c r="W56" i="17"/>
  <c r="W54" i="17"/>
  <c r="W52" i="17"/>
  <c r="W50" i="17"/>
  <c r="W48" i="17"/>
  <c r="W46" i="17"/>
  <c r="W44" i="17"/>
  <c r="W42" i="17"/>
  <c r="W40" i="17"/>
  <c r="W38" i="17"/>
  <c r="W36" i="17"/>
  <c r="W34" i="17"/>
  <c r="W32" i="17"/>
  <c r="W30" i="17"/>
  <c r="W28" i="17"/>
  <c r="W26" i="17"/>
  <c r="W24" i="17"/>
  <c r="W22" i="17"/>
  <c r="W20" i="17"/>
  <c r="W18" i="17"/>
  <c r="W16" i="17"/>
  <c r="W14" i="17"/>
  <c r="W12" i="17"/>
  <c r="W10" i="17"/>
  <c r="W8" i="17"/>
  <c r="W73" i="17"/>
  <c r="W71" i="17"/>
  <c r="W69" i="17"/>
  <c r="W65" i="17"/>
  <c r="W63" i="17"/>
  <c r="W61" i="17"/>
  <c r="W57" i="17"/>
  <c r="W53" i="17"/>
  <c r="W49" i="17"/>
  <c r="W45" i="17"/>
  <c r="W41" i="17"/>
  <c r="W37" i="17"/>
  <c r="W33" i="17"/>
  <c r="W29" i="17"/>
  <c r="W25" i="17"/>
  <c r="W21" i="17"/>
  <c r="W17" i="17"/>
  <c r="W13" i="17"/>
  <c r="W9" i="17"/>
  <c r="W7" i="17"/>
  <c r="Z155" i="15"/>
  <c r="T16" i="15"/>
  <c r="Z16" i="15"/>
  <c r="T12" i="12"/>
  <c r="W56" i="12"/>
  <c r="P90" i="13"/>
  <c r="M74" i="13"/>
  <c r="W64" i="12"/>
  <c r="AC20" i="11"/>
  <c r="AC25" i="11"/>
  <c r="AC17" i="11"/>
  <c r="AC15" i="11"/>
  <c r="AC34" i="11"/>
  <c r="AC32" i="11"/>
  <c r="AC31" i="11"/>
  <c r="AC24" i="11"/>
  <c r="AC21" i="11"/>
  <c r="AC35" i="11"/>
  <c r="AC26" i="11"/>
  <c r="AC11" i="11"/>
  <c r="AC40" i="11"/>
  <c r="AC38" i="11"/>
  <c r="AC36" i="11"/>
  <c r="AC30" i="11"/>
  <c r="AC49" i="11"/>
  <c r="AC57" i="11"/>
  <c r="AC46" i="11"/>
  <c r="AC63" i="11"/>
  <c r="AC60" i="11"/>
  <c r="AC79" i="11"/>
  <c r="AC42" i="11"/>
  <c r="W25" i="11"/>
  <c r="P9" i="10"/>
  <c r="M107" i="10"/>
  <c r="W107" i="10"/>
  <c r="W8" i="10"/>
  <c r="W92" i="10"/>
  <c r="W86" i="10"/>
  <c r="W43" i="10"/>
  <c r="W82" i="10"/>
  <c r="W83" i="10"/>
  <c r="W72" i="10"/>
  <c r="W31" i="10"/>
  <c r="W23" i="10"/>
  <c r="W67" i="10"/>
  <c r="W62" i="10"/>
  <c r="W20" i="10"/>
  <c r="W77" i="10"/>
  <c r="W45" i="10"/>
  <c r="W79" i="10"/>
  <c r="W80" i="10"/>
  <c r="W28" i="10"/>
  <c r="W50" i="10"/>
  <c r="W54" i="10"/>
  <c r="W46" i="10"/>
  <c r="W87" i="10"/>
  <c r="W66" i="10"/>
  <c r="W53" i="10"/>
  <c r="W29" i="10"/>
  <c r="W71" i="10"/>
  <c r="W91" i="10"/>
  <c r="W69" i="10"/>
  <c r="W84" i="10"/>
  <c r="W61" i="10"/>
  <c r="W89" i="10"/>
  <c r="W15" i="10"/>
  <c r="W38" i="10"/>
  <c r="W39" i="10"/>
  <c r="W97" i="10"/>
  <c r="W81" i="10"/>
  <c r="W98" i="10"/>
  <c r="W102" i="10"/>
  <c r="W40" i="10"/>
  <c r="W7" i="10"/>
  <c r="W47" i="10"/>
  <c r="W57" i="10"/>
  <c r="W60" i="10"/>
  <c r="W41" i="10"/>
  <c r="W94" i="10"/>
  <c r="W59" i="10"/>
  <c r="W96" i="10"/>
  <c r="W33" i="10"/>
  <c r="W14" i="10"/>
  <c r="W25" i="10"/>
  <c r="W99" i="10"/>
  <c r="W110" i="10"/>
  <c r="W108" i="10"/>
  <c r="W85" i="10"/>
  <c r="W106" i="10"/>
  <c r="W103" i="10"/>
  <c r="W36" i="10"/>
  <c r="W16" i="10"/>
  <c r="W32" i="10"/>
  <c r="W109" i="10"/>
  <c r="W27" i="7"/>
  <c r="W13" i="7"/>
  <c r="W25" i="7"/>
  <c r="T40" i="7"/>
  <c r="Z19" i="7"/>
  <c r="Z17" i="7"/>
  <c r="Z36" i="7"/>
  <c r="Z42" i="7"/>
  <c r="Z33" i="7"/>
  <c r="W35" i="7"/>
  <c r="W29" i="7"/>
  <c r="W18" i="7"/>
  <c r="W28" i="7"/>
  <c r="W34" i="7"/>
  <c r="W32" i="7"/>
  <c r="W38" i="7"/>
  <c r="W40" i="7"/>
  <c r="W23" i="7"/>
  <c r="W19" i="7"/>
  <c r="W26" i="7"/>
  <c r="W17" i="7"/>
  <c r="W16" i="7"/>
  <c r="W7" i="7"/>
  <c r="W21" i="7"/>
  <c r="W42" i="7"/>
  <c r="W33" i="7"/>
  <c r="W24" i="7"/>
  <c r="W14" i="7"/>
  <c r="T42" i="7"/>
  <c r="T41" i="7"/>
  <c r="T37" i="7"/>
  <c r="T39" i="7"/>
  <c r="P17" i="7"/>
  <c r="B128" i="8"/>
  <c r="W120" i="15"/>
  <c r="W52" i="15"/>
  <c r="W44" i="15"/>
  <c r="W70" i="15"/>
  <c r="W77" i="15"/>
  <c r="W19" i="15"/>
  <c r="W123" i="15"/>
  <c r="W106" i="15"/>
  <c r="W113" i="15"/>
  <c r="W147" i="15"/>
  <c r="W115" i="15"/>
  <c r="W159" i="15"/>
  <c r="W166" i="15"/>
  <c r="W97" i="15"/>
  <c r="W27" i="15"/>
  <c r="W53" i="15"/>
  <c r="T40" i="15"/>
  <c r="T57" i="15"/>
  <c r="T138" i="15"/>
  <c r="T14" i="15"/>
  <c r="T22" i="15"/>
  <c r="P15" i="7"/>
  <c r="W8" i="7"/>
  <c r="P29" i="7"/>
  <c r="Z35" i="7"/>
  <c r="Z29" i="7"/>
  <c r="Z18" i="7"/>
  <c r="Z28" i="7"/>
  <c r="Z34" i="7"/>
  <c r="Z32" i="7"/>
  <c r="Z38" i="7"/>
  <c r="Z40" i="7"/>
  <c r="Z23" i="7"/>
  <c r="Z26" i="7"/>
  <c r="Z16" i="7"/>
  <c r="Z21" i="7"/>
  <c r="M7" i="7"/>
  <c r="N7" i="7" s="1"/>
  <c r="Z41" i="7"/>
  <c r="Z20" i="7"/>
  <c r="Z31" i="7"/>
  <c r="Z30" i="7"/>
  <c r="W36" i="7"/>
  <c r="W41" i="7"/>
  <c r="W20" i="7"/>
  <c r="W31" i="7"/>
  <c r="W30" i="7"/>
  <c r="W39" i="7"/>
  <c r="W15" i="7"/>
  <c r="W22" i="7"/>
  <c r="T38" i="7"/>
  <c r="M25" i="7"/>
  <c r="M22" i="7"/>
  <c r="W16" i="8"/>
  <c r="W149" i="8"/>
  <c r="W155" i="8"/>
  <c r="W169" i="8"/>
  <c r="W87" i="8"/>
  <c r="W72" i="8"/>
  <c r="W59" i="8"/>
  <c r="W76" i="8"/>
  <c r="W78" i="8"/>
  <c r="W96" i="8"/>
  <c r="W43" i="8"/>
  <c r="W58" i="8"/>
  <c r="W30" i="8"/>
  <c r="W135" i="8"/>
  <c r="W129" i="8"/>
  <c r="AE81" i="8"/>
  <c r="AE67" i="8"/>
  <c r="AE16" i="8"/>
  <c r="AE23" i="8"/>
  <c r="AE33" i="8"/>
  <c r="AE24" i="8"/>
  <c r="AE9" i="8"/>
  <c r="AE27" i="8"/>
  <c r="AE35" i="8"/>
  <c r="AE94" i="8"/>
  <c r="AE62" i="8"/>
  <c r="Z24" i="7"/>
  <c r="Z39" i="7"/>
  <c r="Z13" i="7"/>
  <c r="Z15" i="7"/>
  <c r="Z14" i="7"/>
  <c r="Z22" i="7"/>
  <c r="Z25" i="7"/>
  <c r="AE109" i="8"/>
  <c r="T42" i="11"/>
  <c r="T14" i="11"/>
  <c r="T33" i="11"/>
  <c r="T16" i="11"/>
  <c r="T19" i="11"/>
  <c r="W109" i="8"/>
  <c r="W81" i="8"/>
  <c r="W67" i="8"/>
  <c r="W23" i="8"/>
  <c r="W33" i="8"/>
  <c r="W24" i="8"/>
  <c r="W150" i="8"/>
  <c r="W152" i="8"/>
  <c r="W154" i="8"/>
  <c r="W157" i="8"/>
  <c r="W159" i="8"/>
  <c r="W161" i="8"/>
  <c r="W147" i="8"/>
  <c r="W166" i="8"/>
  <c r="W168" i="8"/>
  <c r="W171" i="8"/>
  <c r="W18" i="8"/>
  <c r="W102" i="8"/>
  <c r="W84" i="8"/>
  <c r="W97" i="8"/>
  <c r="W19" i="8"/>
  <c r="W103" i="8"/>
  <c r="W73" i="8"/>
  <c r="W46" i="8"/>
  <c r="W60" i="8"/>
  <c r="W104" i="8"/>
  <c r="W40" i="8"/>
  <c r="W86" i="8"/>
  <c r="W65" i="8"/>
  <c r="W106" i="8"/>
  <c r="W91" i="8"/>
  <c r="W77" i="8"/>
  <c r="W55" i="8"/>
  <c r="W107" i="8"/>
  <c r="W98" i="8"/>
  <c r="W15" i="8"/>
  <c r="W28" i="8"/>
  <c r="W121" i="8"/>
  <c r="W50" i="8"/>
  <c r="W38" i="8"/>
  <c r="W48" i="8"/>
  <c r="W56" i="8"/>
  <c r="W13" i="8"/>
  <c r="W52" i="8"/>
  <c r="W25" i="8"/>
  <c r="W82" i="8"/>
  <c r="W45" i="8"/>
  <c r="W113" i="8"/>
  <c r="W39" i="8"/>
  <c r="W63" i="8"/>
  <c r="W31" i="8"/>
  <c r="W144" i="8"/>
  <c r="W145" i="8"/>
  <c r="W143" i="8"/>
  <c r="W140" i="8"/>
  <c r="W130" i="8"/>
  <c r="W132" i="8"/>
  <c r="Z37" i="10"/>
  <c r="Z85" i="10"/>
  <c r="Z35" i="10"/>
  <c r="Z106" i="10"/>
  <c r="Z104" i="10"/>
  <c r="Z103" i="10"/>
  <c r="T37" i="10"/>
  <c r="T85" i="10"/>
  <c r="T35" i="10"/>
  <c r="T106" i="10"/>
  <c r="T104" i="10"/>
  <c r="T103" i="10"/>
  <c r="T101" i="10"/>
  <c r="T36" i="10"/>
  <c r="T76" i="10"/>
  <c r="T65" i="10"/>
  <c r="T70" i="10"/>
  <c r="T64" i="10"/>
  <c r="T74" i="10"/>
  <c r="T73" i="10"/>
  <c r="T78" i="10"/>
  <c r="T75" i="10"/>
  <c r="T34" i="10"/>
  <c r="T48" i="10"/>
  <c r="T52" i="10"/>
  <c r="T56" i="10"/>
  <c r="T49" i="10"/>
  <c r="T51" i="10"/>
  <c r="W33" i="15"/>
  <c r="W82" i="15"/>
  <c r="W69" i="15"/>
  <c r="W21" i="15"/>
  <c r="W17" i="15"/>
  <c r="W75" i="15"/>
  <c r="W18" i="15"/>
  <c r="W121" i="15"/>
  <c r="W124" i="15"/>
  <c r="W105" i="15"/>
  <c r="W108" i="15"/>
  <c r="W111" i="15"/>
  <c r="W180" i="15"/>
  <c r="W149" i="15"/>
  <c r="W151" i="15"/>
  <c r="W163" i="15"/>
  <c r="W117" i="15"/>
  <c r="W154" i="15"/>
  <c r="W161" i="15"/>
  <c r="W157" i="15"/>
  <c r="W160" i="15"/>
  <c r="W174" i="15"/>
  <c r="W168" i="15"/>
  <c r="W99" i="15"/>
  <c r="W101" i="15"/>
  <c r="W10" i="15"/>
  <c r="W46" i="15"/>
  <c r="W63" i="15"/>
  <c r="W85" i="15"/>
  <c r="W37" i="15"/>
  <c r="W87" i="15"/>
  <c r="Z133" i="16"/>
  <c r="Z131" i="16"/>
  <c r="Z129" i="16"/>
  <c r="Z127" i="16"/>
  <c r="Z117" i="16"/>
  <c r="Z115" i="16"/>
  <c r="Z113" i="16"/>
  <c r="Z112" i="16"/>
  <c r="Z110" i="16"/>
  <c r="Z108" i="16"/>
  <c r="Z106" i="16"/>
  <c r="Z104" i="16"/>
  <c r="Z102" i="16"/>
  <c r="Z100" i="16"/>
  <c r="W133" i="16"/>
  <c r="W131" i="16"/>
  <c r="W129" i="16"/>
  <c r="W127" i="16"/>
  <c r="W117" i="16"/>
  <c r="W115" i="16"/>
  <c r="W113" i="16"/>
  <c r="W112" i="16"/>
  <c r="W110" i="16"/>
  <c r="W108" i="16"/>
  <c r="W106" i="16"/>
  <c r="W104" i="16"/>
  <c r="W102" i="16"/>
  <c r="W100" i="16"/>
  <c r="W10" i="16"/>
  <c r="W97" i="16"/>
  <c r="W95" i="16"/>
  <c r="W93" i="16"/>
  <c r="W91" i="16"/>
  <c r="W89" i="16"/>
  <c r="W124" i="16"/>
  <c r="W88" i="16"/>
  <c r="W86" i="16"/>
  <c r="W84" i="16"/>
  <c r="W7" i="16"/>
  <c r="W82" i="16"/>
  <c r="W80" i="16"/>
  <c r="W78" i="16"/>
  <c r="W76" i="16"/>
  <c r="W74" i="16"/>
  <c r="W72" i="16"/>
  <c r="T7" i="17"/>
  <c r="Z7" i="17"/>
  <c r="W119" i="16"/>
  <c r="Z119" i="16"/>
  <c r="W67" i="15"/>
  <c r="W79" i="15"/>
  <c r="W81" i="15"/>
  <c r="W51" i="15"/>
  <c r="W83" i="15"/>
  <c r="W71" i="15"/>
  <c r="W73" i="15"/>
  <c r="W68" i="15"/>
  <c r="W72" i="15"/>
  <c r="W49" i="15"/>
  <c r="W74" i="15"/>
  <c r="W50" i="15"/>
  <c r="W23" i="15"/>
  <c r="W78" i="15"/>
  <c r="W76" i="15"/>
  <c r="W125" i="15"/>
  <c r="W126" i="15"/>
  <c r="W122" i="15"/>
  <c r="W169" i="15"/>
  <c r="W96" i="15"/>
  <c r="W107" i="15"/>
  <c r="W109" i="15"/>
  <c r="W181" i="15"/>
  <c r="W112" i="15"/>
  <c r="W114" i="15"/>
  <c r="W145" i="15"/>
  <c r="W142" i="15"/>
  <c r="T120" i="15"/>
  <c r="T33" i="15"/>
  <c r="T80" i="15"/>
  <c r="T82" i="15"/>
  <c r="T52" i="15"/>
  <c r="T69" i="15"/>
  <c r="T44" i="15"/>
  <c r="T21" i="15"/>
  <c r="T70" i="15"/>
  <c r="T17" i="15"/>
  <c r="T20" i="15"/>
  <c r="T75" i="15"/>
  <c r="T77" i="15"/>
  <c r="T18" i="15"/>
  <c r="T19" i="15"/>
  <c r="T121" i="15"/>
  <c r="T123" i="15"/>
  <c r="T124" i="15"/>
  <c r="T179" i="15"/>
  <c r="T105" i="15"/>
  <c r="T106" i="15"/>
  <c r="T108" i="15"/>
  <c r="T110" i="15"/>
  <c r="T111" i="15"/>
  <c r="T113" i="15"/>
  <c r="T180" i="15"/>
  <c r="T144" i="15"/>
  <c r="T149" i="15"/>
  <c r="T147" i="15"/>
  <c r="T151" i="15"/>
  <c r="T155" i="15"/>
  <c r="T163" i="15"/>
  <c r="T117" i="15"/>
  <c r="T119" i="15"/>
  <c r="T154" i="15"/>
  <c r="T115" i="15"/>
  <c r="T161" i="15"/>
  <c r="T171" i="15"/>
  <c r="T157" i="15"/>
  <c r="T159" i="15"/>
  <c r="T160" i="15"/>
  <c r="T176" i="15"/>
  <c r="T174" i="15"/>
  <c r="T166" i="15"/>
  <c r="T168" i="15"/>
  <c r="T170" i="15"/>
  <c r="T99" i="15"/>
  <c r="T97" i="15"/>
  <c r="T101" i="15"/>
  <c r="T132" i="15"/>
  <c r="T10" i="15"/>
  <c r="T27" i="15"/>
  <c r="T46" i="15"/>
  <c r="T29" i="15"/>
  <c r="T63" i="15"/>
  <c r="T53" i="15"/>
  <c r="T85" i="15"/>
  <c r="T65" i="15"/>
  <c r="T37" i="15"/>
  <c r="T38" i="15"/>
  <c r="T87" i="15"/>
  <c r="T35" i="15"/>
  <c r="T90" i="15"/>
  <c r="T92" i="15"/>
  <c r="T48" i="15"/>
  <c r="T28" i="15"/>
  <c r="T26" i="15"/>
  <c r="T25" i="15"/>
  <c r="T61" i="15"/>
  <c r="T55" i="15"/>
  <c r="T131" i="15"/>
  <c r="T137" i="15"/>
  <c r="T128" i="15"/>
  <c r="T141" i="15"/>
  <c r="T8" i="15"/>
  <c r="T95" i="15"/>
  <c r="T11" i="15"/>
  <c r="W16" i="15"/>
  <c r="P32" i="13"/>
  <c r="P93" i="13"/>
  <c r="P73" i="13"/>
  <c r="P84" i="13"/>
  <c r="P14" i="13"/>
  <c r="P8" i="13"/>
  <c r="P19" i="13"/>
  <c r="P53" i="13"/>
  <c r="P50" i="13"/>
  <c r="P69" i="13"/>
  <c r="P15" i="13"/>
  <c r="P66" i="13"/>
  <c r="P85" i="13"/>
  <c r="P86" i="13"/>
  <c r="P83" i="13"/>
  <c r="P91" i="13"/>
  <c r="P44" i="13"/>
  <c r="P42" i="13"/>
  <c r="P40" i="13"/>
  <c r="P64" i="13"/>
  <c r="P68" i="13"/>
  <c r="P58" i="13"/>
  <c r="P17" i="13"/>
  <c r="P25" i="13"/>
  <c r="P24" i="13"/>
  <c r="P29" i="13"/>
  <c r="P60" i="13"/>
  <c r="P61" i="13"/>
  <c r="P87" i="13"/>
  <c r="P12" i="13"/>
  <c r="P98" i="13"/>
  <c r="P59" i="13"/>
  <c r="P55" i="13"/>
  <c r="P38" i="13"/>
  <c r="P39" i="13"/>
  <c r="P56" i="13"/>
  <c r="P80" i="13"/>
  <c r="P71" i="13"/>
  <c r="P27" i="13"/>
  <c r="P34" i="13"/>
  <c r="P33" i="13"/>
  <c r="P28" i="13"/>
  <c r="P7" i="13"/>
  <c r="P9" i="13"/>
  <c r="P11" i="13"/>
  <c r="P31" i="13"/>
  <c r="P35" i="13"/>
  <c r="P72" i="13"/>
  <c r="P57" i="13"/>
  <c r="P88" i="13"/>
  <c r="P96" i="13"/>
  <c r="P75" i="13"/>
  <c r="P63" i="13"/>
  <c r="P81" i="13"/>
  <c r="P78" i="13"/>
  <c r="P43" i="13"/>
  <c r="P36" i="13"/>
  <c r="P51" i="13"/>
  <c r="P23" i="13"/>
  <c r="P16" i="13"/>
  <c r="P65" i="13"/>
  <c r="P70" i="13"/>
  <c r="P52" i="13"/>
  <c r="P26" i="13"/>
  <c r="P46" i="13"/>
  <c r="P45" i="13"/>
  <c r="P30" i="13"/>
  <c r="P21" i="13"/>
  <c r="P10" i="13"/>
  <c r="P48" i="13"/>
  <c r="P13" i="13"/>
  <c r="P76" i="13"/>
  <c r="P94" i="13"/>
  <c r="P95" i="13"/>
  <c r="P79" i="13"/>
  <c r="P92" i="13"/>
  <c r="P49" i="13"/>
  <c r="P82" i="13"/>
  <c r="T74" i="13"/>
  <c r="Z74" i="13"/>
  <c r="P41" i="13"/>
  <c r="P97" i="13"/>
  <c r="P89" i="13"/>
  <c r="P22" i="13"/>
  <c r="P20" i="13"/>
  <c r="P62" i="13"/>
  <c r="P47" i="13"/>
  <c r="P67" i="13"/>
  <c r="P18" i="13"/>
  <c r="P54" i="13"/>
  <c r="P37" i="13"/>
  <c r="P77" i="13"/>
  <c r="P9" i="12"/>
  <c r="P12" i="12"/>
  <c r="P11" i="12"/>
  <c r="T64" i="12"/>
  <c r="Z64" i="12"/>
  <c r="P10" i="12"/>
  <c r="P10" i="11"/>
  <c r="P12" i="11"/>
  <c r="P8" i="11"/>
  <c r="P9" i="11"/>
  <c r="P37" i="11"/>
  <c r="P39" i="11"/>
  <c r="P41" i="11"/>
  <c r="P18" i="11"/>
  <c r="P13" i="11"/>
  <c r="P19" i="11"/>
  <c r="P23" i="11"/>
  <c r="P16" i="11"/>
  <c r="P27" i="11"/>
  <c r="P33" i="11"/>
  <c r="P29" i="11"/>
  <c r="P14" i="11"/>
  <c r="P28" i="11"/>
  <c r="P42" i="11"/>
  <c r="P22" i="11"/>
  <c r="P36" i="11"/>
  <c r="P40" i="11"/>
  <c r="P26" i="11"/>
  <c r="P21" i="11"/>
  <c r="P31" i="11"/>
  <c r="P34" i="11"/>
  <c r="P17" i="11"/>
  <c r="P20" i="11"/>
  <c r="P7" i="11"/>
  <c r="P30" i="11"/>
  <c r="P38" i="11"/>
  <c r="P11" i="11"/>
  <c r="P35" i="11"/>
  <c r="P24" i="11"/>
  <c r="P32" i="11"/>
  <c r="P15" i="11"/>
  <c r="P25" i="11"/>
  <c r="T10" i="11"/>
  <c r="AC10" i="11"/>
  <c r="P92" i="10"/>
  <c r="P43" i="10"/>
  <c r="P83" i="10"/>
  <c r="P31" i="10"/>
  <c r="P67" i="10"/>
  <c r="P20" i="10"/>
  <c r="P45" i="10"/>
  <c r="P80" i="10"/>
  <c r="P50" i="10"/>
  <c r="P56" i="10"/>
  <c r="P30" i="10"/>
  <c r="P95" i="10"/>
  <c r="P17" i="10"/>
  <c r="P100" i="10"/>
  <c r="P55" i="10"/>
  <c r="P13" i="10"/>
  <c r="P99" i="10"/>
  <c r="P25" i="10"/>
  <c r="P14" i="10"/>
  <c r="P33" i="10"/>
  <c r="P96" i="10"/>
  <c r="P59" i="10"/>
  <c r="P94" i="10"/>
  <c r="P41" i="10"/>
  <c r="P60" i="10"/>
  <c r="P57" i="10"/>
  <c r="P47" i="10"/>
  <c r="P7" i="10"/>
  <c r="P40" i="10"/>
  <c r="P102" i="10"/>
  <c r="P98" i="10"/>
  <c r="P81" i="10"/>
  <c r="P97" i="10"/>
  <c r="P39" i="10"/>
  <c r="P38" i="10"/>
  <c r="P15" i="10"/>
  <c r="P89" i="10"/>
  <c r="P61" i="10"/>
  <c r="P84" i="10"/>
  <c r="P69" i="10"/>
  <c r="P91" i="10"/>
  <c r="P71" i="10"/>
  <c r="P29" i="10"/>
  <c r="P53" i="10"/>
  <c r="P66" i="10"/>
  <c r="P87" i="10"/>
  <c r="P46" i="10"/>
  <c r="P32" i="10"/>
  <c r="P16" i="10"/>
  <c r="P24" i="10"/>
  <c r="P21" i="10"/>
  <c r="P42" i="10"/>
  <c r="P18" i="10"/>
  <c r="P105" i="10"/>
  <c r="P19" i="10"/>
  <c r="P27" i="10"/>
  <c r="P88" i="10"/>
  <c r="P68" i="10"/>
  <c r="P12" i="10"/>
  <c r="P26" i="10"/>
  <c r="P49" i="10"/>
  <c r="P52" i="10"/>
  <c r="P48" i="10"/>
  <c r="P34" i="10"/>
  <c r="P75" i="10"/>
  <c r="P78" i="10"/>
  <c r="P73" i="10"/>
  <c r="P74" i="10"/>
  <c r="P64" i="10"/>
  <c r="P70" i="10"/>
  <c r="P65" i="10"/>
  <c r="P76" i="10"/>
  <c r="P36" i="10"/>
  <c r="P101" i="10"/>
  <c r="P103" i="10"/>
  <c r="P104" i="10"/>
  <c r="P106" i="10"/>
  <c r="P35" i="10"/>
  <c r="P85" i="10"/>
  <c r="P37" i="10"/>
  <c r="T107" i="10"/>
  <c r="Z107" i="10"/>
  <c r="P86" i="10"/>
  <c r="P82" i="10"/>
  <c r="P72" i="10"/>
  <c r="P23" i="10"/>
  <c r="P62" i="10"/>
  <c r="P77" i="10"/>
  <c r="P79" i="10"/>
  <c r="P28" i="10"/>
  <c r="P54" i="10"/>
  <c r="P51" i="10"/>
  <c r="P90" i="10"/>
  <c r="P63" i="10"/>
  <c r="P93" i="10"/>
  <c r="P10" i="10"/>
  <c r="P58" i="10"/>
  <c r="P22" i="10"/>
  <c r="P11" i="10"/>
  <c r="W10" i="8"/>
  <c r="AE151" i="8"/>
  <c r="AE112" i="8"/>
  <c r="AE158" i="8"/>
  <c r="AE162" i="8"/>
  <c r="AE148" i="8"/>
  <c r="AE167" i="8"/>
  <c r="AE95" i="8"/>
  <c r="AE53" i="8"/>
  <c r="AE17" i="8"/>
  <c r="AE57" i="8"/>
  <c r="AE42" i="8"/>
  <c r="AE68" i="8"/>
  <c r="AE37" i="8"/>
  <c r="AE61" i="8"/>
  <c r="AE8" i="8"/>
  <c r="AE108" i="8"/>
  <c r="AE64" i="8"/>
  <c r="AE70" i="8"/>
  <c r="AE22" i="8"/>
  <c r="AE83" i="8"/>
  <c r="AE93" i="8"/>
  <c r="AE69" i="8"/>
  <c r="AE34" i="8"/>
  <c r="AE32" i="8"/>
  <c r="AE54" i="8"/>
  <c r="AE124" i="8"/>
  <c r="AE26" i="8"/>
  <c r="AE12" i="8"/>
  <c r="AE11" i="8"/>
  <c r="AE29" i="8"/>
  <c r="AE141" i="8"/>
  <c r="AE142" i="8"/>
  <c r="AE128" i="8"/>
  <c r="AE133" i="8"/>
  <c r="AE131" i="8"/>
  <c r="T101" i="9"/>
  <c r="Z101" i="9"/>
  <c r="P8" i="9"/>
  <c r="P36" i="9"/>
  <c r="P10" i="9"/>
  <c r="P22" i="9"/>
  <c r="P44" i="9"/>
  <c r="P47" i="9"/>
  <c r="P24" i="9"/>
  <c r="P18" i="9"/>
  <c r="P11" i="9"/>
  <c r="P13" i="9"/>
  <c r="P34" i="9"/>
  <c r="P12" i="9"/>
  <c r="P26" i="9"/>
  <c r="P27" i="9"/>
  <c r="P40" i="9"/>
  <c r="P17" i="9"/>
  <c r="P31" i="9"/>
  <c r="P25" i="9"/>
  <c r="P7" i="9"/>
  <c r="P23" i="9"/>
  <c r="P43" i="9"/>
  <c r="P32" i="9"/>
  <c r="P46" i="9"/>
  <c r="P28" i="9"/>
  <c r="P19" i="9"/>
  <c r="P14" i="9"/>
  <c r="P33" i="9"/>
  <c r="P37" i="9"/>
  <c r="P45" i="9"/>
  <c r="P20" i="9"/>
  <c r="P35" i="9"/>
  <c r="P30" i="9"/>
  <c r="P21" i="9"/>
  <c r="P29" i="9"/>
  <c r="P41" i="9"/>
  <c r="P9" i="9"/>
  <c r="P42" i="9"/>
  <c r="P39" i="9"/>
  <c r="P38" i="9"/>
  <c r="P15" i="9"/>
  <c r="W101" i="9"/>
  <c r="W27" i="8"/>
  <c r="W110" i="8"/>
  <c r="W35" i="8"/>
  <c r="W94" i="8"/>
  <c r="W36" i="8"/>
  <c r="W62" i="8"/>
  <c r="W47" i="8"/>
  <c r="W151" i="8"/>
  <c r="W153" i="8"/>
  <c r="W112" i="8"/>
  <c r="W156" i="8"/>
  <c r="W158" i="8"/>
  <c r="W160" i="8"/>
  <c r="W162" i="8"/>
  <c r="W164" i="8"/>
  <c r="W148" i="8"/>
  <c r="W165" i="8"/>
  <c r="W167" i="8"/>
  <c r="W170" i="8"/>
  <c r="W95" i="8"/>
  <c r="W99" i="8"/>
  <c r="W53" i="8"/>
  <c r="W79" i="8"/>
  <c r="W17" i="8"/>
  <c r="W123" i="8"/>
  <c r="W57" i="8"/>
  <c r="W88" i="8"/>
  <c r="W42" i="8"/>
  <c r="W14" i="8"/>
  <c r="W68" i="8"/>
  <c r="W92" i="8"/>
  <c r="W37" i="8"/>
  <c r="W49" i="8"/>
  <c r="W61" i="8"/>
  <c r="W100" i="8"/>
  <c r="W8" i="8"/>
  <c r="W21" i="8"/>
  <c r="W108" i="8"/>
  <c r="W111" i="8"/>
  <c r="W64" i="8"/>
  <c r="W80" i="8"/>
  <c r="W70" i="8"/>
  <c r="W85" i="8"/>
  <c r="W22" i="8"/>
  <c r="W51" i="8"/>
  <c r="W83" i="8"/>
  <c r="W122" i="8"/>
  <c r="W93" i="8"/>
  <c r="W66" i="8"/>
  <c r="W69" i="8"/>
  <c r="W89" i="8"/>
  <c r="W34" i="8"/>
  <c r="W75" i="8"/>
  <c r="W32" i="8"/>
  <c r="W90" i="8"/>
  <c r="W54" i="8"/>
  <c r="W74" i="8"/>
  <c r="W124" i="8"/>
  <c r="W71" i="8"/>
  <c r="W26" i="8"/>
  <c r="W7" i="8"/>
  <c r="W12" i="8"/>
  <c r="W114" i="8"/>
  <c r="W11" i="8"/>
  <c r="W44" i="8"/>
  <c r="W29" i="8"/>
  <c r="W136" i="8"/>
  <c r="W141" i="8"/>
  <c r="W146" i="8"/>
  <c r="W142" i="8"/>
  <c r="W134" i="8"/>
  <c r="W128" i="8"/>
  <c r="W133" i="8"/>
  <c r="W131" i="8"/>
  <c r="W20" i="8"/>
  <c r="P10" i="8"/>
  <c r="P20" i="8"/>
  <c r="B131" i="8"/>
  <c r="B133" i="8"/>
  <c r="B134" i="8"/>
  <c r="B142" i="8"/>
  <c r="B146" i="8"/>
  <c r="B141" i="8"/>
  <c r="B132" i="8"/>
  <c r="B140" i="8"/>
  <c r="B143" i="8"/>
  <c r="B144" i="8"/>
  <c r="P30" i="8"/>
  <c r="P31" i="8"/>
  <c r="P63" i="8"/>
  <c r="P39" i="8"/>
  <c r="P101" i="8"/>
  <c r="P113" i="8"/>
  <c r="P45" i="8"/>
  <c r="P82" i="8"/>
  <c r="P58" i="8"/>
  <c r="P25" i="8"/>
  <c r="P52" i="8"/>
  <c r="P13" i="8"/>
  <c r="P43" i="8"/>
  <c r="P56" i="8"/>
  <c r="P48" i="8"/>
  <c r="P38" i="8"/>
  <c r="P50" i="8"/>
  <c r="P121" i="8"/>
  <c r="P28" i="8"/>
  <c r="P105" i="8"/>
  <c r="P15" i="8"/>
  <c r="P98" i="8"/>
  <c r="P107" i="8"/>
  <c r="P78" i="8"/>
  <c r="P55" i="8"/>
  <c r="P77" i="8"/>
  <c r="P91" i="8"/>
  <c r="P76" i="8"/>
  <c r="P106" i="8"/>
  <c r="P65" i="8"/>
  <c r="P86" i="8"/>
  <c r="P59" i="8"/>
  <c r="P40" i="8"/>
  <c r="P104" i="8"/>
  <c r="P60" i="8"/>
  <c r="P41" i="8"/>
  <c r="P46" i="8"/>
  <c r="P73" i="8"/>
  <c r="P103" i="8"/>
  <c r="P72" i="8"/>
  <c r="P19" i="8"/>
  <c r="P97" i="8"/>
  <c r="P84" i="8"/>
  <c r="P87" i="8"/>
  <c r="P102" i="8"/>
  <c r="P18" i="8"/>
  <c r="B171" i="8"/>
  <c r="B169" i="8"/>
  <c r="B168" i="8"/>
  <c r="B166" i="8"/>
  <c r="B147" i="8"/>
  <c r="B163" i="8"/>
  <c r="B161" i="8"/>
  <c r="B159" i="8"/>
  <c r="B157" i="8"/>
  <c r="B155" i="8"/>
  <c r="B154" i="8"/>
  <c r="B152" i="8"/>
  <c r="B150" i="8"/>
  <c r="B149" i="8"/>
  <c r="P24" i="8"/>
  <c r="P33" i="8"/>
  <c r="P23" i="8"/>
  <c r="P16" i="8"/>
  <c r="P67" i="8"/>
  <c r="P81" i="8"/>
  <c r="P109" i="8"/>
  <c r="B130" i="8"/>
  <c r="B145" i="8"/>
  <c r="P29" i="8"/>
  <c r="P11" i="8"/>
  <c r="P12" i="8"/>
  <c r="P26" i="8"/>
  <c r="P124" i="8"/>
  <c r="P54" i="8"/>
  <c r="P32" i="8"/>
  <c r="P34" i="8"/>
  <c r="P69" i="8"/>
  <c r="P93" i="8"/>
  <c r="P83" i="8"/>
  <c r="P22" i="8"/>
  <c r="P70" i="8"/>
  <c r="P64" i="8"/>
  <c r="P108" i="8"/>
  <c r="P8" i="8"/>
  <c r="P61" i="8"/>
  <c r="P37" i="8"/>
  <c r="P68" i="8"/>
  <c r="P42" i="8"/>
  <c r="P57" i="8"/>
  <c r="P17" i="8"/>
  <c r="P53" i="8"/>
  <c r="P95" i="8"/>
  <c r="B167" i="8"/>
  <c r="B148" i="8"/>
  <c r="B162" i="8"/>
  <c r="B158" i="8"/>
  <c r="P112" i="8"/>
  <c r="B151" i="8"/>
  <c r="P62" i="8"/>
  <c r="P94" i="8"/>
  <c r="P27" i="8"/>
  <c r="B129" i="8"/>
  <c r="B135" i="8"/>
  <c r="B136" i="8"/>
  <c r="P44" i="8"/>
  <c r="P114" i="8"/>
  <c r="P7" i="8"/>
  <c r="P71" i="8"/>
  <c r="P74" i="8"/>
  <c r="P90" i="8"/>
  <c r="P75" i="8"/>
  <c r="P89" i="8"/>
  <c r="P66" i="8"/>
  <c r="P122" i="8"/>
  <c r="P51" i="8"/>
  <c r="P85" i="8"/>
  <c r="P80" i="8"/>
  <c r="P111" i="8"/>
  <c r="P21" i="8"/>
  <c r="P100" i="8"/>
  <c r="P49" i="8"/>
  <c r="P92" i="8"/>
  <c r="P14" i="8"/>
  <c r="P88" i="8"/>
  <c r="P123" i="8"/>
  <c r="P79" i="8"/>
  <c r="P99" i="8"/>
  <c r="B170" i="8"/>
  <c r="B165" i="8"/>
  <c r="B164" i="8"/>
  <c r="B160" i="8"/>
  <c r="B156" i="8"/>
  <c r="B153" i="8"/>
  <c r="P47" i="8"/>
  <c r="P36" i="8"/>
  <c r="P35" i="8"/>
  <c r="P9" i="8"/>
  <c r="AE10" i="8"/>
  <c r="P13" i="7"/>
  <c r="P41" i="7"/>
  <c r="Z8" i="7"/>
  <c r="P16" i="7"/>
  <c r="N96" i="8" l="1"/>
  <c r="B96" i="8"/>
  <c r="P7" i="7"/>
  <c r="P96" i="8"/>
  <c r="N25" i="7"/>
  <c r="B25" i="7"/>
  <c r="N22" i="7"/>
  <c r="B22" i="7"/>
  <c r="N74" i="13"/>
  <c r="B74" i="13"/>
  <c r="B107" i="10"/>
  <c r="N107" i="10"/>
  <c r="P25" i="7"/>
  <c r="P22" i="7"/>
  <c r="P74" i="13"/>
  <c r="P8" i="7"/>
  <c r="M110" i="8" l="1"/>
  <c r="N110" i="8" l="1"/>
  <c r="B110" i="8"/>
  <c r="P110" i="8"/>
</calcChain>
</file>

<file path=xl/comments1.xml><?xml version="1.0" encoding="utf-8"?>
<comments xmlns="http://schemas.openxmlformats.org/spreadsheetml/2006/main">
  <authors>
    <author>Marcelo Spinelli Oliveira</author>
  </authors>
  <commentList>
    <comment ref="P1" authorId="0">
      <text>
        <r>
          <rPr>
            <b/>
            <sz val="9"/>
            <color indexed="81"/>
            <rFont val="Segoe UI"/>
            <family val="2"/>
          </rPr>
          <t>Atualizar as projeções antes de atualizar as vendas.</t>
        </r>
      </text>
    </comment>
    <comment ref="O2" authorId="0">
      <text>
        <r>
          <rPr>
            <b/>
            <sz val="9"/>
            <color indexed="81"/>
            <rFont val="Segoe UI"/>
            <family val="2"/>
          </rPr>
          <t>mudar para o mês seguinte</t>
        </r>
      </text>
    </comment>
  </commentList>
</comments>
</file>

<file path=xl/connections.xml><?xml version="1.0" encoding="utf-8"?>
<connections xmlns="http://schemas.openxmlformats.org/spreadsheetml/2006/main">
  <connection id="1" name="Consulta de Excel Files" type="1" refreshedVersion="6" background="1" saveData="1">
    <dbPr connection="DSN=Excel Files;DBQ=\\SPOFS01\Marketing$\Marketing\Comercial\Cadastro de Produtos - EMS\Cadastro de Produtos - Consolidado.xlsx;DefaultDir=\\SPOFS01\Marketing$\Marketing\Comercial\Cadastro de Produtos - EMS;DriverId=1046;MaxBufferSize=2048;PageTimeout=5;" command="SELECT distinct_x000d__x000a_`Youts$`.`Código EMS`, `Youts$`.Marca, `Youts$`.`Categoria 1`, `Youts$`.`Categoria 2`, `Youts$`.`Tipo de Material`, `Youts$`.`Descrição PT`, `Youts$`.Status, `Youts$`.Nome_Abreviado_x000d__x000a_FROM `Youts$` `Youts$`_x000d__x000a__x000d__x000a_union all_x000d__x000a__x000d__x000a_SELECT distinct_x000d__x000a_`Fellowes$`.`Código EMS`, `Fellowes$`.Marca, `Fellowes$`.`Categoria 1`, `Fellowes$`.`Categoria 2`, `Fellowes$`.`Tipo de Material`, `Fellowes$`.`Descrição PT`, `Fellowes$`.Status, `Fellowes$`.Nome_Abreviado_x000d__x000a_FROM `Fellowes$` `Fellowes$`_x000d__x000a__x000d__x000a_union all_x000d__x000a__x000d__x000a_SELECT distinct_x000d__x000a_ `Kores$`.`Código EMS`, `Kores$`.Marca, `Kores$`.`Categoria 1`, `Kores$`.`Categoria 2`, `Kores$`.`Tipo de Material`, `Kores$`.`Descrição PT`, `Kores$`.Status, `Kores$`.Nome_Abreviado_x000d__x000a_FROM `Kores$` `Kores$`_x000d__x000a__x000d__x000a_union all_x000d__x000a__x000d__x000a_SELECT distinct_x000d__x000a_`Rapid$`.`Código EMS`, `Rapid$`.Marca, `Rapid$`.`Categoria 1`, `Rapid$`.`Categoria 2`, `Rapid$`.`Tipo de Material`, `Rapid$`.`Descrição PT`, `Rapid$`.Status, `Rapid$`.Nome_Abreviado_x000d__x000a_FROM `Rapid$` `Rapid$`_x000d__x000a__x000d__x000a_union all_x000d__x000a__x000d__x000a_SELECT distinct_x000d__x000a_ `Olfa$`.`Código EMS`, `Olfa$`.Marca, `Olfa$`.`Categoria 1`, `Olfa$`.`Categoria 2`, `Olfa$`.`Tipo de Material`, `Olfa$`.`Descrição PT`, `Olfa$`.Status, `Olfa$`.Nome_Abreviado_x000d__x000a_FROM `Olfa$` `Olfa$`_x000d__x000a__x000d__x000a_union all_x000d__x000a__x000d__x000a_SELECT distinct_x000d__x000a_`Esselte$`.`Código EMS`, `Esselte$`.Marca, `Esselte$`.`Categoria 1`, `Esselte$`.`Categoria 2`, `Esselte$`.`Tipo de Material`, `Esselte$`.`Descrição PT`, `Esselte$`.Status, `Esselte$`.Nome_Abreviado_x000d__x000a_FROM `Esselte$` `Esselte$`_x000d__x000a__x000d__x000a__x000d__x000a_union all_x000d__x000a__x000d__x000a_SELECT distinct_x000d__x000a_`Vegetal$`.`Código EMS`, `Vegetal$`.Marca, `Vegetal$`.`Categoria 1`, `Vegetal$`.`Categoria 2`, `Vegetal$`.`Tipo de Material`, `Vegetal$`.`Descrição PT`, `Vegetal$`.Status, `Vegetal$`.Nome_Abreviado_x000d__x000a_FROM `Vegetal$` `Vegetal$`_x000d__x000a__x000d__x000a_union all_x000d__x000a__x000d__x000a_SELECT distinct_x000d__x000a_`Outros$`.`Código EMS`, `Outros$`.Marca, `Outros$`.`Categoria 1`, `Outros$`.`Categoria 2`, `Outros$`.`Tipo de Material`, `Outros$`.`Descrição PT`, `Outros$`.Status, `Outros$`.Nome_Abreviado_x000d__x000a_FROM `Outros$` `Outros$`_x000d__x000a__x000d__x000a_union all_x000d__x000a__x000d__x000a_SELECT distinct_x000d__x000a_`Tarifold$`.`Código EMS`, `Tarifold$`.Marca, `Tarifold$`.`Categoria 1`, `Tarifold$`.`Categoria 2`, `Tarifold$`.`Tipo de Material`, `Tarifold$`.`Descrição PT`, `Tarifold$`.Status, `Tarifold$`.Nome_Abreviado_x000d__x000a_FROM `Tarifold$` `Tarifold$`"/>
  </connection>
</connections>
</file>

<file path=xl/sharedStrings.xml><?xml version="1.0" encoding="utf-8"?>
<sst xmlns="http://schemas.openxmlformats.org/spreadsheetml/2006/main" count="16853" uniqueCount="3103">
  <si>
    <t>Código</t>
  </si>
  <si>
    <t>Status</t>
  </si>
  <si>
    <t>Descrição PT</t>
  </si>
  <si>
    <t>Categoria 1</t>
  </si>
  <si>
    <t>Categoria 2</t>
  </si>
  <si>
    <t>Multiplo de Compra</t>
  </si>
  <si>
    <t>Preço FOB</t>
  </si>
  <si>
    <t xml:space="preserve">Nº  </t>
  </si>
  <si>
    <t>Origem:</t>
  </si>
  <si>
    <t xml:space="preserve">Saída : </t>
  </si>
  <si>
    <t>Prev.Chegada:</t>
  </si>
  <si>
    <t>Importação</t>
  </si>
  <si>
    <t>Estoque</t>
  </si>
  <si>
    <t>Estoque+Importação</t>
  </si>
  <si>
    <t>Estoque para (meses)</t>
  </si>
  <si>
    <t>Estoque para</t>
  </si>
  <si>
    <t>estoque 10 meses</t>
  </si>
  <si>
    <t>Estoque para 10 Meses (Q.)</t>
  </si>
  <si>
    <t>Comprar</t>
  </si>
  <si>
    <t>Mês</t>
  </si>
  <si>
    <t>Proj.</t>
  </si>
  <si>
    <t>Real.</t>
  </si>
  <si>
    <t>%</t>
  </si>
  <si>
    <t>Proj. de V. No mes</t>
  </si>
  <si>
    <t>V. No mes</t>
  </si>
  <si>
    <t>% de V. vs Proj. No mês</t>
  </si>
  <si>
    <t>Proj. de V. 3 meses</t>
  </si>
  <si>
    <t>V. 3 meses</t>
  </si>
  <si>
    <t>% de V. vs Proj. 3 meses</t>
  </si>
  <si>
    <t>Proj. de V. 12 meses</t>
  </si>
  <si>
    <t>V. 12 meses</t>
  </si>
  <si>
    <t>% de V. vs Proj. 12 meses</t>
  </si>
  <si>
    <t>Últimos 3 meses</t>
  </si>
  <si>
    <t>Últimos 12 meses</t>
  </si>
  <si>
    <t>Obs:</t>
  </si>
  <si>
    <t>ok</t>
  </si>
  <si>
    <t>Produção</t>
  </si>
  <si>
    <t>ITEM</t>
  </si>
  <si>
    <t>DESCRIÇÃO ITEM</t>
  </si>
  <si>
    <t>Saldo</t>
  </si>
  <si>
    <t>MP-PAPEL VEGETAL SCHOELLER, 660 x 960 mm, 90-95 g/m²</t>
  </si>
  <si>
    <t>MP-PAPEL VEGETAL SCHOELLER, A4 210 x 297 mm, 90-95 g/m²</t>
  </si>
  <si>
    <t>MP-PAPEL VEGETAL SCHOELLER 90/95 GR LEGAL (216X355MM)FOLHAS</t>
  </si>
  <si>
    <t>MP-PAPEL VEGETAL SCHOELLER, Ofício 216 x 330 mm, 90-95 g/m²</t>
  </si>
  <si>
    <t>MP-PAPEL VEGETAL SCHOELLER, A3 297 x 420 mm, 90-95 g/m²</t>
  </si>
  <si>
    <t>MP-PAPEL VEGETAL SCHOELLER 60/65GR- A4 (210X297 MM )FOLHAS</t>
  </si>
  <si>
    <t>MP-PAPEL VEGETAL SCHOELLER 60/65GR - A3 (297X420 MM)-FOLHAS</t>
  </si>
  <si>
    <t>PAPEL VEGETAL SCHOELLER, 1,02 m x 20 m, 50-55 g/m², Rolo</t>
  </si>
  <si>
    <t>MP-PAPEL VEGETAL SCHOELLER, 660 x 960 mm, 180-190 g/m²</t>
  </si>
  <si>
    <t>MP-PAPEL VEGETAL SCHOELLER, 660 x 960 mm, 110-115 g/m²</t>
  </si>
  <si>
    <t>BD-R YOUTS - 4X25GB - A GRANEL</t>
  </si>
  <si>
    <t>CD-R 700MB 52X Printable Silver</t>
  </si>
  <si>
    <t>CD-R 700MB 52X Youts Standart</t>
  </si>
  <si>
    <t>CD-R 700MB 52X Youts Blue</t>
  </si>
  <si>
    <t>CD-R 700MB 52X Youts Yellow</t>
  </si>
  <si>
    <t>CD-R 700MB 52X Youts Green</t>
  </si>
  <si>
    <t>CD-R 700MB 52X Youts Orange</t>
  </si>
  <si>
    <t>CD-R 700MB 52X Youts Pink</t>
  </si>
  <si>
    <t>DVD-R 4,7GB 8X Youts Blue</t>
  </si>
  <si>
    <t>DVD-R 4,7GB 8X Youts Yellow</t>
  </si>
  <si>
    <t>DVD-R 4,7GB 8X Youts Green</t>
  </si>
  <si>
    <t>DVD-R 4,7GB 8X Youts Orange</t>
  </si>
  <si>
    <t>DVD-R 4,7GB 8X Youts Pink</t>
  </si>
  <si>
    <t>CD-R 700MB 52X YOUTS BLUE - ED ROCK IN RIO</t>
  </si>
  <si>
    <t>CD-R 700MB 52X YOUTS ORANGE - ED ROCK IN RIO</t>
  </si>
  <si>
    <t>CD-R 700MB 52X YOUTS GREEN - ED ROCK IN RIO</t>
  </si>
  <si>
    <t>CD-R 700MB 52X YOUTS YELLOW - ED ROCK IN RIO</t>
  </si>
  <si>
    <t>PAPEL VEGETAL MICROPRINT, 660 x 960 mm, 80-85 g/m², 100 Fls</t>
  </si>
  <si>
    <t>PAPEL VEGETAL MICROPRINT 80/85 GR/M2 LEGAL 216x355mm C/100 F</t>
  </si>
  <si>
    <t>PAPEL VEGETAL SCHOELLER, 1,10 x 20 m, 110-115 g/m², Rolo</t>
  </si>
  <si>
    <t>PAPEL VEGETAL SCHOELLER, 1,10 x 20 m, 80-85 g/m², Rolo</t>
  </si>
  <si>
    <t>PAPEL VEGETAL SCHOELLERSHAMMER 90/95GR/M2 1,10X20M</t>
  </si>
  <si>
    <t>PAPEL VEGETAL SCHOELLER, 660 x 960 mm, 100-105 g/m², 100 Fls</t>
  </si>
  <si>
    <t>PAPEL VEGETAL SCHOELLER, 660 x 960 mm, 110-115 g/m², 100 Fls</t>
  </si>
  <si>
    <t>PAPEL VEGETAL SCHOELLER, 660 x 960 mm, 145-155 g/m², 100 Fls</t>
  </si>
  <si>
    <t>PAPEL VEGETAL SCHOELLER, 660 x 960 mm, 80-85 g/m², 100 Fls</t>
  </si>
  <si>
    <t>PAPEL VEGETAL SCHOELLER, 660 x 960 mm, 80-85 g/m², 250 Fls</t>
  </si>
  <si>
    <t>PAPEL VEGETAL SCHOELLER, 660 x 960 mm, 90-95 g/m², 100 Fls</t>
  </si>
  <si>
    <t>PAPEL VEGETAL SCHOELLER LASER V-0825, Letter 216 x 280 mm,</t>
  </si>
  <si>
    <t>PAPEL VEGETAL SCHOELLER, A4 210 x 297 mm, 70-75 g/m²</t>
  </si>
  <si>
    <t>PAPEL VEGETAL SCHOELLER, LEGAL 216 x 355 mm, 70-75 g/m²</t>
  </si>
  <si>
    <t>PAPEL VEGETAL SCHOELLER, A4 210 x 297 mm, 60-65 g/m², 50 Fls</t>
  </si>
  <si>
    <t>PAPEL VEGETAL SCHOELLERSHAMMER 216X330MM LASER V-0925</t>
  </si>
  <si>
    <t>CD-R Youts Color Label Cake com 10 discos</t>
  </si>
  <si>
    <t>DVD-R Youts Slim Colorful Blue</t>
  </si>
  <si>
    <t>DVD-R Youts Slim Colorful Yellow</t>
  </si>
  <si>
    <t>DVD-R Youts Slim Colorful Green</t>
  </si>
  <si>
    <t>DVD-R Youts Slim Colorful Orange</t>
  </si>
  <si>
    <t>DVD-R Youts Slim Colorful Pink</t>
  </si>
  <si>
    <t>DVD-R Youts Slim Color Label Green</t>
  </si>
  <si>
    <t>DVD-R Youts Slim Color Label Orange</t>
  </si>
  <si>
    <t>DVD-R Youts Slim Color Label Pink</t>
  </si>
  <si>
    <t>DVD-R Youts Cake com 10 discos</t>
  </si>
  <si>
    <t>DVD-R Youts Color Label Cake com 10 discos</t>
  </si>
  <si>
    <t>DVD-R YOUTS ENVELOPE LACRADO</t>
  </si>
  <si>
    <t>CD-R YOUTS ENVELOPE COLORFUL YELLOW - ED. ROCK IN RIO</t>
  </si>
  <si>
    <t>CD-R YOUTS ENVELOPE COLORFUL GREEN - ED. ROCK IN RIO</t>
  </si>
  <si>
    <t>CD-R YOUTS ENVELOPE COLORFUL ORANGE - ED. ROCK IN RIO</t>
  </si>
  <si>
    <t>CD-R YOUTS ENVELOPE COLORFUL PINK - ED. ROCK IN RIO</t>
  </si>
  <si>
    <t>DVD-R YOUTS ENVELOPE COLORFUL BLUE - ED. ROCK IN RIO</t>
  </si>
  <si>
    <t>DVD-R YOUTS ENVELOPE COLORFUL GREEN - ED. ROCK IN RIO</t>
  </si>
  <si>
    <t>DVD-R YOUTS ENVELOPE COLORFUL YELLOW - ED. ROCK IN RIO</t>
  </si>
  <si>
    <t>DVD-R YOUTS ENVELOPE COLORFUL PINK - ED. ROCK IN RIO</t>
  </si>
  <si>
    <t>DVD-R YOUTS ENVELOPE COLORFUL ORANGE - ED. ROCK IN RIO</t>
  </si>
  <si>
    <t>DVD-R YOUTS MULTIDISC 4X COLOR LABEL - ED. ROCK IN RIO</t>
  </si>
  <si>
    <t>DVD-R YOUTS SLIM COLORFUL - PACK COM 5 - ED. ROCK IN RIO</t>
  </si>
  <si>
    <t>CD-R YOUTS SLIM COLORFUL - PACK COM 5 - ED. ROCK IN RIO</t>
  </si>
  <si>
    <t>EQUIPAMENTO AUTOMATIZADO PARA GRAVACAO E REPRODUCAO DE DISCO</t>
  </si>
  <si>
    <t>OLEO PARA FRAGMENTADORA, EM FRASCO DE 300ML</t>
  </si>
  <si>
    <t>OLEO PARA FRAGMENTADORA, EM FRASCO DE 20ML</t>
  </si>
  <si>
    <t>REXEL, GRAMPEADOR DE MESA REXEL METEOR - PN:</t>
  </si>
  <si>
    <t>GENMES, GRAMPEADOR DE MESA REXEL MATADOR - PN:</t>
  </si>
  <si>
    <t>BOSTON, GRAMPEADOR DE MESA 41 - PN:</t>
  </si>
  <si>
    <t>BOSTON, GRAMPEADOR DE MESA 20 - PN:</t>
  </si>
  <si>
    <t>GRAMPOS MICROSTAPLES 9/10MM CAIXA C/5000 UNIDADES</t>
  </si>
  <si>
    <t>GRAMPOS ENAK 13MM</t>
  </si>
  <si>
    <t>GRAMPOS ENAK 10MM</t>
  </si>
  <si>
    <t>GRAMPOS ENAK 8MM</t>
  </si>
  <si>
    <t>Youts, Capa para Smartphone iPhone 5/5S - FT Onça Braba - EC</t>
  </si>
  <si>
    <t>Youts, Capa para Smartphone iPhone 5/5S - FT  Zebrita - EC</t>
  </si>
  <si>
    <t>Youts, Capa para Smartphone iPhone 5/5S- FT Cobra Corada -EC</t>
  </si>
  <si>
    <t>Youts, Capa para Smartphone iPhone 5/5S - FT Margaretas- EC</t>
  </si>
  <si>
    <t>Youts, Capa para Smartphone Galaxy SIII - FT Onça Braba - EC</t>
  </si>
  <si>
    <t>Youts, Capa para Smartphone Galaxy SIII - FT  Zebrita - EC</t>
  </si>
  <si>
    <t>Youts, Capa para Smartphone Galaxy SIII- FT Cobra Corada- EC</t>
  </si>
  <si>
    <t>Youts, Capa para Smartphone iPhone 5/5S - FT Cathedrali - EC</t>
  </si>
  <si>
    <t>Youts,Capa para Smartphone iPhone5/5S-FT Azulejo Imperial-EC</t>
  </si>
  <si>
    <t>Youts, Capa para Smartphone iPhone 5/5S - FT Safari - EC</t>
  </si>
  <si>
    <t>Youts, Capa para Smartphone Galaxy SIII - FT Cathedrali - EC</t>
  </si>
  <si>
    <t>Youts, Capa para Smartphone Galaxy SIII - FT Safari - EC</t>
  </si>
  <si>
    <t>Youts,Capa para Smartphone iPhone 5/5S-CBR-Arara Brasil-EC</t>
  </si>
  <si>
    <t>Youts,Capa para Smartphone iPhone 5/5S-CBR-Rio Maravilha-EC</t>
  </si>
  <si>
    <t>Youts,Capa para Smartphone iPhone 5/5S-CBR-Sampa-EC</t>
  </si>
  <si>
    <t>Youts,Capa para Smartphone Galaxy SIII-CBR-Arara Brasil-EC</t>
  </si>
  <si>
    <t>Youts,Capa para Smartphone Galaxy SIII-CBR-Rio Maravilha-EC</t>
  </si>
  <si>
    <t>Youts,Capa para Smartphone Galaxy SIII-CBR-Sampa-EC</t>
  </si>
  <si>
    <t>Youts, Capa para Smartphone Galaxy SIII -CBR, Pop Brasil- EC</t>
  </si>
  <si>
    <t>Youts, Capa para Smartphone Galaxy SIII - CBR, Fuchic-EC</t>
  </si>
  <si>
    <t>Youts, Capa para Smartphone iPhone 5/5S - CBR, Redonda-EC</t>
  </si>
  <si>
    <t>Youts, Capa para Smartphone iPhone 5/5S-CBR, Pop Brasil-EC</t>
  </si>
  <si>
    <t>Youts, Capa para Smartphone iPhone 5/5S - CBR, Fuchic - EC</t>
  </si>
  <si>
    <t>Youts, Capa para Smartphone iPhone 5/5S - CBR, Bonfim - EC</t>
  </si>
  <si>
    <t>Youts, Capa para Smartphone iPhone 5/5S - CBR, Renda-se-EC</t>
  </si>
  <si>
    <t>Youts, Capa para Smartphone iPhone 5/5S-CBR, Pura Ginga-EC</t>
  </si>
  <si>
    <t>RAPID, GRAMPEADOR ALICATE K1 (24/6) - PN:10510601</t>
  </si>
  <si>
    <t>RAPID, GRAMPEADOR ALICATE K1 (26/6-8) - PN:</t>
  </si>
  <si>
    <t>RAPID, GRAMPEADOR ELETRICO 106E (66/6-8) 115V - PN:10875325</t>
  </si>
  <si>
    <t>RAPID, GRAMPEADOR ELETRICO 90E (120V) - PN:5000252</t>
  </si>
  <si>
    <t>RAPID, GRAMPEADOR HD 9 PRETO - PN:10264031</t>
  </si>
  <si>
    <t>RAPID, GRAMPEADOR HD 9 GELO - PN:10264021</t>
  </si>
  <si>
    <t>RAPID, GRAMPEADOR ALICATE K1 TEXTIL (43/6-8) - PN:</t>
  </si>
  <si>
    <t>RAPID, GRAMPEADOR DE MESA ULTIMATE GRAY - CINZA - PN:</t>
  </si>
  <si>
    <t>RAPID, GRAMPEADOR DE MESA ALU 20 - PN:</t>
  </si>
  <si>
    <t>RAPID, GRAMPEADOR DE MESA X-RAY F16 (DISPLAY COM 15 GRAMPEAD</t>
  </si>
  <si>
    <t>RAPID, GRAMPEADOR DE MESA STAND UP ICE (DISPLAY COM 12 GRAMP</t>
  </si>
  <si>
    <t>RAPID, GRAMPEADOR DE MESA COBRA ICE BRANCO (BLISTER) - PN:20</t>
  </si>
  <si>
    <t>RAPID, GRAMPEADOR DE MESA COBRA ICE AZUL (BLISTER) - PN:2041</t>
  </si>
  <si>
    <t>RAPID, GRAMPEADOR DE MESA COBRA ICE CINZA (BLISTER) - PN:204</t>
  </si>
  <si>
    <t>RAPID, GRAMPEADOR DE MESA COBRA ICE VERMELHO (BLISTER) - PN:</t>
  </si>
  <si>
    <t>RAPID, GRAMPEADOR DE MESA X-RAY F16 AMARELO (BLISTER) - PN:</t>
  </si>
  <si>
    <t>RAPID, GRAMPEADOR DE MESA X-RAY F16 LILAS (BLISTER) - PN:</t>
  </si>
  <si>
    <t>RAPID, GRAMPEADOR DE MESA X-RAY F16 CEREJA (BLISTER) - PN:</t>
  </si>
  <si>
    <t>RAPID, GRAMPEADOR ELETRICO 5080E (BIVOLT) - PN:20993410</t>
  </si>
  <si>
    <t>GRAMPEADOR RAPID E 15/12</t>
  </si>
  <si>
    <t>RAPID, CASSETE DE GRAMPO 5080E COM 5.000 GRAMPOS - PN:209937</t>
  </si>
  <si>
    <t>RAPID, GRAMPEADOR ELETRICO 101E (115V) - PN:</t>
  </si>
  <si>
    <t>RAPID, GRAMPEADOR ELETRICO 5050E (120V) - PN:</t>
  </si>
  <si>
    <t>RAPID, GRAMPEADOR ELETRICO 100E (115V) - PN:</t>
  </si>
  <si>
    <t>RAPID, GRAMPEADOR DE MESA X-RAY VERDE FLORESTA - PN:</t>
  </si>
  <si>
    <t>RAPID, GRAMPEADOR DE MESA X-RAY LARANJA - PN:</t>
  </si>
  <si>
    <t>RAPID, GRAMPEADOR HD DUAX - PN:</t>
  </si>
  <si>
    <t>RAPID, GRAMPEAODR DE MESA FM22 PRATA - PN:21820802</t>
  </si>
  <si>
    <t>RAPID, GRAMPEADOR ALICATE SOON PL (Nº10) - PN:</t>
  </si>
  <si>
    <t>RAPID, GRAMPEADOR DE MESA SOON ST (24-26/6) - PN:</t>
  </si>
  <si>
    <t>RAPID, GRAMPEADOR HD 70 PRETO - PN:21281406</t>
  </si>
  <si>
    <t>RAPID, GRAMPEADOR ELETRICO 12 CE - PN:</t>
  </si>
  <si>
    <t>RAPID, GRAMPEADOR DE MESA E26 VERMELHO - PN:20854011</t>
  </si>
  <si>
    <t>RAPID, GRAMPEADOR DE MESA E26 AZUL - PN:20854010</t>
  </si>
  <si>
    <t>RAPID, GRAMPEADOR DE MESA E12 PRETO - PN:20530420</t>
  </si>
  <si>
    <t>RAPID, GRAMPEAODR DE MESA FM22 PRETO - PN:21820801</t>
  </si>
  <si>
    <t>RAPID, GRAMPEADOR ALICATE 51 - PN:</t>
  </si>
  <si>
    <t>RAPID, GRAMPEADOR ELETRICO 20EX (26/6) COM FONTE BIVOLT - PN</t>
  </si>
  <si>
    <t>RAPID, GRAMPEADOR ELETRICO 20E (26/6) SOMENTE A PILHA - PN:2</t>
  </si>
  <si>
    <t>RAPID, GRAMPEADOR ELETRICO 90E (230V) - PN:</t>
  </si>
  <si>
    <t>RAPID, GRAMPEADOR DE MESA E360 PRETO - PN:</t>
  </si>
  <si>
    <t>RAPID, GRAMPEAODR DE MESA E14 - PN:20597910</t>
  </si>
  <si>
    <t>RAPID, GRAMPEADOR ALICATE SOON PL (Nº26/6) - PN:</t>
  </si>
  <si>
    <t>RAPID, GRAMPEAODR DE MESA K45 PRETO - PN:23888200</t>
  </si>
  <si>
    <t>RAPID, GRAMPEADOR DE MESA F30 PRETO - PN:</t>
  </si>
  <si>
    <t>RAPID, GRAMPEADOR HD 110 PRETO - PN:</t>
  </si>
  <si>
    <t>RAPID, GRAMPEADOR DE MESA FREEZE AZUL - PN:24184012</t>
  </si>
  <si>
    <t>RAPID, GRAMPEADOR DE MESA FREEZE BRANCO - PN:24184010</t>
  </si>
  <si>
    <t>RAPID, GRAMPEADOR DE MESA FREEZE PRETO - PN:</t>
  </si>
  <si>
    <t>RAPID, GRAMPEADOR DE MESA FREEZE ROSA - PN:24184016</t>
  </si>
  <si>
    <t>RAPID, GRAMPEADOR DE MESA FREEZE VERDE - PN:24184015</t>
  </si>
  <si>
    <t>RAPID, GRAMPEADOR DE MESA S30 PRESS LESS PRETO - PN:24146201</t>
  </si>
  <si>
    <t>RAPID, GRAMPEADOR DE MESA S17 PRETO (24-26/6) - PN:</t>
  </si>
  <si>
    <t>RAPID, GRAMPEADOR ALICATE ECO PLIER (26/6) - PN:24812500</t>
  </si>
  <si>
    <t>RAPID, GRAMPEADOR PISTOLA ECO TACKER - PN:24821700</t>
  </si>
  <si>
    <t>RAPID, GRAMPEADOR DE MESA ECO HALF STRIP (24-26/6) - PN:</t>
  </si>
  <si>
    <t>RAPID, GRAMPEADOR DE MESA ECO FULL STRIP (24-26/6) - PN:2481</t>
  </si>
  <si>
    <t>RAPID, GRAMPEADOR DE MESA ECO MINI (24-26/6) - PN:24846201</t>
  </si>
  <si>
    <t>RAPID, GRAMPEADOR DE MESA HSP PRETO (24-26/6) - PN:5000191</t>
  </si>
  <si>
    <t>RAPID, GRAMPEADOR DE MESA FSP PRERTO (24-26/6) - PN:5000192</t>
  </si>
  <si>
    <t>RAPID, GRAMPEADOR DE MESA FSM PRETO (24-26/6) - PN:5000194</t>
  </si>
  <si>
    <t>RAPID, GRAMPEADOR ELETRICO 5025E BRANCO (BIVOLT) - PN:250952</t>
  </si>
  <si>
    <t>RAPID, GRAMPEADOR ELETRICO 5025E AZUL (BIVOLT) - PN:25095212</t>
  </si>
  <si>
    <t>RAPID, GRAMPEADOR ELETRICO 105E (66/6-8) 120V - PN:5000253</t>
  </si>
  <si>
    <t>RAPID, GRAMPEADOR ELETRICO 5050E (BIVOLT) - PN:20993210</t>
  </si>
  <si>
    <t>RAPID , GRAMPEADOR DE MESA FM-12 - PN.500273</t>
  </si>
  <si>
    <t>RAPID, CASSETE DE GRAMPO 5020/5025E COM 1.500 GRAMPOS -</t>
  </si>
  <si>
    <t>TRAXX - CARIMBO AUTOENTINTADO 9010 PRETO/PRETO 9X25</t>
  </si>
  <si>
    <t>TRAXX - CARIMBO AUTOENTINTADO 9010 AZUL/PRETO 9X25</t>
  </si>
  <si>
    <t>TRAXX - CARIMBO AUTOENTINTADO 9011 PRETO/PRETO 14X38</t>
  </si>
  <si>
    <t>TRAXX - CARIMBO AUTOENTINTADO 9011 AZUL/PRETO 14X38</t>
  </si>
  <si>
    <t>TRAXX - CARIMBO AUTOENTINTADO 9012 PRETO/PRETO 18X48</t>
  </si>
  <si>
    <t>TRAXX - CARIMBO AUTOENTINTADO 9012 AZUL/PRETO 18X48</t>
  </si>
  <si>
    <t>TRAXX - CARIMBO AUTOENTINTADO 9013 PRETO/PRETO 22X58</t>
  </si>
  <si>
    <t>TRAXX - CARIMBO AUTOENTINTADO 9013 AZUL/PRETO 22X58</t>
  </si>
  <si>
    <t>TRAXX - ALMOFADA DE CARIMBO AUTOENTINTADO CONJUGADO 7810,783</t>
  </si>
  <si>
    <t>TRAXX - ALMOFADA PARA CARIMBO AUTOENTINTADO CONJUGADO 9011 P</t>
  </si>
  <si>
    <t>TRAXX - ALMOFADA PARA CARIMBO AUTOENTINTADO CONJUGADO 9012 P</t>
  </si>
  <si>
    <t>TRAXX - ALMOFADA PARA CARIMBO AUTOENTINTADO CONJUGADO 9013 P</t>
  </si>
  <si>
    <t>Rapid, HD9, Lâmina (faca)  (121590)</t>
  </si>
  <si>
    <t>Rapid, 105 Base 202 C  (178004)</t>
  </si>
  <si>
    <t>Rapid, 105 Base 201 C  (108811)</t>
  </si>
  <si>
    <t>Rapid, 105 Pedal  (10880302)</t>
  </si>
  <si>
    <t>Rapid, 106 Corpo R2EI-106, 66/6-8  (10842312)</t>
  </si>
  <si>
    <t>Rapid, 105 Corpo R2EI-105, 66/6-8  (10841512)</t>
  </si>
  <si>
    <t>Rapid, 1T, Lâmina (faca)  (120246)</t>
  </si>
  <si>
    <t>Rapid, 1T, Alimentador  (120352)</t>
  </si>
  <si>
    <t>Rapid, 1 Lâmina (faca) 26/06  (120139)</t>
  </si>
  <si>
    <t>Rapid, 1 Lâmina (faca) 24/06  (120519)</t>
  </si>
  <si>
    <t>Rapid, 106 Corpo R252-106, 66R/6  (10843112)</t>
  </si>
  <si>
    <t>Rapid, 105 Gatilho direito - 15C  (177303)</t>
  </si>
  <si>
    <t>Rapid, 105 Gatilho esquerdo- 16C</t>
  </si>
  <si>
    <t>Rapid, 105 Unidade magnética 115V, 60Hz  (17781602)</t>
  </si>
  <si>
    <t>Rapid, 49 Suporte da Coroa</t>
  </si>
  <si>
    <t>Rapid, 65 Lâmina (faca)  (184046)</t>
  </si>
  <si>
    <t>Rapid, 90 Guia do magazine  (141432)</t>
  </si>
  <si>
    <t>Rapid, 65 Magazine</t>
  </si>
  <si>
    <t>Rapid, 100, 101, Pedal  (10851402)</t>
  </si>
  <si>
    <t>Rapid, 105, 106, Capa do pedal  (146423)</t>
  </si>
  <si>
    <t>Rapid, 105, 106, Pistão  (177667)</t>
  </si>
  <si>
    <t>UNIDADE DE GRAMPEAMENTO DO RAPID 65</t>
  </si>
  <si>
    <t>CAPA DO GRAMPEADOR RAPID 49</t>
  </si>
  <si>
    <t>Rapid, HD9, Alavanca  (121509)</t>
  </si>
  <si>
    <t>Rapid, HD9, Pistão  (147090)</t>
  </si>
  <si>
    <t>Rapid, HD9, Mola do pistão  (121798)</t>
  </si>
  <si>
    <t>Rapid, HD9, Encosto do papel  (121699)</t>
  </si>
  <si>
    <t>Rapid, HD9, Prendedor da vareta</t>
  </si>
  <si>
    <t>Rapid, HD9, Vareta de limpeza  (121723)</t>
  </si>
  <si>
    <t>Rapid, HD9, Base preta  (12167305)</t>
  </si>
  <si>
    <t>Rapid, HD9, Mancal c/ f. de molas  (121947)</t>
  </si>
  <si>
    <t>Rapid, HD9, Capa (cor gelo)</t>
  </si>
  <si>
    <t>Rapid, HD9, Magazine  (147066)</t>
  </si>
  <si>
    <t>Rapid, HD9, Prendedor frontal  (147058)</t>
  </si>
  <si>
    <t>Rapid, HD9, Alimentador  (147082)</t>
  </si>
  <si>
    <t>Rapid, HD9, Chapa frontal  (147033)</t>
  </si>
  <si>
    <t>Rapid, 1 Magazine 26/06  (12050102)</t>
  </si>
  <si>
    <t>Rapid, 1 Alimentador  (120428)</t>
  </si>
  <si>
    <t>Rapid, 49 Mola</t>
  </si>
  <si>
    <t>Rapid, HD9, Pino do magazine  (121921)</t>
  </si>
  <si>
    <t>Rapid, HD9, Pino da carcaça  (121939)</t>
  </si>
  <si>
    <t>Rapid, HD9, Presilha  (155432)</t>
  </si>
  <si>
    <t>Rapid, HD9, Parafuso da alavanca  (162388)</t>
  </si>
  <si>
    <t>Rapid, HD9, Plástico da base  (121806)</t>
  </si>
  <si>
    <t>Rapid, HD9, Arruela do Pistão  (155234)</t>
  </si>
  <si>
    <t>Rapid, HD9, Bigorna  (175216)</t>
  </si>
  <si>
    <t>Rapid, HD9, Parafuso da bigorna  (162362)</t>
  </si>
  <si>
    <t>Rapid, HD9, Borboleta  (162305)</t>
  </si>
  <si>
    <t>Rapid, HD9, Parafuso do mancal  (219059)</t>
  </si>
  <si>
    <t>Rapid, HD9, Plug plástico  (156307)</t>
  </si>
  <si>
    <t>Rapid, HD9, Rebite do mancal</t>
  </si>
  <si>
    <t>Rapid, HD9, Rebite da capa traseira</t>
  </si>
  <si>
    <t>Rapid, 49 Parafuso da bigorna</t>
  </si>
  <si>
    <t>Rapid, 49 Bigorna</t>
  </si>
  <si>
    <t>Rapid, 105,106, Unidade Magnetica 220-230V,50Hz ( 17781601 )</t>
  </si>
  <si>
    <t>Rapid, 90 Ponte  (209403)</t>
  </si>
  <si>
    <t>Rapid, 90 Unidade Stop  (141341)</t>
  </si>
  <si>
    <t>Rapid, 90 Deslizante (141382), (209400)</t>
  </si>
  <si>
    <t>Rapid, 90 Pino  (141408)</t>
  </si>
  <si>
    <t>Rapid, 90 Eixo plástico  (141333)</t>
  </si>
  <si>
    <t>Rapid, 65 Driver unit  (184097)</t>
  </si>
  <si>
    <t>Rapid, 65 Chapa frontal  (184027)</t>
  </si>
  <si>
    <t>Rapid, 65 Unidade de travamento (184096)</t>
  </si>
  <si>
    <t>Rapid, 65 Driver  (184026)</t>
  </si>
  <si>
    <t>Rapid, 1 Magazine 24/06  (12050101)</t>
  </si>
  <si>
    <t>Rapid, 105 Unidade de controle de impacto  (177535)</t>
  </si>
  <si>
    <t>Rapid, 90 Base  (209326)</t>
  </si>
  <si>
    <t>Rapid, 31 Bigorna  (125534)</t>
  </si>
  <si>
    <t>Rapid, 31 Alimentador  (125435)</t>
  </si>
  <si>
    <t>Rapid, 31 Lâmina (faca)  (125401)</t>
  </si>
  <si>
    <t>Rapid, 90 Bigorna  (142257)</t>
  </si>
  <si>
    <t>Rapid, 90 Protetor contra desgaste  (141218)</t>
  </si>
  <si>
    <t>Rapid, 90 Unidade de grampeamento 66/7  (141580), (14234901)</t>
  </si>
  <si>
    <t>MAGAZINE DO RAPID 1 24/6 (12050101)</t>
  </si>
  <si>
    <t>RAPID, FACA PARA PERFURADOR HDC150 - 2 UNIDADES - PN:2300090</t>
  </si>
  <si>
    <t>RAPID, DISCO PARA PERFURADOR HDC150 - 10 UNIDADES - PN:23000</t>
  </si>
  <si>
    <t>DRIVE DO RAPID DUAX</t>
  </si>
  <si>
    <t>Rapid, Duax, Mecanismo de corte  (216989)</t>
  </si>
  <si>
    <t>RAPID 5050 E , UNIDADE CONTROLADORA ( 207564 )</t>
  </si>
  <si>
    <t>Rapid, 156, Alimentador Completo R153  (148205)</t>
  </si>
  <si>
    <t>Rapid, HD9, Capa (cor preto) - A9 -31-2</t>
  </si>
  <si>
    <t>Rapid, 105,106,Trava ( 177824 )</t>
  </si>
  <si>
    <t>Rapid, 105,106, Magazine Completo 66 (148932)</t>
  </si>
  <si>
    <t>Rapid, 106, Bigorna  (14672010)</t>
  </si>
  <si>
    <t>RAPID, GRAMPO 9/20 COM 1.000 GRAMPOS - PN:</t>
  </si>
  <si>
    <t>RAPID, GRAMPO 66/6R COM 5.000 GRMAPOS - PN:</t>
  </si>
  <si>
    <t>RAPID, GRAMPO 9/12 COM 1.000 GRAMPOS - PN:</t>
  </si>
  <si>
    <t>RAPID, GRAMPO 66/8 COM 5.000 GRAMPOS - PN:</t>
  </si>
  <si>
    <t>RAPID, GRAMPO 24/6 COM 5.000 GRAMPOS - PN:</t>
  </si>
  <si>
    <t>RAPID, GRAMPO DUAX COM 1.000 GRAMPOS - PN:</t>
  </si>
  <si>
    <t>RAPID, CASSETE DE GRAMPO 5050E COM 5.000 GRAMPOS-PN:20993500</t>
  </si>
  <si>
    <t>RAPID, GRAMPO C75 COM 6.000 GRAMPOS - PN:</t>
  </si>
  <si>
    <t>RAPID, GRAMPO Nº10 SOON COM 2.000 GRAMPOS - PN:</t>
  </si>
  <si>
    <t>RAPID, GRAMPO 26/6 - 20 CAIXAS COM 1.000 GRAMPOS CADA - PN:</t>
  </si>
  <si>
    <t>RAPID, GRAMPO 23/8 COM 1.000 GRAMPOS - PN:</t>
  </si>
  <si>
    <t>RAPID, GRAMPO 23/10 COM 1.000 GRAMPOS - PN:</t>
  </si>
  <si>
    <t>RAPID, GRAMPO 23/15 COM 1.000 GRAMPOS - PN:</t>
  </si>
  <si>
    <t>RAPID, GRAMPO 26/6 COM 5.000 GRAMPOS - PN:</t>
  </si>
  <si>
    <t>RAPID, CASSETE DE GRAMPO 5025E COM 1.000 GRAMPOS - PN:</t>
  </si>
  <si>
    <t>PERFURADOR RAPID C-20</t>
  </si>
  <si>
    <t>PERFURADOR RAPID KC3</t>
  </si>
  <si>
    <t>PERFURADOR RAPID SC35 BRANCO</t>
  </si>
  <si>
    <t>PERFURADOR RAPID SC35 PRETO</t>
  </si>
  <si>
    <t>RAPID, PERFURADOR FMC10 - PN:21835302</t>
  </si>
  <si>
    <t>RAPID, PERFURADOR FMC20 - PN:21835402</t>
  </si>
  <si>
    <t>RAPID, PERFURADOR FMC40 - PN:21835602</t>
  </si>
  <si>
    <t>RAPID, PERFURADOR DE MESA SOON HP12 (CAIXA) - PN:</t>
  </si>
  <si>
    <t>RAPID, PERFURADOR DE MESA SOON HP12 (EMBLISTER) - PN:2268700</t>
  </si>
  <si>
    <t>RAPID, PERFURADOR SP30 PRETO - PN:24127301</t>
  </si>
  <si>
    <t>RAPID, PERFURADOR HDC150 - PN:23000600</t>
  </si>
  <si>
    <t>RAPID, PERFURADOR ECO HP20 - PN:24845300</t>
  </si>
  <si>
    <t>RAPID, PERFURADOR HP20 PRETO - PN:5000196</t>
  </si>
  <si>
    <t>RAPID, PERFURADOR HP30 PRETO - PN:5000189</t>
  </si>
  <si>
    <t>RAPID, PERFURADOR HP40 PRETO - PN:5000190</t>
  </si>
  <si>
    <t>FRAGMENTADORA FELLOWES P-35C HOME CROSS CUT-110V- PN:3209901</t>
  </si>
  <si>
    <t>FRAGMENTADORA FELLOWES P-35C CROSS CUT-230V-PN:3213618</t>
  </si>
  <si>
    <t>FRAGMENTADORA FELLOWES P-35C CROSS CUT-120V-PN:3209901</t>
  </si>
  <si>
    <t>FRAGMENTADORA FELLOWES P-70CM CROSS CUT-230V-PN:3433713</t>
  </si>
  <si>
    <t>FRAGMENTADORA FELLOWES P-70CM CROSS CUT-120V-PN:3430101</t>
  </si>
  <si>
    <t>FRAGMENTADORA FELLOWES P-48C CROSS CUT-230V-PN:3214819</t>
  </si>
  <si>
    <t>FRAGMENTADORA FELLOWES P-48C CROSS CUT-120V-PN:3224910</t>
  </si>
  <si>
    <t>FRAGMENTADORA FELLOWES P-58CS CROSS CUT-230V-PN:3225825</t>
  </si>
  <si>
    <t>FRAGMENTADORA FELLOWES P-58CS CROSS CUT-120V-PN:3225908</t>
  </si>
  <si>
    <t>FRAGMENTADORA FELLOWES DS-1 CROSS CUT-120V-PN:3011008</t>
  </si>
  <si>
    <t>FRAGMENTADORA FELLOWES MS-450CS MICROSHRED-230V-PN:3245335</t>
  </si>
  <si>
    <t>FRAGMENTADORA FELLOWES MS-450CS MICROSHRED-120V-PN:3245005</t>
  </si>
  <si>
    <t>FRAGMENTADORA FELLOWES DS-700C CROSS CUT-120V-PN:3403102</t>
  </si>
  <si>
    <t>FRAGMENTADORA FELLOWES DS-1200CS CROSS CUT-120V-PN:3409102</t>
  </si>
  <si>
    <t>FRAGMENTADORA FELLOWES DS-500C CROSS CUT-120V-PN:3413801</t>
  </si>
  <si>
    <t>Fragmentadora Fellowes MS-460Cs Microshred - 120V - PN:32460</t>
  </si>
  <si>
    <t>FRAGMENTADORA FELLOWES 69CB CROSS CUT-120V-PN:4669901</t>
  </si>
  <si>
    <t>FRAGMENTADORA FELLOWES 69CB CROSS CUT-230V-PN:</t>
  </si>
  <si>
    <t>FRAGMENTADORA FELLOWES 75CS CROSS CUT-120V-PN:4671901</t>
  </si>
  <si>
    <t>FRAGMENTADORA FELLOWES 79CI CROSS CUT-120V-PN:4679901</t>
  </si>
  <si>
    <t>FRAGMENTADORA FELLOWES 79CI CROSS CUT-230V-PN:</t>
  </si>
  <si>
    <t>FRAGMENTADORA FELLOWES 99CI CROSS CUT-120V-PN:4691901</t>
  </si>
  <si>
    <t>FRAGMENTADORA FELLOWES 59CB CROSS CUT-120V-PN:4659901</t>
  </si>
  <si>
    <t>FRAGMENTADORA FELLOWES 59CB CROSS CUT-230V-PN:</t>
  </si>
  <si>
    <t>FRAGMENTADORA FELLOWES 225I STRIP CUT-120V-PN:4623901</t>
  </si>
  <si>
    <t>Fragmentadora Fellowes 225i Strip Cut - 230V - PN:4626801</t>
  </si>
  <si>
    <t>FRAGMENTADORA FELLOWES 225CI CROSS CUT-120V-PN:4622901</t>
  </si>
  <si>
    <t>FRAGMENTADORA FELLOWES 225CI CROSS CUT-230V-PN:</t>
  </si>
  <si>
    <t>FRAGMENTADORA FELLOWES 425I STRIP CUT-120V-PN:4696801</t>
  </si>
  <si>
    <t>FRAGMENTADORA FELLOWES 425CI CROSS CUT-120V-PN:4690801</t>
  </si>
  <si>
    <t>FRAGMENTADORA FELLOWES 485I STRIP CUT-120V-PN:4697801</t>
  </si>
  <si>
    <t>FRAGMENTADORA FELLOWES 485CI CROSS CUT-120V-PN:4690901</t>
  </si>
  <si>
    <t>FRAGMENTADORA FELLOWES 73CI CROSS CUT - 230V - PN:4611901</t>
  </si>
  <si>
    <t>FRAGMENTADORA FELLOWES 73CI CROSS CUT - 120V - PN:4601801</t>
  </si>
  <si>
    <t>FRAGMENTADORA FELLOWES 70S STRIP CUT - 120V - PN:4670801</t>
  </si>
  <si>
    <t>FRAGMENTADORA FELLOWES 70S STRIP CUT - 230V - PN:4670901</t>
  </si>
  <si>
    <t>Fragmentadora Fellowes Automax 300C Cross Cut - 120V -</t>
  </si>
  <si>
    <t>Fragmentadora Fellowes Automax 300C Cross Cut - 220V -</t>
  </si>
  <si>
    <t>Fragmentadora Fellowes Automax 500C Cross Cut - 120V -</t>
  </si>
  <si>
    <t>Fragmentadora Fellowes Automax 500C Cross Cut - 220V -</t>
  </si>
  <si>
    <t>FELLOWES,79 CI,ENGRENAGEM MP 1o. ESTAGIO (207234)</t>
  </si>
  <si>
    <t>FELLOWES,79 CI,ENGRENAGEM MP 2o. ESTAGIO (207235)</t>
  </si>
  <si>
    <t>FELLOWES,79 CI,ENGRENAGEM MP 3o. ESTAGIO (207236)</t>
  </si>
  <si>
    <t>FRAGMENTADORA FELLOWES 125CI CROSS CUT-220V-PN:</t>
  </si>
  <si>
    <t>Fragmentadora Fellowes Automax 130 Cross Cut - 220V -</t>
  </si>
  <si>
    <t>Fragmentadora Fellowes Automax 200 Cross Cut - 220V -</t>
  </si>
  <si>
    <t>Fellowes, 73Ci, 75Cs, Engrenagem MP 1o. estágio (207638)</t>
  </si>
  <si>
    <t>Fellowes, 73Ci, 75Cs, Engrenagem MP 2o. estágio (207639)</t>
  </si>
  <si>
    <t>Fellowes, 79Ci, 73Ci, 75Cs, Engrenagem M de Sincronismo-eixo</t>
  </si>
  <si>
    <t>Fellowes, 73Ci, Motor 120V (207631)</t>
  </si>
  <si>
    <t>Fellowes, 73Ci, Conjunto de Corte (207637)</t>
  </si>
  <si>
    <t>Fellowes, 75Cs, PCI Principal 120V (207620)</t>
  </si>
  <si>
    <t>Fellowes, 99Ci, Conjunto de Corte (207262)</t>
  </si>
  <si>
    <t>Fellowes, 99Ci, Conjunto de Raspadores (207383)</t>
  </si>
  <si>
    <t>PLASTIFICADORA FELLOWES COSMIC A4 - 120V - PN:5223401</t>
  </si>
  <si>
    <t>PLASTIFICADORA FELLOWES SATURN A4 120V PN 5223501</t>
  </si>
  <si>
    <t>PLASTIFICADORA FELLOWES JUPITER A3 - 120V - PN:5223601</t>
  </si>
  <si>
    <t>PLASTIFICADORA FELLOWES VENUS A3 - 120V - PN:5223701</t>
  </si>
  <si>
    <t>ENCADERNADORA FELLOWES QUASAR WIRE O MANUAL PN 5224101</t>
  </si>
  <si>
    <t>REFILADORA FELLOWES NEUTRON PLUS A4- ROTATIVA - PN:5410101</t>
  </si>
  <si>
    <t>REFILADORA FELLOWES ELECTRON A4- ROTATIVA - PN:5410401</t>
  </si>
  <si>
    <t>REFILADORA FELLOWES ELECTRON A3 - ROTATIVA - PN:5410501</t>
  </si>
  <si>
    <t>GUILHOTINA FELLOWES PLASMA A3 - PN:5411101</t>
  </si>
  <si>
    <t>GUILHOTINA FELLOWES STELLAR A3 - PN:5438401</t>
  </si>
  <si>
    <t>REFILADORA FELLOWES NEUTRON  A4/12 - ROTATIVA - PN:5410001</t>
  </si>
  <si>
    <t>REFILADORA FELLOWES ATOM  A4 - ROTATIVA - PN:5410601</t>
  </si>
  <si>
    <t>REFILADORA FELLOWES ATOM  A3 - ROTATIVA - PN:5410701</t>
  </si>
  <si>
    <t>REFILADORA  FELLOWES NEUTRINO A5  - PN:5412701</t>
  </si>
  <si>
    <t>GUILHOTINA FELLOWES FUSION A4  - PN:5410801</t>
  </si>
  <si>
    <t>GUILHOTINA FELLOWES FUSION A3  - PN:5410901</t>
  </si>
  <si>
    <t>BASE DE CORTE FELLOWES A4 PARA REFILADORA - CONJ 3 - PN:5411</t>
  </si>
  <si>
    <t>BASE DE CORTE FELLOWES A3 PARA REFILADORA - CONJ 3 - PN:5411</t>
  </si>
  <si>
    <t>LEITZ, PASTA ORGANIZADORA A4 BEBOP LL - VERMELHO</t>
  </si>
  <si>
    <t>LEITZ, PASTA ORGANIZADORA A4 BEBOP LL - AZUL</t>
  </si>
  <si>
    <t>LEITZ, PASTA ORGANIZADORA A4 BEBOP LL - LARANJA</t>
  </si>
  <si>
    <t>LEITZ, PASTA ORGANIZADORA A4 BEBOP LL - BRANCA</t>
  </si>
  <si>
    <t>LEITZ, PASTA ORGANIZADORA A4 BEBOP LL - PRETA</t>
  </si>
  <si>
    <t>LEITZ, PASTA ORGANIZADORA A4 PRESTIGE LL - AZUL MARINHO</t>
  </si>
  <si>
    <t>LEITZ, PASTA ORGANIZADORA A4 PRESTIGE LL - MOGNO</t>
  </si>
  <si>
    <t>LEITZ, PASTA ORGANIZADORA A4 PRESTIGE LL - PRETA</t>
  </si>
  <si>
    <t>LEITZ, PASTA ORGANIZADORA A4 BEBOP LE - VERMELHO</t>
  </si>
  <si>
    <t>LEITZ, PASTA ORGANIZADORA A4 BEBOP LE - AZUL</t>
  </si>
  <si>
    <t>LEITZ, PASTA ORGANIZADORA A4 BEBOP LE - LARANJA</t>
  </si>
  <si>
    <t>LEITZ, PASTA ORGANIZADORA A4 BEBOP LE - BRANCA</t>
  </si>
  <si>
    <t>LEITZ, PASTA ORGANIZADORA A4 BEBOP LE - PRETA</t>
  </si>
  <si>
    <t>LEITZ, PASTA ORGANIZADORA A4 PRESTIGE LE - AZUL MARINHO</t>
  </si>
  <si>
    <t>LEITZ, PASTA ORGANIZADORA A4 PRESTIGE LE - MOGNO</t>
  </si>
  <si>
    <t>LEITZ, PASTA ORGANIZADORA A4 PRESTIGE LE PRETA</t>
  </si>
  <si>
    <t>LEITZ, PASTA FICHARIO A4 BEBOP  - VERMELHO</t>
  </si>
  <si>
    <t>LEITZ, PASTA FICHARIO A4 BEBOP  - AZUL</t>
  </si>
  <si>
    <t>LEITZ, PASTA FICHARIO A4 BEBOP  - LARANJA</t>
  </si>
  <si>
    <t>LEITZ, CONJUNTO COM 5 PASTAS A4 COMBIFILE TR CLEAR</t>
  </si>
  <si>
    <t>LEITZ, CONJUNTO COM 5 PASTAS A4 COMBIFILE TR AZUL</t>
  </si>
  <si>
    <t>LEITZ, CONJUNTO COM 3 PASTAS A4 COMBIFILE RIGIDA TR CLEAR</t>
  </si>
  <si>
    <t>LEITZ, CONJUNTO COM 3 PASTAS A4 COMBIFILE RIGIDA TR AZUL</t>
  </si>
  <si>
    <t>LEITZ, CONJUNTO COM 3 PASTAS A4 COMBIFILE ORGANIZADORA</t>
  </si>
  <si>
    <t>LEITZ, PASTA COM ELASTICO A4 BEBOP VERMELHO</t>
  </si>
  <si>
    <t>LEITZ, PASTA COM ELASTICO A4 BEBOP AZUL</t>
  </si>
  <si>
    <t>LEITZ, PASTA COM ELASTICO A4 BEBOP LARANJA</t>
  </si>
  <si>
    <t>LEITZ, PASTA COM ELASTICO A4 BEBOP BRANCO</t>
  </si>
  <si>
    <t>LEITZ, PASTA COM ELASTICO A4 BEBOP PRETO</t>
  </si>
  <si>
    <t>LEITZ, PASTA COM ELASTICO A4 PRESTIGE  AZUL MARINHO</t>
  </si>
  <si>
    <t>LEITZ, PASTA COM ELASTICO A4 PRESTIGE  MOGNO</t>
  </si>
  <si>
    <t>LEITZ, PASTA COM ELASTICO A4 PRESTIGE  PRETO</t>
  </si>
  <si>
    <t>LEITZ, PASTA SANFONADA BEBOP VERMELHA</t>
  </si>
  <si>
    <t>LEITZ, PASTA SANFONADA BEBOP AZUL</t>
  </si>
  <si>
    <t>LEITZ, PASTA SANFONADA BEBOP LARANJA</t>
  </si>
  <si>
    <t>LEITZ, PASTA SANFONADA BEBOP BRANCO</t>
  </si>
  <si>
    <t>LEITZ, PASTA SANFONADA BEBOP PRETO</t>
  </si>
  <si>
    <t>LEITZ, PASTA SANFONADA PRESTIGE AZUL MARINHO</t>
  </si>
  <si>
    <t>LEITZ, PASTA SANFONADA PRESTIGE MOGNO</t>
  </si>
  <si>
    <t>LEITZ, PASTA SANFONADA PRESTIGE PRETO</t>
  </si>
  <si>
    <t>LEITZ, PASTA CATALOGO - 20 BOLSAS - BEBOP VERMELHA</t>
  </si>
  <si>
    <t>LEITZ, PASTA CATALOGO - 20 BOLSAS - BEBOP AZUL</t>
  </si>
  <si>
    <t>LEITZ, PASTA CATALOGO - 20 BOLSAS - BEBOP LARANJA</t>
  </si>
  <si>
    <t>LEITZ, PASTA CATALOGO - 40 BOLSAS - BEBOP VERMELHA</t>
  </si>
  <si>
    <t>LEITZ, PASTA CATALOGO - 40 BOLSAS - BEBOP AZUL</t>
  </si>
  <si>
    <t>LEITZ, PASTA CATALOGO - 40 BOLSAS - BEBOP LARANJA</t>
  </si>
  <si>
    <t>LEITZ, PASTA CATALOGO - 20 BOLSAS - PRESTIGE AZUL MARINHO</t>
  </si>
  <si>
    <t>LEITZ, PASTA CATALOGO - 20 BOLSAS - PRESTIGE MOGNO</t>
  </si>
  <si>
    <t>LEITZ, PASTA CATALOGO - 20 BOLSAS - PRESTIGE PRETO</t>
  </si>
  <si>
    <t>LEITZ, PASTA CATALOGO - 40 BOLSAS - PRESTIGE AZUL MARINHO</t>
  </si>
  <si>
    <t>LEITZ, PASTA CATALOGO - 40 BOLSAS - PRESTIGE MOGNO</t>
  </si>
  <si>
    <t>LEITZ, PASTA CATALOGO - 40 BOLSAS - PRESTIGE PRETO</t>
  </si>
  <si>
    <t>Leitz, Pasta com Elástico Larga Bebop Azul - PN:4568-00-37</t>
  </si>
  <si>
    <t>Leitz, Pasta com Elástico Larga Bebop Branca - PN:4568-00-01</t>
  </si>
  <si>
    <t>Leitz, Pasta com Elástico Larga Bebop Preta - PN:4568-00-95</t>
  </si>
  <si>
    <t>LEITZ, PASTA  CONGRESSO VERMELHO PN: 4580-00-25</t>
  </si>
  <si>
    <t>LEITZ,PASTA CONGRESSO AZUL - PN: 4580-00-37</t>
  </si>
  <si>
    <t>LEITZ, PASTA  CONGRESSO LARANJA PN: 4580-00-45</t>
  </si>
  <si>
    <t>LEITZ, PASTA FICHARIO FLASH&amp;NATURE, A4 P/280FLS 60MM C/</t>
  </si>
  <si>
    <t>LEITZ, PASTA FICHARIO FLASH&amp;NATURE, A4 P/ 280FLS- SOFTCLICK</t>
  </si>
  <si>
    <t>LEITZ, PASTA FICHARIO FLASH&amp;NATURE, A4 P/ 280FLS- 60MM COM</t>
  </si>
  <si>
    <t>LEITZ, PASTA FICHARIO FLASH&amp;NATURE, A4 P/280FLS 52 MM C/</t>
  </si>
  <si>
    <t>LEITZ, PASTA FICHARIO FLASH&amp;NATURE, A4 P/280FLS C/ SOFTCLICK</t>
  </si>
  <si>
    <t>PASTA SUSPENSA PENDAFLEX ESSENTIAL-LEGAL-VERDE STD-CAIXA COM</t>
  </si>
  <si>
    <t>PASTA SUSPENSA PENDAFLEX ESSENTIAL-LEGAL-AZUL-CAIXA COM 25 P</t>
  </si>
  <si>
    <t>PASTA SUSPENSA PENDAFLEX ESSENTIAL-LEGAL-AMARELO-CAIXA COM 2</t>
  </si>
  <si>
    <t>PASTA SUSPENSA PENDAFLEX ESSENTIAL-LEGAL-LARANJA-CAIXA COM 2</t>
  </si>
  <si>
    <t>PASTA SUSPENSA PENDAFLEX ESSENTIAL-LEGAL-VERMELHO-CAIXA COM</t>
  </si>
  <si>
    <t>PASTA SUSPENSA PENDAFLEX ESSENTIAL-LEGAL-VERDE BRILHO-CAIXA</t>
  </si>
  <si>
    <t>PASTA SUSPENSA PENDAFLEX REFORCADA-LEGAL-AZUL-CAIXA COM 25 P</t>
  </si>
  <si>
    <t>PASTA SUSPENSA PENDAFLEX REFORCADA-LEGAL-AMARELA-CAIXA COM 2</t>
  </si>
  <si>
    <t>PASTA SUSPENSA PENDAFLEX REFORCADA-LEGAL-LARANJA-CAIXA COM 2</t>
  </si>
  <si>
    <t>PASTA SUSPENSA PENDAFLEX REFORCADA-LEGAL-VERMELHO-CAIXA COM</t>
  </si>
  <si>
    <t>PASTA SUSPENSA PENDAFLEX REFORCADA-LEGAL-VERDE BRILHO-CAIXA</t>
  </si>
  <si>
    <t>PASTA SUSPENSA PENDAFLEX "SUREHOOK"-LEGAL- AZUL -CAIXA COM 2</t>
  </si>
  <si>
    <t>PASTA SUSPENSA PENDAFLEX "SUREHOOK"-LEGAL- AMARELA -CAIXA CO</t>
  </si>
  <si>
    <t>PASTA SUSPENSA PENDAFLEX "SUREHOOK"-LEGAL- LARANJA -CAIXA CO</t>
  </si>
  <si>
    <t>PASTA SUSPENSA PENDAFLEX "SUREHOOK"-LEGAL- VERMELHO -CAIXA C</t>
  </si>
  <si>
    <t>PASTA SUSPENSA PENDAFLEX "SUREHOOK"-LEGAL- VERDE BRILHO -CAI</t>
  </si>
  <si>
    <t>Telesteps Bolsa de transporte p/ escada de 3,3 m PN:9129-101</t>
  </si>
  <si>
    <t>Telesteps Bandeja de apoio para Escada - PN:9180-101</t>
  </si>
  <si>
    <t>RAPID, GRAMPEADOR PISTOLA R23 - PN:20510450</t>
  </si>
  <si>
    <t>RAPID, GRAMPEADOR PISTOLA R34 - PN:20511550</t>
  </si>
  <si>
    <t>RAPID, GRAMPEADOR PISTOLA R28 - PN:</t>
  </si>
  <si>
    <t>RAPID, GRAMPEADOR PISTOLA R36 - PN:</t>
  </si>
  <si>
    <t>RAPID, GRAMPEADOR ALICATE HD 31 - PN:10540310</t>
  </si>
  <si>
    <t>RAPID, GRAMPEADOR PISTOLA R83 - PN:20011502</t>
  </si>
  <si>
    <t>RAPID, GRAMPEADOR PISTOLA R156 - PN:</t>
  </si>
  <si>
    <t>RAPID, GRAMPEADOR PISTOLA R33 - PN:20510650</t>
  </si>
  <si>
    <t>RAPID, GRAMPEADOR ROCAFIX LIG 122 - PN:</t>
  </si>
  <si>
    <t>SOPRADOR TERMICO RAPID 2000 DIGITAL</t>
  </si>
  <si>
    <t>SOPRADOR TERMICO RAPID REGULADOR 2000</t>
  </si>
  <si>
    <t>GRAMPEADOR ELETRICO RAPID R114</t>
  </si>
  <si>
    <t>PISTOLA PARA COLA QUENTE RAPID EG355</t>
  </si>
  <si>
    <t>HB-MAQUINA SINGEL P/ APLICACAO DE PREGOS RN-160RS (033284)</t>
  </si>
  <si>
    <t>HB-MAQUINA ESPECIAL P/ APLICACAO DE PREGOS RN-90PII (033502)</t>
  </si>
  <si>
    <t>HB-MAQUINA PARA APLICACAO DE GRAMPOS MANUAL PN-75085 (036819</t>
  </si>
  <si>
    <t>HB-MAQUINA PNEUMATICA P/ PREGOS RNC 90W (031008)</t>
  </si>
  <si>
    <t>HB-GRAMPEADOR PNEUMATICO INDUSTRIAL PN-29150 (038046)</t>
  </si>
  <si>
    <t>JK-GRAMPEADOR MANUAL PARA EMBALAGENS B-561 "BOTTOM STAPLER"(</t>
  </si>
  <si>
    <t>JK-GRAMPEADOR PNEUMATICO PARA EMBALAGENS B-561PN "BOTTOM STA</t>
  </si>
  <si>
    <t>JK-APARELHO PARA CINTAR TIRAS DE ACO JK-1219 (129000)</t>
  </si>
  <si>
    <t>JK-GRAMPEADOR MANUAL PARA EMBALAGENS F-561 (120370)</t>
  </si>
  <si>
    <t>JK-GRAMPEADOR PNEUMATICO PARA EMBALAGENS F-561PN (120560)</t>
  </si>
  <si>
    <t>JK-GRAMPEADOR PNEUMATICO PARA EMBALAGENS C-561PN "TOP STAPLE</t>
  </si>
  <si>
    <t>JK-GRAMPEADOR PNEUMATICO PARA EMBALAGENS R-555PN "TOP STAPLE</t>
  </si>
  <si>
    <t>JK-GRAMPEADOR PNEUMATICO INDUSTRIAL JK-20-670 (126030)</t>
  </si>
  <si>
    <t>JK-GRAMPEADOR PNEUMATICO INDUSTRIAL JK-20A670 (126032)</t>
  </si>
  <si>
    <t>JK-GRAMPEADOR PNEUMATICO INDUSTRIAL JK-45-783 (126305)</t>
  </si>
  <si>
    <t>JK-GRAMPEADOR PNEUMATICO INDUSTRIAL JK-20V779L "SISAL PLIER"</t>
  </si>
  <si>
    <t>JK - GRAMPEADOR PNEUMATICO INDUSTRIAL JK-20T779L (126138)</t>
  </si>
  <si>
    <t>RAPID, GRAMPEADOR MARTELO R11 - PN:</t>
  </si>
  <si>
    <t>RAPID, GRAMPEADOR PISTOLA R30 - PN:</t>
  </si>
  <si>
    <t>RAPID, GRAMPEADOR MARTELO R19 - PN:20726001</t>
  </si>
  <si>
    <t>JK-GRAMPEADOR PNEUMATICO PARA EMBALAGENS JK-A-560 PN TOP STA</t>
  </si>
  <si>
    <t>JK-GRAMPEADOR PNEUMATICO INDUSTRIAL JK 24-690 (126167)</t>
  </si>
  <si>
    <t>JK-GRAMPEADOR PNEUMATICO INDUSTRIAL JK20T777L (126202)</t>
  </si>
  <si>
    <t>RAPID, GRAMPEADOR PISTOLA M10Y - FUN TO FIX - PN:</t>
  </si>
  <si>
    <t>Rapid, 23 Lâmina (faca)  (124446)</t>
  </si>
  <si>
    <t>JK-KIT DE REPARO P/GRAMPEADOR C-561PN (143133)</t>
  </si>
  <si>
    <t>JK-KIT DE REPARO P/ GRAMPEADOR C-561M (143138)</t>
  </si>
  <si>
    <t>JK-KIT DE REPARO PARA JK-1219 (143051)</t>
  </si>
  <si>
    <t>JK-KIT DE REPARO GRAMPEADOR A-560PN (143110)</t>
  </si>
  <si>
    <t>JK-KIT DE REPARO P/ GRAMPEADOR JK-20A670 (143118)</t>
  </si>
  <si>
    <t>JK-KIT DE REPARO P/ GRAMPEADOR JK-45-783 (143067)</t>
  </si>
  <si>
    <t>JK-KIT DE REPARO DE GRAMPEADOR JK-20T779 (143126)</t>
  </si>
  <si>
    <t>JK-KIT DE REPARO PARA JK28-781(143106)</t>
  </si>
  <si>
    <t>JK-KIT DE REPARO PARA JK20-670(143116)</t>
  </si>
  <si>
    <t>JK-KIT DE REPARO PARA HH561(143053)</t>
  </si>
  <si>
    <t>Rapid, 34 Lâmina (faca)  (125641)</t>
  </si>
  <si>
    <t>Rapid, 34 Conjunto de lâmina (mola)  (125807)</t>
  </si>
  <si>
    <t>Rapid, 23 Alimentador  (147801)</t>
  </si>
  <si>
    <t>JK-KIT DE REPARO GRAMPEADOR JK 20T 777 PN (143058)</t>
  </si>
  <si>
    <t>JK-KIT DE REPARO GRAMPEADOR JK 24-690 PN (143038)</t>
  </si>
  <si>
    <t>JK-KIT DE REPARO GRAMPEADOR JK35T590 PN (143050)</t>
  </si>
  <si>
    <t>Rapid, 31 Magazine  (144790)</t>
  </si>
  <si>
    <t>Rapid, 90 Circuito eletrônico 100-120 V  (209160)</t>
  </si>
  <si>
    <t>Rapid, 90 Circuito eletrônico 200-240 V  (208499)</t>
  </si>
  <si>
    <t>LINGUETA DO ANTEPARO PN (158248),   PARA GRAMPEADOR JK35T590</t>
  </si>
  <si>
    <t>SUPORTE  DO ANTEPARO PN (176018), PARA  GRAMPEADOR JK35T590</t>
  </si>
  <si>
    <t>RAPID, GRAMPO 43/8 TEXTIL COM 10.000 GRAMPOS  - PN:11755600</t>
  </si>
  <si>
    <t>RAPID, GRAMPO 36/14 COM 5.000 GRAMPOS - PN:</t>
  </si>
  <si>
    <t>RAPID, GRAMPO 36/10 COM 5.000 GRAMPOS - PN:</t>
  </si>
  <si>
    <t>RAPID, GRAMPO 28/10 COM 5.000 GRAMPOS - PN:</t>
  </si>
  <si>
    <t>RAPID, GRAMPO 28/8 COM 5.000 GRAMPOS - PN:</t>
  </si>
  <si>
    <t>RAPID, PREGO 300/16 - COM 880 PREGOS - PN:</t>
  </si>
  <si>
    <t>RAPID, GRAMPO 13/14 GALVANIZADO COM 5.000 GRAMPOS - PN:11850</t>
  </si>
  <si>
    <t>RAPID, GRAMPO 13/10 GALVANIZADO COM 5.000 GRAMPOS - PN:11840</t>
  </si>
  <si>
    <t>GRAMPO ROCAFIX VR22 CAIXA COM 1100 UNIDADES</t>
  </si>
  <si>
    <t>RAPID, GRAMPO 13/14 GALVANIZADO COM 2.500 GRAMPOS - PN:</t>
  </si>
  <si>
    <t>RAPID, GRAMPO 13/10 GALVANIZADO COM 2.500 GRAMPOS - PN:</t>
  </si>
  <si>
    <t>RAPID, GRAMPO 606/18 COM 4.000 GRAMPOS - PN:</t>
  </si>
  <si>
    <t>RAPID, GRAMPO 606/25 COM 4.000 GRAMPOS - PN:</t>
  </si>
  <si>
    <t>RAPID, GRAMPO 140/14 COM  2.000 GRAMPOS - PN:</t>
  </si>
  <si>
    <t>RAPID, GRAMPO 140/10 COM 2.000 GRAMPOS - PN:</t>
  </si>
  <si>
    <t>COLA MULTIUSO DE 125 GR PARA PISTOLA DE COLA QUENTE</t>
  </si>
  <si>
    <t>HB-PREGOS DE ACO S/ ROSCA RB46/160 (044044)</t>
  </si>
  <si>
    <t>HB-PREGOS RB 31/82 DE ACO COM ROSCA (048647)</t>
  </si>
  <si>
    <t>HB-PREGOS ESPECIAL DE ACO COM ROSCA RNCW 31/80 (043340)</t>
  </si>
  <si>
    <t>HB-GRAMPO ESPECIAL BS29150C (048026)</t>
  </si>
  <si>
    <t>JK-GRAMPOS JK561-15K(2,5M)(400145)</t>
  </si>
  <si>
    <t>JK-GRAMPOS JK561-18K(2,5M)(400153)</t>
  </si>
  <si>
    <t>JK-GRAMPOS JK670-10(20M)(400256)</t>
  </si>
  <si>
    <t>JK-GRAMPOS JK670-12(20M)(400262)</t>
  </si>
  <si>
    <t>JK-GRAMPOS JK781-18CC(5M)(400393)</t>
  </si>
  <si>
    <t>JK-GRAMPO JK781-30CC( Caixa com 5.000 )(400408)</t>
  </si>
  <si>
    <t>JK-GRAMPOS JK783-25CC(10M)(400433)</t>
  </si>
  <si>
    <t>JK-GRAMPOS JK783-51CC(10M)(400439)</t>
  </si>
  <si>
    <t>JK-GRAMPOS JK779-20(5M)(400548)</t>
  </si>
  <si>
    <t>HB-GRAMPOS ESPECIAIS RB 29/76(048530)</t>
  </si>
  <si>
    <t>HB-GRAMPOS ESPECIAIS ST 750 C GALVANIZADOS(048695)</t>
  </si>
  <si>
    <t>JK-GRAMPOS JK 777-10 (2,4M) (400449)</t>
  </si>
  <si>
    <t>JK-GRAMPOS JK 777-16 (2,4M) (400451)</t>
  </si>
  <si>
    <t>JK-GRAMPOS JK590-19 (SM) (400517)</t>
  </si>
  <si>
    <t>JK-GRAMPOS JK 590-22 (5M) (400518)</t>
  </si>
  <si>
    <t>JK-GRAMPOS JK 590-28 (5M) (400520)</t>
  </si>
  <si>
    <t>JK-GRAMPOS-JK 560-15 (2M) (400607)</t>
  </si>
  <si>
    <t>JK-GRAMPOS 560-18 (2M) (400858)</t>
  </si>
  <si>
    <t>JK-GRAMPOS JK779-22 (5M) (400377) CAIXA COM 5 MIL GRAMPOS</t>
  </si>
  <si>
    <t>RAPID, GRAMPO 19/6 COM 5.000 GRAMPOS - PN:23391400</t>
  </si>
  <si>
    <t>RAPID, GRAMPO 19/8 COM 5.000 GRAMPOS - PN:23391500</t>
  </si>
  <si>
    <t>RAPID, GRAMPO 11/6 COM 5.000 GRAMPOS - PN:24071300</t>
  </si>
  <si>
    <t>RAPID, GRAMPO 11/8 COM 5.000 GRMAPOS - PN:23520400</t>
  </si>
  <si>
    <t>RAPID, GRAMPO 11/10 COM 5.000 GRAMPOS - PN:24071301</t>
  </si>
  <si>
    <t>OLFA, ESPÁTULA BSR-300</t>
  </si>
  <si>
    <t>OLFA, ESTOJO DE LÂMINAS BS-10B - KIT COM 10</t>
  </si>
  <si>
    <t>OLFA, ESTOJO DE LÂMINA TCB-1 - Kit com 3</t>
  </si>
  <si>
    <t>OLFA, ESTOJO DE LÂMINA PIB 45-1 - AÇO INOX</t>
  </si>
  <si>
    <t>OLFA, ESTOJO DE LÂMINA RB60-1</t>
  </si>
  <si>
    <t>OLFA, ESTILETE ROTATIVO RTY-3/G (60MM)</t>
  </si>
  <si>
    <t>OLFA, ESTILETE ROTATIVO RTY-4 (18MM)</t>
  </si>
  <si>
    <t>OLFA, BASE DE CORTE ROTATIVA RM-30 X 30</t>
  </si>
  <si>
    <t>OLFA, RÉGUA QR-12S POLEGADAS</t>
  </si>
  <si>
    <t>OLFA, RÉGUA MQR-30X30CM</t>
  </si>
  <si>
    <t>OLFA, ESTILETE ROTATIVO CHN-1 - CHENILE</t>
  </si>
  <si>
    <t>OLFA, ESTILETE HEAVY DUTY L-5</t>
  </si>
  <si>
    <t>OLFA, ESTOJO DE LÂMINA CHB-1</t>
  </si>
  <si>
    <t>OLFA, ESTILETE HEAVY DUTY EXL</t>
  </si>
  <si>
    <t>OLFA, ESTILETE MULTIUSO S</t>
  </si>
  <si>
    <t>OLFA, ESTILETE MULTIUSO 180 BLACK</t>
  </si>
  <si>
    <t>OLFA, ESTILETE MULTIUSO A-2</t>
  </si>
  <si>
    <t>OLFA, ESTILETE MULTIUSO A-3</t>
  </si>
  <si>
    <t>OLFA, ESTILETE MULTIUSO 300</t>
  </si>
  <si>
    <t>OLFA, ESTILETE HEAVY DUTY H-1</t>
  </si>
  <si>
    <t>OLFA, ESTILETE HEAVY DUTY L-1</t>
  </si>
  <si>
    <t>OLFA, ESTILETE HEAVY DUTY L-2</t>
  </si>
  <si>
    <t>OLFA, ESTILETE ESPECIAL XL-2</t>
  </si>
  <si>
    <t>OLFA, ESTILETE HEAVY DUTY SL-1</t>
  </si>
  <si>
    <t>OLFA, ESTILETE HEAVY DUTY AL</t>
  </si>
  <si>
    <t>OLFA, ESTILETE HEAVY DUTY NOL-1</t>
  </si>
  <si>
    <t>OLFA, FACA CK-1</t>
  </si>
  <si>
    <t>OLFA, ESTILETE ESPECIAL MC-45</t>
  </si>
  <si>
    <t>OLFA, ESTILETE ESPECIAL CMP-1</t>
  </si>
  <si>
    <t>OLFA, ESTILETE ESPECIAL CMP-2</t>
  </si>
  <si>
    <t>OLFA, FACA WK-1</t>
  </si>
  <si>
    <t>OLFA, FACA WK-2</t>
  </si>
  <si>
    <t>OLFA, ESTILETE ROTATIVO RTY-1G (28MM)</t>
  </si>
  <si>
    <t>OLFA, ESTILETE ROTATIVO RTY-2G (45MM)</t>
  </si>
  <si>
    <t>OLFA, ESTOJO DE LÂMINAS ASB-10 - KIT COM 10</t>
  </si>
  <si>
    <t>OLFA, ESTOJO DE LÂMINAS HB-5B - KIT COM 5</t>
  </si>
  <si>
    <t>OLFA, ESTOJO DE LÂMINAS LB-10 - KIT COM 10</t>
  </si>
  <si>
    <t>OLFA, ESTOJO DE LÂMINAS CKB-1 - KIT COM 2</t>
  </si>
  <si>
    <t>OLFA, ESTOJO DE LÂMINAS COB-1 - KIT COM 15</t>
  </si>
  <si>
    <t>OLFA, ESTOJO DE LÂMINAS PB-450 - KIT COM 5</t>
  </si>
  <si>
    <t>OLFA, ESTOJO DE LÂMINAS KB - KIT COM 25</t>
  </si>
  <si>
    <t>OLFA, ESTOJO DE LÂMINAS PB-800 - KIT COM 3</t>
  </si>
  <si>
    <t>OLFA, ESTOJO DE LÂMINAS MCB-1 - KIT COM 5</t>
  </si>
  <si>
    <t>OLFA, ESTOJO DE LÂMINAS RB28-2 - KIT COM 2</t>
  </si>
  <si>
    <t>OLFA, BASE DE CORTE RM- IC-M - 92 X 61CM - 36"X24"</t>
  </si>
  <si>
    <t>OLFA, BASE DE CORTE RM- IC-C - 45X30CM - 18"12"</t>
  </si>
  <si>
    <t>OLFA, BASE DE CORTE  RM- IC-S - 60 X 45 CM - 24" X 18 "</t>
  </si>
  <si>
    <t>OLFA, ESTOJO DE LÂMINAS SKB-2/5B - KIT COM 5</t>
  </si>
  <si>
    <t>OLFA, ESTOJO DE LÂMINAS KB-3 - KIT COM 30</t>
  </si>
  <si>
    <t>OLFA, ESTILETE DE SEGURANÇA SK-4</t>
  </si>
  <si>
    <t>OLFA, BASE DE CORTE MULTIUSO CM-A1 - 92X61CM - 36"X24"</t>
  </si>
  <si>
    <t>OLFA, BASE DE CORTE MULTIUSO CM-A2 - 60X43CM - 24"X17"</t>
  </si>
  <si>
    <t>OLFA, GUIA PARA CORTADOR ROTATIVO</t>
  </si>
  <si>
    <t>OLFA, BASE DE CORTE MULTIUSO CM-A4 - 30X21CM - 12"X8"</t>
  </si>
  <si>
    <t>OLFA, BASE DE CORTE MULTIUSO CM-A3 - 43X30CM - 17"X12"</t>
  </si>
  <si>
    <t>OLFA, ESTILETE ESPECIAL AK-1/5B</t>
  </si>
  <si>
    <t>OLFA, ESTOJO DE LÂMINAS RB18-2 - AÇO INOX - KIT COM 2</t>
  </si>
  <si>
    <t>OLFA, ESTILETE ESPECIAL PRC-2</t>
  </si>
  <si>
    <t>OLFA, ESTOJO DE LÂMINAS AB-10S - AÇO INOX - KIT COM 10</t>
  </si>
  <si>
    <t>OLFA, ESTILETE ROTATIVO RTY2/DX (45MM)</t>
  </si>
  <si>
    <t>OLFA, ESTOJO DE LÂMINA WAB45-1 - AÇO INOX</t>
  </si>
  <si>
    <t>OLFA, ESTILETE ESPECIAL 45-C</t>
  </si>
  <si>
    <t>OLFA, ESTOJO DE LÂMINAS RB45-10 - KIT COM 10</t>
  </si>
  <si>
    <t>OLFA, ESTILETE ROTATIVO CMP-3 - FUXICO</t>
  </si>
  <si>
    <t>OLFA, ESTILETE ESPECIAL HOK-1</t>
  </si>
  <si>
    <t>OLFA, ESTOJO DE LÂMINAS PRB18-2 - AÇO INOX - KIT COM 2</t>
  </si>
  <si>
    <t>OLFA, ESPÁTULA SCR-L</t>
  </si>
  <si>
    <t>OLFA, RÉGUA QR-6X24 POLEGADAS</t>
  </si>
  <si>
    <t>OLFA, RÉGUA QR-6X12 POLEGADAS</t>
  </si>
  <si>
    <t>OLFA, TESOURA ESPECIAL SCS-3</t>
  </si>
  <si>
    <t>OLFA, RÉGUA MQR-15X60CM</t>
  </si>
  <si>
    <t>OLFA, RÉGUA MQR-15X30CM</t>
  </si>
  <si>
    <t>OLFA, ESTOJO DE LÂMINA HOB-1</t>
  </si>
  <si>
    <t>OLFA, ESTILETE MULTIUSO SVR-2 - ESTILETE DE INOX</t>
  </si>
  <si>
    <t>OLFA, KIT ESSENCIAL DE QUILT - BASE RM-IC-C + ESTILETE RTY-1</t>
  </si>
  <si>
    <t>OLFA, ESTOJO DE LÂMINAS RSKB-2 - KIT COM 5</t>
  </si>
  <si>
    <t>OLFA, ESTILETE MULTIUSO SPC-1</t>
  </si>
  <si>
    <t>OLFA, ESTILETE DE SEGURANÇA SK-7</t>
  </si>
  <si>
    <t>OLFA, ESTOJO DE LÂMINAS SKB-7/10B - KIT COM 10</t>
  </si>
  <si>
    <t>OLFA, ESTILETE ROTATIVO RTY-2/NS (45MM)</t>
  </si>
  <si>
    <t>OLFA, ESTILETE MULTIUSO A-5</t>
  </si>
  <si>
    <t>OLFA, ESTILETE MULTIUSO XA-1 - COM LAMINA BLACK</t>
  </si>
  <si>
    <t>OLFA, TESOURA ESPECIAL SCS-1</t>
  </si>
  <si>
    <t>OLFA, TESOURA ESPECIAL SCS-2</t>
  </si>
  <si>
    <t>OLFA, ESTILETE MÉDIO MT-1</t>
  </si>
  <si>
    <t>OLFA, ESTOJO DE LÂMINAS MTB-10B - KIT COM 10</t>
  </si>
  <si>
    <t>OLFA, ESTILETE HEAVY DUTY L-1/GREEN</t>
  </si>
  <si>
    <t>OLFA, ESTILETE DE SEGURANÇA SK-8</t>
  </si>
  <si>
    <t>OLFA, ESTOJO DE LÂMINAS SKB-8/10B - KIT COM 10</t>
  </si>
  <si>
    <t>OLFA, ESTILETE ESPECIAL PC-S</t>
  </si>
  <si>
    <t>OLFA, ESTILETE ESPECIAL PC-L</t>
  </si>
  <si>
    <t>OLFA, ESTILETE DE SEGURANÇA SK-10</t>
  </si>
  <si>
    <t>OLFA, ESTOJO DE LÂMINAS SKB-10/10B - KIT COM 10</t>
  </si>
  <si>
    <t>OLFA, ESTOJO DE LÂMINAS HSWB-1/1B</t>
  </si>
  <si>
    <t>OLFA, ESTILETE HSW-1</t>
  </si>
  <si>
    <t>OLFA, ESTILETE L5 - AL/BB + 5 LAMINAS LBB</t>
  </si>
  <si>
    <t>OLFA, ESTILETE HEAVY DUTY L - 1 / SPC</t>
  </si>
  <si>
    <t>OLFA, ESTOJO DE LAMINA LBD-10 - KIT COM 10</t>
  </si>
  <si>
    <t>OLFA, ESTOJO DE LAMINA HOB - 2/5 - KIT COM 5</t>
  </si>
  <si>
    <t>OLFA, ESTOJO DE LAMINA SAB - 10B - KIT COM 10</t>
  </si>
  <si>
    <t>OLFA, ESTOJO DE LAMINA KB4-S/5 - KIT COM 5</t>
  </si>
  <si>
    <t>OLFA, ESTOJO DE LAMINA KB4-R/5 - KIT COM 5</t>
  </si>
  <si>
    <t>OLFA, ESTOJO DE LAMINA KB4- F/5 - KIT COM 5</t>
  </si>
  <si>
    <t>OLFA, ESTOJO DE LÂMINAS KB4-NS/3</t>
  </si>
  <si>
    <t>OLFA, ESTOJOS DE LAMINAS KB4- WS/3 - KIT COM 3</t>
  </si>
  <si>
    <t>OLFA, ESTOJOS DE LAMINAS LB-10B - KIT COM 10</t>
  </si>
  <si>
    <t>OLFA, ESTOJOS DE LAMINAS LBB-10B - KIT COM 10</t>
  </si>
  <si>
    <t>OLFA, ESTOJOS DE LAMINAS ABB-10B - KIT COM 10</t>
  </si>
  <si>
    <t>OLFA, ESTILETE HEAVY DUTY ML</t>
  </si>
  <si>
    <t>OLFA, ESTILETE MULTIUSO SAC -1</t>
  </si>
  <si>
    <t>OLFA, ESTILETE DE SEGURANÇA SK-9</t>
  </si>
  <si>
    <t>OLFA, ESTILETE ESPECIAL AK - 4</t>
  </si>
  <si>
    <t>OLFA, ESTILETE ESPECIAL CMP - 1/DX</t>
  </si>
  <si>
    <t>OLFA, ESTILETE MULTIUSO A-1</t>
  </si>
  <si>
    <t>OLFA , KIT PARA QUILT - ACQUA COLOR</t>
  </si>
  <si>
    <t>OLFA, ESTOJO PARA DESCARTE DE LAMINAS DC-6</t>
  </si>
  <si>
    <t>OLFA, ESTILETE DE SEGURANÇA SK-6</t>
  </si>
  <si>
    <t>OLFA, ESTILETE DE SEGURANÇA SK-5</t>
  </si>
  <si>
    <t>OLFA, ESTILETE ESPECIAL  SK-3</t>
  </si>
  <si>
    <t>OLFA, ESTOJO  PARA  DESCARTE DE LAMINAS DC-5</t>
  </si>
  <si>
    <t>OLFA, ESTILETE HEAVY DUTY 2X1 CS-5</t>
  </si>
  <si>
    <t>OLFA, ESTILETE ESPECIAL  AK-5</t>
  </si>
  <si>
    <t>OLFA, ESTILETE HEAVY DUTY XH-AL</t>
  </si>
  <si>
    <t>OLFA, ESTILETE HEAVY DUTY DL-1</t>
  </si>
  <si>
    <t>OLFA, ESTILETE MULTIUSO DA-1</t>
  </si>
  <si>
    <t>OLFA, ESTILETE MEDIO MT-1 + 5 LAMINAS</t>
  </si>
  <si>
    <t>OLFA, ESTILETE HEAVY DUTY H-1 + 3 LAMINAS</t>
  </si>
  <si>
    <t>OLFA, ESTILETE HEAVY DUTY L-1 + ESTILETE TK4</t>
  </si>
  <si>
    <t>OLFA, ESTILETE L5/5LBB + 5 LAMINAS LBB</t>
  </si>
  <si>
    <t>TARIFOLD T-VIEW, PASTA A4, MAGNETICA, PRETA - KIT COM 5 - PN</t>
  </si>
  <si>
    <t>TARIFOLD T-VIEW, PASTA A4 DISTRIBUIDORA (10MM), AZUL, RETRAT</t>
  </si>
  <si>
    <t>TARIFOLD T-VIEW, PASTA A4 DISTRIBUIDORA (10MM), AZUL, PAISAG</t>
  </si>
  <si>
    <t>TARIFOLD T-VIEW, PASTA A4 PORTA FOLHAS COM ARGOLA, VERDE + C</t>
  </si>
  <si>
    <t>TARIFOLD T-VIEW, PASTA A4 DRYPOCKET, COM ARGORA, VERMELHA, R</t>
  </si>
  <si>
    <t>TARIFOLD T-VIEW, PASTA A4 STANDARD COM ARGOLA, PRETA, RETRAT</t>
  </si>
  <si>
    <t>TARIFOLD T-DISPLAY, SUPORTE DE MESA OFFICE A4 + 10 PASTAS AZ</t>
  </si>
  <si>
    <t>TARIFOLD T-VIEW, PASTA A4 STANDARD COM ARGOLA, CORES SORTIDA</t>
  </si>
  <si>
    <t>TARIFOLD T-VIEW, PASTA A4 STANDARD COM ARGOLA, AZUL, RETRATO</t>
  </si>
  <si>
    <t>TARIFOLD T-VIEW, PASTA A4 STANDARD COM ARGOLA, VERMELHA, RET</t>
  </si>
  <si>
    <t>TARIFOLD T-VIEW, PASTA A4 STANDARD COM ARGOLA, VERDE, RETRAT</t>
  </si>
  <si>
    <t>TARIFOLD T-DISPLAY, SUPORTE DE PAREDE OFFICE A4 + 10 PASTAS</t>
  </si>
  <si>
    <t>TARIFOLD T-DISPLAY, SUPORTE DE MESA OFFICE A4 + 10 PASTAS CI</t>
  </si>
  <si>
    <t>TARIFOLD T-DISPLAY, SUPORTE DE MESA ORBITAL A4 + 10 PASTAS -</t>
  </si>
  <si>
    <t>TARIFOLD T-DISPLAY, BRAÇO ARTICULADO - PN:580101</t>
  </si>
  <si>
    <t>TARIFOLD T-DISPLAY, INFOSTAND, BASE PEDESTAL - PN:550000</t>
  </si>
  <si>
    <t>TARIFOLD T-DISPLAY,PASTA A4,COM PINO,CORES SORTIDAS,RETRATO</t>
  </si>
  <si>
    <t>TARIFOLD T-DISPLAY, PASTA A4, COM PINO, VERMELHA, RETRATO -</t>
  </si>
  <si>
    <t>TARIFOLD T-DISPLAY, PASTA A4, COM PINO, AMARELA, RETRATO - K</t>
  </si>
  <si>
    <t>TARIFOLD T-DISPLAY, PASTA A4, COM PINO, VERDE, RETRATO - KIT</t>
  </si>
  <si>
    <t>TARIFOLD T-DISPLAY, PASTA A4, COM PINO, PRETA, RETRATO - KIT</t>
  </si>
  <si>
    <t>TARIFOLD T-DISPLAY, PASTA A5, COM PINO, CORES SORTIDAS, RETR</t>
  </si>
  <si>
    <t>TARIFOLD T-DISPLAY, PASTA A3, COM PINO, CORES SORTIRAS, RETR</t>
  </si>
  <si>
    <t>TARIFOLD T-DISPLAY, PASTA A3, COM PINO, AZUL, PAISAGEM - KIT</t>
  </si>
  <si>
    <t>TARIFOLD T-DISPLAY, PASTA A4, COM PINO, CORES SORTIDAS, PAIS</t>
  </si>
  <si>
    <t>TARIFOLD T-DISPLAY, PASTA A4, COM PINO, VERMELHA, PAISAGEM -</t>
  </si>
  <si>
    <t>TARIFOLD T-DISPLAY, PASTA A4, COM PINO, AMARELA, PAISAGEM -</t>
  </si>
  <si>
    <t>TARIFOLD T-DISPLAY, PASTA A4, COM PINO, VERDE, PAISAGEM - KI</t>
  </si>
  <si>
    <t>TARIFOLD T-DISPLAY, PASTA A4, COM PINO, PRETA, PAISAGEM - KI</t>
  </si>
  <si>
    <t>TARIFOLD T-DISPLAY, MARCADORES DE PAGINA 25 MM - KIT COM 10</t>
  </si>
  <si>
    <t>TARIFOLD T-DISPLAY, MARCADORES DE PAGINA 50 MM - KIT COM 10</t>
  </si>
  <si>
    <t>TARIFOLD T-DISPLAY, PLUG CINZA - KIT COM 4 - PN:200000</t>
  </si>
  <si>
    <t>TARIFOLD T-DISPLAY, SUPORTE DE PAREDE INDUSTRIAL A4 PARA 10</t>
  </si>
  <si>
    <t>TARIFOLD T-DISPLAY, SUPORTE DE PAREDE INDUSTRIAL A3 PARA 10</t>
  </si>
  <si>
    <t>TARIFOLD T-DISPLAY, SUPORTE DE PAREDE INDUSTRIAL A4 + 10 PAS</t>
  </si>
  <si>
    <t>TARIFOLD T-DISPLAY, SUPORTE DE MESA INDUSTRIAL A4 (30) PARA</t>
  </si>
  <si>
    <t>TARIFOLD T-DISPLAY, SUPORTE DE MESA INDUSTRIAL A4 (60) PARA</t>
  </si>
  <si>
    <t>TARIFOLD T-DISPLAY, SUPORTE DE MESA INDUSTRIAL A5 (30) PARA</t>
  </si>
  <si>
    <t>TARIFOLD CONJ DE MESA A5 PARA 50 PASTAS-225500</t>
  </si>
  <si>
    <t>TARIFOLD T-DISPLAY, SUPORTE DE MESA INDUSTRIAL A5 (60) PARA</t>
  </si>
  <si>
    <t>TARIFOLD T-DISPLAY, SUPORTE DE MESA INDUSTRIAL A3 (30) PARA</t>
  </si>
  <si>
    <t>TARIFOLD T-DISPLAY, COLUNA TELESCÓPICA - PN:560100</t>
  </si>
  <si>
    <t>TARIFOLD T-DISPLAY, PIVORACK, SUPORTE PARA ESTANTERIA - PN:6</t>
  </si>
  <si>
    <t>TARIFOLD T-DISPLAY, SUPORTE DE MESA MINISTAND, A5, COM 10 PA</t>
  </si>
  <si>
    <t>TARIFOLD T-DISPLAY, PASTA A4 DE INOX, COM PINO, ABERTURA LAT</t>
  </si>
  <si>
    <t>TARIFOLD T-DISPLAY, BASE PARA SUPORTE DE MESA INDUSTRIAL A4</t>
  </si>
  <si>
    <t>TARIFOLD T-DISPLAY, PASTA A4 FOLD UP, COM PINO, AZUL, RETRAT</t>
  </si>
  <si>
    <t>TARIFOLD T-VIEW, PASTA A4 PORTA CATALOGO EM V, CORES SORTIDA</t>
  </si>
  <si>
    <t>TARIFOLD T-VIEW, PASTA A4 COM ARGOLA, VERMELHA, PAISAGEM - K</t>
  </si>
  <si>
    <t>TARIFOLD T-DISPLAY, SUPORTE DE MESA INDUSTRIAL A4 (30) + 10</t>
  </si>
  <si>
    <t>TARIFOLD T-VIEW, PASTA A4 STICKY FOLD, ADESIVA - KIT COM 5 -</t>
  </si>
  <si>
    <t>TARIFOLD T-VIEW, PASTA A4 STICKY FOLD, MAGNÉTICA - KIT COM 5</t>
  </si>
  <si>
    <t>TARIFOLD T-DISPLAY, PASTA A4 ANTI-MICROBIAIS, COM PINO, PRET</t>
  </si>
  <si>
    <t>TARIFOLD T-VIEW, MOLDURA DISPLAY A4  AZUL COM ADESIVO PERMAN</t>
  </si>
  <si>
    <t>TARIFOLD T-VIEW, MOLDURA DISPLAY A4  BRANCA COM ADESIVO PERM</t>
  </si>
  <si>
    <t>TARIFOLD T-VIEW, MOLDURA DISPLAY A4  VERMELHA COM ADESIVO PE</t>
  </si>
  <si>
    <t>TARIFOLD T-VIEW, MOLDURA DISPLAY A4  AMARELA COM ADESIVO PER</t>
  </si>
  <si>
    <t>TARIFOLD T-VIEW, MOLDURA DISPLAY A4  VERDE COM ADESIVO PERMA</t>
  </si>
  <si>
    <t>TARIFOLD T-VIEW, MOLDURA DISPLAY A5  AZUL COM ADESIVO PERMAN</t>
  </si>
  <si>
    <t>TARIFOLD T-VIEW, MOLDURA DISPLAY A5  BRANCA COM ADESIVO PERM</t>
  </si>
  <si>
    <t>TARIFOLD T-VIEW, MOLDURA DISPLAY A5  VERMELHA COM ADESIVO PE</t>
  </si>
  <si>
    <t>TARIFOLD T-VIEW, MOLDURA DISPLAY A5  AMARELA COM ADESIVO PER</t>
  </si>
  <si>
    <t>TARIFOLD T-VIEW, MOLDURA DISPLAY A5  VERDE COM ADESIVO PERMA</t>
  </si>
  <si>
    <t>TARIFOLD T-VIEW, MOLDURA DISPLAY A6  AZUL COM ADESIVO PERMAN</t>
  </si>
  <si>
    <t>TARIFOLD T-VIEW, MOLDURA DISPLAY A6  BRANCA COM ADESIVO PERM</t>
  </si>
  <si>
    <t>TARIFOLD T-VIEW, MOLDURA DISPLAY A6  VERMELHA COM ADESIVO PE</t>
  </si>
  <si>
    <t>TARIFOLD T-VIEW, MOLDURA DISPLAY A6  AMARELA COM ADESIVO PER</t>
  </si>
  <si>
    <t>TARIFOLD T-VIEW, MOLDURA DISPLAY A6  VERDE COM ADESIVO PERMA</t>
  </si>
  <si>
    <t>TARIFOLD T-VIEW, MOLDURA DISPLAY 120 X 45 MM  AZUL COM ADESI</t>
  </si>
  <si>
    <t>TARIFOLD T-VIEW, MOLDURA DISPLAY 120 X 45 MM  VERMELHA COM A</t>
  </si>
  <si>
    <t>TARIFOLD T-VIEW, MOLDURA DISPLAY 120 X 45 MM  VERDE COM ADES</t>
  </si>
  <si>
    <t>TARIFOLD T-VIEW, MOLDURA DISPLAY 80 X 45 MM  BRANCA COM ADES</t>
  </si>
  <si>
    <t>TARIFOLD T-VIEW, MOLDURA DISPLAY 80 X 45 MM  AMARELA COM ADE</t>
  </si>
  <si>
    <t>TARIFOLD T-DISPLAY, SUPORTE DE MESA VEO COM 10 PASTAS PRETAS</t>
  </si>
  <si>
    <t>CANDY COLORS - FONE DE OUVIDO IN-EAR / AMARELO - YOUTS</t>
  </si>
  <si>
    <t>CANDY COLORS - FONE DE OUVIDO IN-EAR / AZUL - YOUTS</t>
  </si>
  <si>
    <t>CANDY COLORS - FONE DE OUVIDO IN-EAR / LARANJA - YOUTS</t>
  </si>
  <si>
    <t>CANDY COLORS - FONE DE OUVIDO IN-EAR / ROSA - YOUTS</t>
  </si>
  <si>
    <t>CANDY COLORS - FONE DE OUVIDO IN-EAR / VERDE - YOUTS</t>
  </si>
  <si>
    <t>PLATE - HEADSET SLIM / AZUL - YOUTS</t>
  </si>
  <si>
    <t>PLATE - HEADSET SLIM / VERDE - YOUTS</t>
  </si>
  <si>
    <t>PLATE - HEADSET SLIM / ROSA - YOUTS</t>
  </si>
  <si>
    <t>YOUTS, HEADFONE BRANCO/ AZUL, YHD520</t>
  </si>
  <si>
    <t>GLOBE - DISPOSITIVO DE SOM POR VIBRAÇÃO / AZUL - YOUTS</t>
  </si>
  <si>
    <t>GLOBE - DISPOSITIVO DE SOM POR VIBRAÇÃO / LARANJA - YOUTS</t>
  </si>
  <si>
    <t>GLOBE - DISPOSITIVO DE SOM POR VIBRAÇÃO / ROSA - YOUTS</t>
  </si>
  <si>
    <t>GLOBE - DISPOSITIVO DE SOM POR VIBRAÇÃO / VERDE - YOUTS</t>
  </si>
  <si>
    <t>PEBBLE - DISPOSITIVO DE SOM POR VIBRAÇÃO / PRATA - YOUTS</t>
  </si>
  <si>
    <t>ITURN - CASE DE COURO SINTETICO PARA IPAD 2 e NEW IPAD / AZU</t>
  </si>
  <si>
    <t>ITURN - CASE DE COURO SINTETICO PARA IPAD 2 e NEW IPAD / ROS</t>
  </si>
  <si>
    <t>ITURN - CASE DE COURO SINTETICO PARA IPAD 2 e NEW IPAD / VER</t>
  </si>
  <si>
    <t>ISMART - CASE DE COURO SINTETICO PARA IPAD 2 e NEW IPAD / AM</t>
  </si>
  <si>
    <t>ISMART - CASE DE COURO SINTETICO PARA IPAD 2 e NEW IPAD / AZ</t>
  </si>
  <si>
    <t>ISMART - CASE DE COURO SINTETICO PARA IPAD 2 e NEW IPAD / LA</t>
  </si>
  <si>
    <t>ISMART - CASE DE COURO SINTETICO PARA IPAD 2 e NEW IPAD / RO</t>
  </si>
  <si>
    <t>ISMART - CASE DE COURO SINTETICO PARA IPAD 2 e NEW IPAD / VE</t>
  </si>
  <si>
    <t>ARMOUR ILLUSTRATOR COLLECTION MR20 - CASE DE PC PARA IPHONE</t>
  </si>
  <si>
    <t>ARMOUR ILLUSTRATOR COLLECTION  JL05 - CASE DE PC PARA IPHONE</t>
  </si>
  <si>
    <t>ARMOUR ILLUSTRATOR COLLECTION JL06 - CASE DE PC PARA IPHONE</t>
  </si>
  <si>
    <t>ARMOUR ILLUSTRATOR COLLECTION  MR11 - CASE DE PC PARA IPHONE</t>
  </si>
  <si>
    <t>PROCASE AIR - CASE DE PC &amp; TPU PARA IPHONE 3 / PRETO- YOUTS</t>
  </si>
  <si>
    <t>PROCASE AIR - CASE DE PC &amp; TPU PARA IPHONE 3 / AZUL - YOUTS</t>
  </si>
  <si>
    <t>PROCASE AIR - CASE DE PC &amp; TPU PARA IPHONE 3 / LARANJA - YOU</t>
  </si>
  <si>
    <t>PROCASE AIR - CASE DE PC &amp; TPU PARA IPHONE 3 / ROSA - YOUTS</t>
  </si>
  <si>
    <t>PROCASE AIR - CASE DE PC &amp; TPU PARA IPHONE 3 / VERDE - YOUTS</t>
  </si>
  <si>
    <t>PROCASE AIR - CASE DE PC &amp; TPU PARA IPHONE 4/ TRANSPARENTE-Y</t>
  </si>
  <si>
    <t>PROCASE AIR - CASE DE PC &amp; TPU PARA IPHONE 4 / AZUL - YOUTS</t>
  </si>
  <si>
    <t>PROCASE AIR - CASE DE PC &amp; TPU PARA IPHONE 4 / LARANJA - YOU</t>
  </si>
  <si>
    <t>PROCASE AIR - CASE DE PC &amp; TPU PARA IPHONE 4 / ROSA - YOUTS</t>
  </si>
  <si>
    <t>PROCASE AIR - CASE DE PC &amp; TPU PARA IPHONE 4 / VERDE - YOUTS</t>
  </si>
  <si>
    <t>ARMOUR LOVE SERIES - CASE DE PC PARA IPHONE 4 (KIT) - YOUTS</t>
  </si>
  <si>
    <t>IFLEX - CASE DE TPU TRANSPARENTE PARA IPHONE 4 - YOUTS</t>
  </si>
  <si>
    <t>PROCASE AIR - CASE DE PC &amp; TPU PARA BB CURVE 8500 E 9300 / P</t>
  </si>
  <si>
    <t>PROCASE AIR - CASE DE PC &amp; TPU PARA BB CURVE 8500 E 9300 / A</t>
  </si>
  <si>
    <t>PROCASE AIR - CASE DE PC &amp; TPU PARA BB CURVE 8500 E 9300 / R</t>
  </si>
  <si>
    <t>PROCASE AIR - CASE DE PC &amp; TPU PARA BB CURVE 8500 E 9300 / V</t>
  </si>
  <si>
    <t>PROCASE AIR - CASE DE PC &amp; TPU PARA BB BOLD 9700 / PRETO - Y</t>
  </si>
  <si>
    <t>PROCASE AIR - CASE DE PC &amp; TPU PARA BB BOLD 9700 / AZUL - YO</t>
  </si>
  <si>
    <t>PROCASE AIR - CASE DE PC &amp; TPU PARA BB BOLD 9700 / ROSA - YO</t>
  </si>
  <si>
    <t>PROCASE AIR - CASE DE PC &amp; TPU PARA BB BOLD 9700 / VERDE - Y</t>
  </si>
  <si>
    <t>PROCASE AIR - CASE DE PC &amp; TPU PARA BB CURVE 8500 E 9300 / L</t>
  </si>
  <si>
    <t>Youts,Case de PC Para iPhone 4S-Armour Street Art Collection</t>
  </si>
  <si>
    <t>Youts, Case de PC Para iPhone 5 - Armour Street Art Collecti</t>
  </si>
  <si>
    <t>Youts, Case de PC Para Galaxy SIII - Armour Street Art Colle</t>
  </si>
  <si>
    <t>Youts, Case de PC Para iPhone 4S - Armour Street Art Collect</t>
  </si>
  <si>
    <t>Youts,Case de PC Para Galaxy S4-Armour Street Art Collection</t>
  </si>
  <si>
    <t>Não considerar devolução</t>
  </si>
  <si>
    <t>3 Ultimos Meses</t>
  </si>
  <si>
    <t>CÓDIGO</t>
  </si>
  <si>
    <t>Q</t>
  </si>
  <si>
    <t>Mês 12</t>
  </si>
  <si>
    <t>Mês 11</t>
  </si>
  <si>
    <t>Mês 10</t>
  </si>
  <si>
    <t>Mês 9</t>
  </si>
  <si>
    <t>Mês 8</t>
  </si>
  <si>
    <t>Mês 7</t>
  </si>
  <si>
    <t>Mês 6</t>
  </si>
  <si>
    <t>Mês 5</t>
  </si>
  <si>
    <t>Mês 4</t>
  </si>
  <si>
    <t>Mês 3</t>
  </si>
  <si>
    <t>Mês 2</t>
  </si>
  <si>
    <t>Mês 1</t>
  </si>
  <si>
    <t>Formula Projeção</t>
  </si>
  <si>
    <t>Pasta para plastificação Fellowes A6 - 125mic - 100pç  - PN:5307202</t>
  </si>
  <si>
    <t>Pasta para plastificação Fellowes 75X105MM - 125mic - 100pç  - PN:5306902</t>
  </si>
  <si>
    <t>Pasta para plastificação Fellowes 65X95MM - 125mic - 100pç - PN:5306703</t>
  </si>
  <si>
    <t>Pasta para plastificação Fellowes 83X113MM - 125mic - 100pç  - PN:5307102</t>
  </si>
  <si>
    <t>Pasta para plastificação Fellowes A4 - 100mic - 100pç  - PN:5351113</t>
  </si>
  <si>
    <t>Pasta para plastificação Fellowes A4 - 125mic - 25pç  - PN:5396303</t>
  </si>
  <si>
    <t>Fragmentadora Fellowes MS-450Cs Microshred - 230V - PN:3245335</t>
  </si>
  <si>
    <t>OLFA, ESTOJO DE LÂMINAS KB4-F/5</t>
  </si>
  <si>
    <t>Pasta para plastificação Fellowes A4 - 125mic - 100pç  - PN:5307409</t>
  </si>
  <si>
    <t>OLFA, ESTOJO DE LÂMINAS KB4-R/5</t>
  </si>
  <si>
    <t>Pasta para plastificação Fellowes A3 - 100mic - 100pç  - PN:5351206</t>
  </si>
  <si>
    <t>Pasta para plastificação Fellowes A5 - 100mic - 100pç  - PN:5351003</t>
  </si>
  <si>
    <t>RAPID, GRAMPEADOR DE MESA ECO FULL STRIP (24-26/6) - PN:24812301</t>
  </si>
  <si>
    <t>Pasta para plastificação Fellowes A4 - 175mic - 100pç  - PN:5308704</t>
  </si>
  <si>
    <t>Pasta para plastificação Fellowes A5 - 125mic - 100pç  - PN:5307303</t>
  </si>
  <si>
    <t>Pasta para plastificação Fellowes A4 - 250mic - 100pç  - PN:5401804</t>
  </si>
  <si>
    <t>Pasta para plastificação Fellowes 54X86MM - 125mic - 100pç  - PN:5306303</t>
  </si>
  <si>
    <t>Guilhotina Fellowes Plasma A3 - PN:5411101</t>
  </si>
  <si>
    <t>Pasta para plastificação Fellowes A3 - 175mic - 100pç  - PN:5308804</t>
  </si>
  <si>
    <t>Fragmentadora Fellowes Automax 300C Cross Cut - 220V - PN:4651001</t>
  </si>
  <si>
    <t>Fragmentadora Fellowes Automax 300C Cross Cut - 120V - PN:4651301</t>
  </si>
  <si>
    <t>Fragmentadora Fellowes 225Ci Cross Cut - 230V - PN:</t>
  </si>
  <si>
    <t>RAPID, GRAMPEADOR ELETRICO 5025E BRANCO (BIVOLT) - PN:25095210</t>
  </si>
  <si>
    <t>Fragmentadora Fellowes 99Ci Cross Cut - 120V - PN:4691901</t>
  </si>
  <si>
    <t xml:space="preserve">PERFURADOR RAPID C-20 </t>
  </si>
  <si>
    <t>Pen Drive Bracelete - 4G - Azul - Ed.Rock in Rio</t>
  </si>
  <si>
    <t>Pen Drive Youts Modelo Guitarra - Ed.Rock in Rio</t>
  </si>
  <si>
    <t>Fragmentadora Fellowes 225i Strip Cut - 120V - PN:4623901</t>
  </si>
  <si>
    <t xml:space="preserve">PERFURADOR RAPID SC35 PRETO </t>
  </si>
  <si>
    <t>Pen Drive Bracelete - 4G - Rosa - Ed.Rock in Rio</t>
  </si>
  <si>
    <t>Plastificadora Fellowes JUPITER A3 - 120V - PN:5223601</t>
  </si>
  <si>
    <t>Garra de encadernação Fellowes A4 Preta 10MM - 100pç - PN:5346109</t>
  </si>
  <si>
    <t>Pen Drive Bracelete - 4G - Amarelo - Ed.Rock in Rio</t>
  </si>
  <si>
    <t>PAPEL VEGETAL MICROPRINT, A3 297 x 420 mm, 60-65 g/m², 100 Fls</t>
  </si>
  <si>
    <t>Youts, Capa para Smartphone Galaxy SIII - CBR, Arara Brasil - EC</t>
  </si>
  <si>
    <t>Youts, Capa para Smartphone Galaxy SIII - CBR, Fuchic - EC</t>
  </si>
  <si>
    <t>TARIFOLD T-DISPLAY, SUPORTE DE MESA OFFICE A4 + 10 PASTAS AZUIS - PN:734301</t>
  </si>
  <si>
    <t>TARIFOLD T-DISPLAY, EXTENÇÃO PARA SUPORTE DE MESA OFFICE + 10 PASTAS A4, AZUL - PN:734351</t>
  </si>
  <si>
    <t>TARIFOLD T-DISPLAY, SUPORTE DE MESA OFFICE A4 + 10 PASTAS CINZAS - PN:734300</t>
  </si>
  <si>
    <t>TARIFOLD T-DISPLAY, EXTENÇÃO PARA SUPORTE DE MESA OFFICE + 10 PASTAS A4, CINZAS - PN:734350</t>
  </si>
  <si>
    <t>TARIFOLD T-DISPLAY, SUPORTE DE MESA INDUSTRIAL A4 (30) PARA 20 PASTAS - PN:224200</t>
  </si>
  <si>
    <t>Encadernadora Fellowes GALAXY - Wire-o - MANUAL  - PN:5622401</t>
  </si>
  <si>
    <t>Garra de encadernação ovalada Fellowes A4 Preta 38MM - 50pç - PN:5349703</t>
  </si>
  <si>
    <t>Garra de encadernação Fellowes A4 Branca 14MM - 100pç - PN:5346605</t>
  </si>
  <si>
    <t>Garra de encadernação Fellowes A4 Preta 16MM - 100pç - PN:5347308</t>
  </si>
  <si>
    <t>Garra de encadernação Fellowes A4 Preta 12MM - 100pç - PN:5346508</t>
  </si>
  <si>
    <t>Wire-o para encadernação Fellowes 6mm Preto A4 - 3:1 - 100pç  - PN:53218</t>
  </si>
  <si>
    <t>Garra de encadernação Fellowes A4 Branca 8MM - 100pç - PN:5345407</t>
  </si>
  <si>
    <t>Garra de encadernação Fellowes A4 Preta 8MM - 100pç - PN:5345708</t>
  </si>
  <si>
    <t>Garra de encadernação Fellowes A4 Branca 10MM - 100pç - PN:5345806</t>
  </si>
  <si>
    <t>Garra de encadernação Fellowes A4 Preta 6MM - 100pç - PN:5345308</t>
  </si>
  <si>
    <t xml:space="preserve">Rapid, 49 Mola </t>
  </si>
  <si>
    <t xml:space="preserve">Rapid, 49 Suporte da Coroa </t>
  </si>
  <si>
    <t>Rapid, 106, Bigorna ( 14672010 )</t>
  </si>
  <si>
    <t xml:space="preserve">Rapid, 49 Bigorna </t>
  </si>
  <si>
    <t xml:space="preserve">Rapid, 49 Botão de relaxe </t>
  </si>
  <si>
    <t>Rapid, 105,106, Pistão com  Lâmina Faca  (12105301)</t>
  </si>
  <si>
    <t>Rapid, 105e e 106e Cabo ótico 700 mm  (17774102)</t>
  </si>
  <si>
    <t xml:space="preserve">Rapid, 49 Lâmina (faca) </t>
  </si>
  <si>
    <t xml:space="preserve">Rapid, 49 Parafuso da bigorna </t>
  </si>
  <si>
    <t>Fragmentadora Fellowes 70S Strip Cut - 230V - PN:4670901</t>
  </si>
  <si>
    <t>OLFA, LAMINA SWB-5/1B</t>
  </si>
  <si>
    <t>Cartucho de Lâminas de reposição Fellowes SAFECUT reta  - PN:5411401</t>
  </si>
  <si>
    <t>Refiladora Fellowes ATOM A3 - Rotativa - PN:5410701</t>
  </si>
  <si>
    <t>Refiladora Fellowes ATOM A4 - Rotativa - PN:5410601</t>
  </si>
  <si>
    <t>Rapid, 23, 105, Lâmina (mola)  (124503)</t>
  </si>
  <si>
    <t>OLFA, ESTOJO DE LAMINAS KB-5/30B KIT C/ 30</t>
  </si>
  <si>
    <t>Pasta Suspensa Pendaflex Reforçada -Legal - Laranja - Caixa com 25</t>
  </si>
  <si>
    <t>Pasta Suspensa Pendaflex Essential - Legal - Verde Brilho - Caixa com 25</t>
  </si>
  <si>
    <t>Rapid, Grampeador de mesa FM-12, PN:5000273</t>
  </si>
  <si>
    <t>Estojo Slim Youts Transparente - Pack com 5</t>
  </si>
  <si>
    <t>DVD-R S Color Label Pink</t>
  </si>
  <si>
    <t>CD-R Youts Envelope Colorful Green - Ed.Rock in Rio</t>
  </si>
  <si>
    <t>CD-R Youts Envelope Colorful Orange - Ed.Rock in Rio</t>
  </si>
  <si>
    <t>CD-R Youts Envelope Colorful Pink - Ed.Rock in Rio</t>
  </si>
  <si>
    <t>CD-R Youts Envelope Colorful Yellow - Ed.Rock in Rio</t>
  </si>
  <si>
    <t>DVD-R Youts Envelope Colorful Blue - Ed.Rock in Rio</t>
  </si>
  <si>
    <t>DVD-R Youts Envelope Colorful Green - Ed.Rock in Rio</t>
  </si>
  <si>
    <t>DVD-R Youts Envelope Colorful Orange - Ed.Rock in Rio</t>
  </si>
  <si>
    <t>DVD-R Youts Envelope Colorful Pink - Ed.Rock in Rio</t>
  </si>
  <si>
    <t>DVD-R Youts Envelope Colorful Yellow - Ed.Rock in Rio</t>
  </si>
  <si>
    <t>DVD-R Youts Slim Colorful - Pack com 5 - Ed.Rock in Rio</t>
  </si>
  <si>
    <t>BD-R Youts 4x25 GB - Estojo Amaray - Ed.Rock in Rio</t>
  </si>
  <si>
    <t>RAPID, GRAMPEADOR ELETRICO 20EX (26/6) COM FONTE BIVOLT - PN:23301804</t>
  </si>
  <si>
    <t>Rapid, 105, 106, Tampa superior 105 (17786501)</t>
  </si>
  <si>
    <t>Fragmentadora Fellowes P-35C Cross Cut - 120V - PN:3209901</t>
  </si>
  <si>
    <t>Equipamento Automatizado para gravação e reprodução de discos ópticos (CD/DVD)-Discloader DVD ( SP)</t>
  </si>
  <si>
    <t>TARIFOLD T-VIEW, PASTA A4 DISTRIBUIDORA (10MM), AZUL, PAISAGEM - KIT COM 5 - PN:354101</t>
  </si>
  <si>
    <t>TARIFOLD T-DISPLAY, SUPORTE DE MESA INDUSTRIAL A4 (30) + 10 PASTAS ANTI-MICROBIAIS PRETAS - PN:434157</t>
  </si>
  <si>
    <t>TARIFOLD T-VIEW, PASTA A4 STANDARD COM ARGOLA, AZUL, RETRATO - KIT COM 5 - PN:154501</t>
  </si>
  <si>
    <t>TARIFOLD T-DISPLAY, SUPORTE DE MESA ROTARIVO A4 PARA ATÉ 50 PASTAS - PN:234000</t>
  </si>
  <si>
    <t>Encadernadora Fellowes QUASAR - Garras plásticas - Manual  - PN:5620801</t>
  </si>
  <si>
    <t>Garra de encadernação Fellowes A4 Preta 28MM - 50pç - PN:5348903</t>
  </si>
  <si>
    <t>Garra de encadernação Fellowes A4 Preta 25MM - 50pç - PN:5348505</t>
  </si>
  <si>
    <t>Garra de encadernação Fellowes A4 Branca 22MM - 50pç - PN:5347804</t>
  </si>
  <si>
    <t>Garra de encadernação Fellowes A4 Preta 22MM - 50pç - PN:5348104</t>
  </si>
  <si>
    <t>Garra de encadernação Fellowes A4 Preta 14MM - 100pç - PN:5346908</t>
  </si>
  <si>
    <t>Garra de encadernação Fellowes A4 Branca 12MM - 100pç - PN:5346207</t>
  </si>
  <si>
    <t>Garra de encadernação Fellowes A4 Branca 6MM - 100pç - PN:5345006</t>
  </si>
  <si>
    <t xml:space="preserve">Rapid, 105 Placa Eletrônica </t>
  </si>
  <si>
    <t>Pasta Suspensa Pendaflex Surehook - Legal - Vermelho- Caixa com 20</t>
  </si>
  <si>
    <t>Pasta Suspensa Pendaflex Surehook -Legal - Azul - Caixa com 20</t>
  </si>
  <si>
    <t>Pasta Suspensa Pendaflex Surehook -Legal - Amarela - Caixa com 20</t>
  </si>
  <si>
    <t>Youts, Capa para Smartphone iPhone 5/5S - FT Cobra Corada - EC</t>
  </si>
  <si>
    <t>Youts, Capa para Smartphone iPhone 5/5S - FT Zebrita - EC</t>
  </si>
  <si>
    <t>TARIFOLD T-DISPLAY, PASTA A4 ANTI-MICROBIAIS, COM PINO, PRETA - KIT COM 10 - PN:114507</t>
  </si>
  <si>
    <t>Pasta Suspensa Pendaflex Reforçada - Legal - Amarelo - Caixa com 25</t>
  </si>
  <si>
    <t>Youts, Capa para Smartphone iPhone 5/5S - FT Azulejo Imperial - EC</t>
  </si>
  <si>
    <t xml:space="preserve">PERFURADOR RAPID SC35 BRANCO </t>
  </si>
  <si>
    <t>Guilhotina Fellowes STELLAR A4  - PN:5438001</t>
  </si>
  <si>
    <t>Rapid, 90 Unidade elétrica 120V 50-60Hz  (142240), (20942704)</t>
  </si>
  <si>
    <t>Base de corte Fellowes A3 para refiladora - Conj 3 - PN:5411601</t>
  </si>
  <si>
    <t>Cartucho de Lâminas de reposição Fellowes SAFECUT 3 ESTILOS  - PN:5411301</t>
  </si>
  <si>
    <t>Pasta Suspensa Pendaflex Reforçada -Legal - Verde Brilho - Caixa com 25</t>
  </si>
  <si>
    <t>OLFA, ESTOJO DE LÂMINAS HOB-2/5</t>
  </si>
  <si>
    <t>OLFA, ESTILETE ROTATIVO TEC-1 - SEMI-ROTATIVO</t>
  </si>
  <si>
    <t>TARIFOLD T-DISPLAY, SUPORTE DE PAREDE INDUSTRIAL A4 EM AÇO INOX + 10 PASTAS DRY, VERMELHAS - PN:414263</t>
  </si>
  <si>
    <t>Pasta Suspensa Pendaflex Essential- Legal - Amarelo - Caixa com 25</t>
  </si>
  <si>
    <t>TARIFOLD T-DISPLAY, PASTA A3, COM PINO, CORES SORTIRAS, RETRATO - KIT COM 10 - PN:113009</t>
  </si>
  <si>
    <t>TARIFOLD T-DISPLAY, SUPORTE DE PAREDE INDUSTRIAL A3 PARA 10 PASTAS + PLGGERS - PN:213000</t>
  </si>
  <si>
    <t>Encadernadora Fellowes PULSAR - Garras plásticas A4 - Manual - PN:5620001</t>
  </si>
  <si>
    <t>Encadernadora Fellowes QUASAR - WIRE-O - Manual  - PN:5224101</t>
  </si>
  <si>
    <t>Guilhotina Fellowes FUSION A3 - PN:5410901</t>
  </si>
  <si>
    <t>PAPEL VEGETAL SCHOELLER, 660 x 960 mm, 180-190 g/m², 100 Fls</t>
  </si>
  <si>
    <t>Youts, Capa para Smartphone iPhone 5/5S - CBR, Renda-se - EC</t>
  </si>
  <si>
    <t>Plastificadora Fellowes VENUS A3 - 120V - PN:5223701</t>
  </si>
  <si>
    <t>Pasta para plastificação Fellowes A3 - 125mic - 100pç  - PN:5307507</t>
  </si>
  <si>
    <t>Fragmentadora Fellowes 73CI Cross Cut - 230V - PN:4611901</t>
  </si>
  <si>
    <t>Leitz, Pasta Sanfonada Bebop Laranja - PN:4579-00-45</t>
  </si>
  <si>
    <t>Leitz, Pasta Sanfonada Bebop Azul - PN:4579-00-37</t>
  </si>
  <si>
    <t>Leitz, Pasta Fichário A4 Bebop Laranja - PN:4236-00-45</t>
  </si>
  <si>
    <t>Leitz, Pasta Fichário Flash &amp; Nature, A4 p/ 280 fls c/ Softclick - Sortidas PN:4229-00-99</t>
  </si>
  <si>
    <t>IFILM - FILME DE PROTEÇÃO TRANSPARENTE BRILHO PARA FRENTE E VERSO DO IPAD 2 - YOUTS</t>
  </si>
  <si>
    <t>IFILM - FILME DE PROTEÇÃO TRANSPARENTE BRILHO PARA IPHONE 3 - YOUTS</t>
  </si>
  <si>
    <t>Rapid, 90 Lâmina (faca)  (141168) DRIVING BLADE</t>
  </si>
  <si>
    <t>Leitz, Conjunto com 3 pastas A4 Combifile Organizadora TR Azul - PN:4729-00-35</t>
  </si>
  <si>
    <t>OLFA, ESTILETE ESPECIAL SK-3</t>
  </si>
  <si>
    <t>Leitz, Conjunto com 5 pastas A4 Combifile TR Clear - PN:4726-00-03</t>
  </si>
  <si>
    <t>Youts, Capa para Smartphone iPhone 5/5S - CBR, Redonda - EC</t>
  </si>
  <si>
    <t>RAPID, DISCO PARA PERFURADOR HDC150 - 10 UNIDADES - PN:23000100</t>
  </si>
  <si>
    <t>Pasta Suspensa Pendaflex Surehook - Legal - Verde Brilho - Caixa com 20</t>
  </si>
  <si>
    <t>OLFA, ESTOJO DE LÂMINAS KB4-WS/3</t>
  </si>
  <si>
    <t>Leitz, Conjunto com 3 pastas A4 Combifile Organizadora TR Clear - PN:4729-00-03</t>
  </si>
  <si>
    <t>Leitz, Conjunto com 3 pastas A4 Combifile Rígida TR Clear - PN:4728-00-03</t>
  </si>
  <si>
    <t>IFILM - FILME DE PROTEÇÃO TRANSPARENTE BRILHO PARA IPHONE 4 - YOUTS</t>
  </si>
  <si>
    <t>Youts, Capa para Smartphone iPhone 5/5S - CBR, Pop Brasil - EC</t>
  </si>
  <si>
    <t>TARIFOLD T-DISPLAY, SUPORTE DE PAREDE INDUSTRIAL A4 + 10 PASTAS ANTI-MICROBIAIS PRETAS - PN:414507</t>
  </si>
  <si>
    <t>RAPID, GRAMPEADOR DE MESA STAND UP ICE (DISPLAY COM 12 GRAMPEADORES) - PN:20414011</t>
  </si>
  <si>
    <t>Guilhotina Fellowes FUSION A4 - PN:5410801</t>
  </si>
  <si>
    <t>Leitz, Pasta Sanfonada Bebop Vermelha - PN:4579-00-25</t>
  </si>
  <si>
    <t>TARIFOLD T-DISPLAY, PASTA A4 FOLDFIVE, COM PINO, AMARELA, RETRATO - KIT COM 5 - PN:194104</t>
  </si>
  <si>
    <t>TARIFOLD T-DISPLAY, PASTA A4 OFFICE, CINZA - PN:704300</t>
  </si>
  <si>
    <t>Fragmentadora Fellowes P70CM Cross Cut - 120V - PN:3430101</t>
  </si>
  <si>
    <t>Youts, Capa para Smartphone iPhone 5/5S - CBR, Pé na areia - EC</t>
  </si>
  <si>
    <t>Leitz, Pasta Fichário A4 Bebop Vermelho - PN:4236-00-25</t>
  </si>
  <si>
    <t xml:space="preserve">PERFURADOR RAPID HDC65 - COR PRETA </t>
  </si>
  <si>
    <t>Rexel, GRAMPEADOR DE MESA REXEL MATADOR - PN:</t>
  </si>
  <si>
    <t>Fragmentadora Fellowes 75CS Cross Cut - 120V - PN:4671901</t>
  </si>
  <si>
    <t>Leitz, Conjunto com 3 pastas A4 Combifile Rígida TR Azul - PN:4728-00-35</t>
  </si>
  <si>
    <t>ILEATHER - CASE DE COURO LEGÍTIMO PARA IPAD 2 e NEW IPAD - YOUTS</t>
  </si>
  <si>
    <t>Encadernadora Fellowes STAR - Garras plásticas A4 - MANUAL  - PN:5630501</t>
  </si>
  <si>
    <t>PROCASE AIR - CASE DE PC &amp; TPU PARA BB BOLD 9700 / AZUL - YOUTS</t>
  </si>
  <si>
    <t>PROCASE AIR - CASE DE PC &amp; TPU PARA BB BOLD 9700 / PRETO - YOUTS</t>
  </si>
  <si>
    <t>PROCASE AIR - CASE DE PC &amp; TPU PARA BB BOLD 9700 / VERDE - YOUTS</t>
  </si>
  <si>
    <t>PROCASE AIR - CASE DE PC &amp; TPU PARA BB CURVE 8500 E 9300 / LARANJA - YOUTS</t>
  </si>
  <si>
    <t>Youts, Capa para Smartphone iPhone 5/5S - FT Mandala Paraíso - EC</t>
  </si>
  <si>
    <t>Leitz, Pasta Sanfonada Bebop Branco - PN:4579-00-01</t>
  </si>
  <si>
    <t>PROCASE AIR - CASE DE PC &amp; TPU PARA BB BOLD 9700 / ROSA - YOUTS</t>
  </si>
  <si>
    <t>PROCASE AIR - CASE DE PC &amp; TPU PARA BB CURVE 8500 E 9300 / VERDE - YOUTS</t>
  </si>
  <si>
    <t>Leitz, Pasta Catálogo - 20 bolsas - Bebop Azul - PN:4564-0037</t>
  </si>
  <si>
    <t>ARMOUR ILLUSTRATOR COLLECTION JL06 - CASE DE PC PARA IPHONE 4 - YOUTS</t>
  </si>
  <si>
    <t>PROCASE AIR - CASE DE PC &amp; TPU PARA BB CURVE 8500 E 9300 / AZUL - YOUTS</t>
  </si>
  <si>
    <t>Leitz, Pasta Sanfonada Bebop Preto - PN:4579-00-95</t>
  </si>
  <si>
    <t>Pasta Suspensa Pendaflex Surehook - Legal - Laranja - Caixa com 20</t>
  </si>
  <si>
    <t>Pasta Suspensa Pendaflex Essential- Legal - Laranja - Caixa com 25</t>
  </si>
  <si>
    <t>ARMOUR ILLUSTRATOR COLLECTION JL05 - CASE DE PC PARA IPHONE 4 - YOUTS</t>
  </si>
  <si>
    <t>Youts, Case de PC Para Galaxy SIII - Armour Street Art Collection GP Skate - PN:CL-YT-GP-04-1</t>
  </si>
  <si>
    <t>Youts, Case de PC Para Galaxy S4 - Armour Street Art Collection GP Futebol - PN:CL-YT-GP-05-1</t>
  </si>
  <si>
    <t>ARMOUR ILLUSTRATOR COLLECTION MR11 - CASE DE PC PARA IPHONE 4 - YOUTS</t>
  </si>
  <si>
    <t>ISMART - CASE DE COURO SINTETICO PARA IPAD 2 e NEW IPAD / LARANJA - YOUTS</t>
  </si>
  <si>
    <t>Youts, Case de PC Para iPhone 4S - Armour Street Art Collection GP Surf - PN:CL-YT-GP-01-1</t>
  </si>
  <si>
    <t>Fragmentadora Fellowes MS-460Cs Cross Cut - 120V - PN:3246003</t>
  </si>
  <si>
    <t>Fragmentadora Fellowes 70S Strip Cut - 120V - PN:4670801</t>
  </si>
  <si>
    <t xml:space="preserve">PERFURADOR RAPID ALU 15 </t>
  </si>
  <si>
    <t>Base de corte Fellowes A4 para refiladora - Conj 3 - PN:5411501</t>
  </si>
  <si>
    <t>ARMOUR ILLUSTRATOR COLLECTION MR20 - CASE DE PC PARA IPHONE 4 - YOUTS</t>
  </si>
  <si>
    <t>Youts, Capa para Smartphone iPhone 5/5S - CBR, Arara Brasil - EC</t>
  </si>
  <si>
    <t>OLFA, ESTOJO DE LÂMINAS ASBB-10 - KIT COM 10</t>
  </si>
  <si>
    <t>PROCASE AIR - CASE DE PC &amp; TPU PARA BB CURVE 8500 E 9300 / ROSA - YOUTS</t>
  </si>
  <si>
    <t>Leitz, Pasta Catálogo - 40 bolsas - Prestige Mogno - PN:4611-00-76</t>
  </si>
  <si>
    <t>Leitz, Conjunto com 5 pastas A4 Combifile TR Azul - PN:4726-00-35</t>
  </si>
  <si>
    <t>TARIFOLD T-DISPLAY, SUPORTE DE PAREDE OFFICE A4 + 10 PASTAS CINZAS - PN:714300</t>
  </si>
  <si>
    <t>Youts, Capa para Smartphone iPhone 5/5S - CBR, Olé - EC</t>
  </si>
  <si>
    <t>Leitz, Pasta Catálogo - 40 bolsas - Bebop Laranja - PN:4565-0045</t>
  </si>
  <si>
    <t>PROCASE AIR - CASE DE PC &amp; TPU PARA BB CURVE 8500 E 9300 / PRETO - YOUTS</t>
  </si>
  <si>
    <t>Youts, Case de PC Para iPhone 5 - Armour Street Art Collection GP Futebol - PN:CL-YT-GP-03-1</t>
  </si>
  <si>
    <t>Youts, Capa para Smartphone iPhone 5/5S - CBR, Alô Comunidade - EC</t>
  </si>
  <si>
    <t>Youts, Case de PC Para iPhone 4S - Armour Street Art Collection AJ Caveira - PN:CL-YT-AJ-02-1</t>
  </si>
  <si>
    <t>Leitz, Pasta com Elástico Larga Bebop Laranja - PN:4568-00-45</t>
  </si>
  <si>
    <t>Leitz, Pasta Organizadora A4 Bebop LE - Azul - PN:1048-00-37</t>
  </si>
  <si>
    <t>Leitz, Pasta Organizadora A4 Bebop LE - Vermelho - PN:1048-00-25</t>
  </si>
  <si>
    <t>Leitz, Pasta Organizadora A4 Bebop LE - Laranja - PN:1048-00-45</t>
  </si>
  <si>
    <t>Leitz, Pasta Organizadora A4 Prestige LE - Azul Marinho - PN:1027-00-35</t>
  </si>
  <si>
    <t>RAPID, GRAMPEADOR DE MESA COBRA ICE AZUL (BLISTER) - PN:20414021</t>
  </si>
  <si>
    <t>RAPID, GRAMPEADOR DE MESA COBRA ICE VERMELHO (BLISTER) - PN:20414023</t>
  </si>
  <si>
    <t>Leitz, Pasta Catálogo - 20 bolsas - Prestige Mogno - PN:4610-00-76</t>
  </si>
  <si>
    <t>Plastificadora Fellowes SATURN A4 - 120V  - PN:5223501</t>
  </si>
  <si>
    <t>ITURN - CASE DE COURO SINTETICO PARA IPAD 2 e NEW IPAD / ROSA - YOUTS</t>
  </si>
  <si>
    <t>Fragmentadora Fellowes 69Cb Cross Cut - 230V - PN:</t>
  </si>
  <si>
    <t>ISMART - CASE DE COURO SINTETICO PARA IPAD 2 e NEW IPAD / AMARELO - YOUTS</t>
  </si>
  <si>
    <t>Youts, Capa para Smartphone iPhone 5/5S - CBR, Pura Ginga - EC</t>
  </si>
  <si>
    <t>TARIFOLD T-DISPLAY, PASTA A4, COM PINO, VERMELHA, RETRATO - KIT COM 10 - PN:114003</t>
  </si>
  <si>
    <t>OLFA, ESLITELE HEAVY DUTY XH-AL</t>
  </si>
  <si>
    <t>Leitz, Pasta Organizadora A4 Prestige LE - Mogno - PN:1027-00-76</t>
  </si>
  <si>
    <t>Pasta Suspensa Pendaflex Essential- Legal - Azul - Caixa com 25</t>
  </si>
  <si>
    <t>RAPID, GRAMPEADOR DE MESA COBRA ICE BRANCO (BLISTER) - PN:20414020</t>
  </si>
  <si>
    <t>Pasta Suspensa Pendaflex Essential- Legal - Vermelho - Caixa com 25</t>
  </si>
  <si>
    <t>Leitz, Pasta Catálogo - 40 bolsas - Prestige Preto - PN:4611-00-95</t>
  </si>
  <si>
    <t>Leitz, Pasta Fichário A4 Bebop Azul - PN:4236-00-37</t>
  </si>
  <si>
    <t>PROCASE AIR - CASE DE PC &amp; TPU PARA IPHONE 4 / LARANJA - YOUTS</t>
  </si>
  <si>
    <t>Youts, Case de PC Para iPhone 5 - Armour Street Art Collection AJ Gato - PN:CL-YT-AJ-03-1</t>
  </si>
  <si>
    <t>Leitz, Pasta com Elástico Larga Bebop Vermelha - PN:4568-00-25</t>
  </si>
  <si>
    <t>Leitz, Pasta Congresso Azul - PN:4580-00-37</t>
  </si>
  <si>
    <t>Leitz, Pasta Congresso Laranja - PN:4580-00-45</t>
  </si>
  <si>
    <t>Leitz, Pasta Catálogo - 20 bolsas - Bebop Vermelha - PN:4564-0025</t>
  </si>
  <si>
    <t>ITURN - CASE DE COURO SINTETICO PARA IPAD 2 e NEW IPAD / AZUL - YOUTS</t>
  </si>
  <si>
    <t>TARIFOLD T-DISPLAY, PASTA A4, COM PINO, VERDE, RETRATO - KIT COM 10 - PN:114005</t>
  </si>
  <si>
    <t>Leitz, Pasta com Elástico Larga Prestige Mogno - PN:4609-00-76</t>
  </si>
  <si>
    <t>ISMART - CASE DE COURO SINTETICO PARA IPAD 2 e NEW IPAD / VERDE - YOUTS</t>
  </si>
  <si>
    <t>Youts, Case de PC Para iPhone 4S - Armour Street Art Collection GP Hip Hop - PN:CL-YT-GP-02-1</t>
  </si>
  <si>
    <t>RAPID, GRAMPEADOR DE MESA X-RAY F16 (DISPLAY COM 15 GRAMPEADORES) - PN:10182445</t>
  </si>
  <si>
    <t>Leitz, Pasta Catálogo - 40 bolsas - Bebop Vermelha - PN:4565-0025</t>
  </si>
  <si>
    <t>Pasta Suspensa Pendaflex Reforçada - Legal - Vermelho - Caixa com 25</t>
  </si>
  <si>
    <t>RAPID, FACA PARA PERFURADOR HDC150 - 2 UNIDADES - PN:23000900</t>
  </si>
  <si>
    <t>Leitz, Pasta Catálogo - 20 bolsas - Bebop Laranja - PN:4564-0045</t>
  </si>
  <si>
    <t>ISMART - CASE DE COURO SINTETICO PARA IPAD 2 e NEW IPAD / AZUL - YOUTS</t>
  </si>
  <si>
    <t>Leitz, Pasta Congresso Vermelho - PN:4580-00-25</t>
  </si>
  <si>
    <t>PROCASE AIR - CASE DE PC &amp; TPU PARA IPHONE 3 / LARANJA - YOUTS</t>
  </si>
  <si>
    <t>PROCASE AIR - CASE DE PC &amp; TPU PARA IPHONE 4 / TRANSPARENTE - YOUTS</t>
  </si>
  <si>
    <t>Youts, Case de PC Para iPhone 4S - Armour Street Art Collection AJ Arvore - PN:CL-YT-AJ-01-1</t>
  </si>
  <si>
    <t>TARIFOLD T-DISPLAY, SUPORTE DE PAREDE INDUSTRIAL A4 + 10 PASTAS CORES SORTIDAS - PN:464109</t>
  </si>
  <si>
    <t>Leitz, Pasta Sanfonada Prestige Azul Marinho - PN:4616-00-35</t>
  </si>
  <si>
    <t>Guilhotina Fellowes STELLAR A3 - PN:5438401</t>
  </si>
  <si>
    <t>Leitz, Conjunto com 3 pastas A4 Combifile Expansível TR Clear - PN:4727-00-03</t>
  </si>
  <si>
    <t>Youts, Capa para Smartphone iPhone 5/5S - CBR, Sampa- EC</t>
  </si>
  <si>
    <t>Leitz, Pasta Organizadora A4 Bebop LL - Vermelho - PN:1047-00-25</t>
  </si>
  <si>
    <t>Leitz, Pasta com Elástico A4 Prestige Mogno - PN:4608-00-76</t>
  </si>
  <si>
    <t xml:space="preserve">PERFURADOR RAPID FMC25+ </t>
  </si>
  <si>
    <t>Leitz, Pasta Organizadora A4 Bebop LL - Laranja - PN:1047-00-45</t>
  </si>
  <si>
    <t>Leitz, Pasta Catálogo - 40 bolsas - Bebop Azul - PN:4565-0037</t>
  </si>
  <si>
    <t>Fragmentadora Fellowes 69Cb Cross Cut - 120V - PN:4669901</t>
  </si>
  <si>
    <t>Leitz, Pasta Catálogo - 40 bolsas - Prestige Azul Marinho - PN:4611-00-35</t>
  </si>
  <si>
    <t>Leitz, Pasta Organizadora A4 Bebop LE - Branca - PN:1048-00-01</t>
  </si>
  <si>
    <t>Leitz, Pasta Organizadora A4 Bebop LE - Preta - PN:1048-00-95</t>
  </si>
  <si>
    <t>OLFA, ESTILETE L5-AL/5LBB + 5 LAMINAS LBB</t>
  </si>
  <si>
    <t>Fragmentadora Fellowes DS-700C Cross Cut - 120V - PN:3403102</t>
  </si>
  <si>
    <t>OLFA, ESLITELE HEAVY DUTY DL-1</t>
  </si>
  <si>
    <t>Fragmentadora Fellowes DS-1 Cross Cut - 120V - PN:3011008</t>
  </si>
  <si>
    <t>Leitz, Conjunto com 3 pastas A4 Combifile Expansível TR Azul - PN:4727-00-35</t>
  </si>
  <si>
    <t xml:space="preserve">Rapid, 105 Gatilho esquerdo- 16C </t>
  </si>
  <si>
    <t>Leitz, Pasta Organizadora A4 Bebop LL - Preta - PN:1047-00-95</t>
  </si>
  <si>
    <t>Leitz, Pasta Fichário Flash &amp; Nature, A4 p/ 280 fls c/ Softclick - Vermelho Acobreado PN:4228-00-48</t>
  </si>
  <si>
    <t>Leitz, Pasta Fichário Flash &amp; Nature, A4 p/ 280 fls c/ Softclick - Amarelo PN:4229-00-15</t>
  </si>
  <si>
    <t>Youts, Capa para Smartphone iPhone 5/5S - CBR, Rio Marvilha - EC</t>
  </si>
  <si>
    <t>Leitz, Pasta Organizadora A4 Bebop LL - Azul - PN:1047-00-37</t>
  </si>
  <si>
    <t>CD-R Youts Envelope Colorful Blue - Ed.Rock in Rio</t>
  </si>
  <si>
    <t>PROCASE AIR - CASE DE PC &amp; TPU PARA IPHONE 3 / PRETO - YOUTS</t>
  </si>
  <si>
    <t>Leitz, Pasta Sanfonada Prestige Mogno - PN:4616-00-76</t>
  </si>
  <si>
    <t>Pasta Suspensa Pendaflex Reforçada - Legal - Azul - Caixa com 25</t>
  </si>
  <si>
    <t>Leitz, Pasta com Elástico A4 Bebop Azul - PN:4563-00-37</t>
  </si>
  <si>
    <t>Leitz, Pasta com Elástico A4 Prestige Preto - PN:4608-00-95</t>
  </si>
  <si>
    <t>Leitz, Pasta com Elástico A4 Prestige Azul Marinho - PN:4608-0035</t>
  </si>
  <si>
    <t>Fragmentadora Fellowes 73CI Cross Cut - 120V - PN:4601801</t>
  </si>
  <si>
    <t>Leitz, Pasta Organizadora A4 Prestige LL - Preta - PN:1026-00-95</t>
  </si>
  <si>
    <t>Fragmentadora Fellowes DS-500C Cross Cut - 120V - PN:3413801</t>
  </si>
  <si>
    <t>Leitz, Pasta com Elástico A4 Bebop Preto - PN:4563-00-95</t>
  </si>
  <si>
    <t>Leitz, Pasta com Elástico A4 Bebop Branco - PN:4563-00-01</t>
  </si>
  <si>
    <t>Refiladora Fellowes ELECTRON A4- Rotativa - PN:5410401</t>
  </si>
  <si>
    <t>Refiladora Fellowes NEUTRON PLUS A4- Rotativa - PN:5410101</t>
  </si>
  <si>
    <t>Leitz, Pasta com Elástico Larga Prestige Preto - PN:4609-00-95</t>
  </si>
  <si>
    <t>Leitz, Pasta com Elástico A4 Bebop Laranja - PN:4563-00-45</t>
  </si>
  <si>
    <t>OLFA, ESTOJO PARA DESCARTE DE LAMINAS DC-5</t>
  </si>
  <si>
    <t>Leitz, Pasta Fichário Flash &amp; Nature, A4 p/ 280 fls c/ Softclick – Ocre -PN : 4228-00-70</t>
  </si>
  <si>
    <t>Leitz, Pasta Organizadora A4 Prestige LE - Preta - PN:1027-00-95</t>
  </si>
  <si>
    <t>Leitz, Pasta Fichário Flash &amp; Nature, A4 p/ 280 fls c/ Softclick - Azul Escuro PN:4228-0039</t>
  </si>
  <si>
    <t>Rapid, 90 Unidade de grampeamento 66/7  (141580), (14234901) STAPLING UNIT</t>
  </si>
  <si>
    <t>OLFA, ESTILETE HEAVY DUTY H-1 + 3 LÂMINAS</t>
  </si>
  <si>
    <t>OLFA, ESTILETE MÉDIO MT-1 + 5 LÂMINAS</t>
  </si>
  <si>
    <t>RAPID, GRAMPEADOR ELETRICO 20E (26/6) SOMENTE A PILHA - PN:23301700</t>
  </si>
  <si>
    <t>Leitz, Pasta Organizadora A4 Bebop LL - Branca - PN:1047-00-01</t>
  </si>
  <si>
    <t>Leitz, Pasta com Elástico A4 Bebop Vermelho - PN:4563-00-25</t>
  </si>
  <si>
    <t>Plastificadora Fellowes COSMIC A4 - 120V - PN:5223401</t>
  </si>
  <si>
    <t>Fragmentadora Fellowes P70CM Cross Cut - 230V - PN:3433713</t>
  </si>
  <si>
    <t>TARIFOLD T-VIEW, PASTA A4, MAGNETICA, PRETA - KIT COM 5 - PN:194607</t>
  </si>
  <si>
    <t>Pasta Suspensa Pendaflex Essential- Legal - Verde Standard - Caixa com 25</t>
  </si>
  <si>
    <t>RAPID, GRAMPO 13/10 GALVANIZADO COM 5.000 GRAMPOS - PN:11840600</t>
  </si>
  <si>
    <t>OLFA, ESTILETE ESPECIAL AK-4</t>
  </si>
  <si>
    <t>Fragmentadora Fellowes P-35C Cross Cut - 230V - PN:3213618</t>
  </si>
  <si>
    <t>Leitz, Pasta Fichário Flash &amp; Nature, A4 p/ 280 fls c/ Softclick - Azul PN:4229-00-35</t>
  </si>
  <si>
    <t>Fragmentadora Fellowes 79Ci Cross Cut - 230V - PN:</t>
  </si>
  <si>
    <t>Fragmentadora Fellowes 59Cb Cross Cut - 120V - PN:4659901</t>
  </si>
  <si>
    <t>Leitz, Pasta Catálogo - 20 bolsas - Prestige Preto - PN:4610-00-95</t>
  </si>
  <si>
    <t xml:space="preserve">GRAMPEADOR RAPID S50 - PRETO </t>
  </si>
  <si>
    <t>OLFA, ESTILETE ESPECIAL AK-5</t>
  </si>
  <si>
    <t>Fragmentadora Fellowes DS-1200Cs Cross Cut - 120V - PN:3409102</t>
  </si>
  <si>
    <t>RAPID, GRAMPEADOR ELETRICO 20EX (26/6) COM FONTE BIVOLT - PN:23301801</t>
  </si>
  <si>
    <t>RAPID, GRAMPEADOR DE MESA COBRA ICE CINZA (BLISTER) - PN:20414022</t>
  </si>
  <si>
    <t>Fragmentadora Fellowes P-58Cs Cross Cut - 230V - PN:3225825</t>
  </si>
  <si>
    <t>Fragmentadora Fellowes 225Ci Cross Cut - 120V - PN:4622901</t>
  </si>
  <si>
    <t>CD-R Youts Slim Colorful Green</t>
  </si>
  <si>
    <t>CD-R Youts Slim Colorful Blue</t>
  </si>
  <si>
    <t xml:space="preserve">Rapid, HD9, Alavanca  (121509) </t>
  </si>
  <si>
    <t>RAPID, GRAMPO 43/8 TEXTIL COM 10.000 GRAMPOS - PN:11755600</t>
  </si>
  <si>
    <t>ITURN - CASE DE COURO SINTETICO PARA IPAD 2 e NEW IPAD / VERDE - YOUTS</t>
  </si>
  <si>
    <t>Youts, Case de PC Para Galaxy SIII - Armour Street Art Collection AJ Mulher - PN:CL-YT-AJ-04-1</t>
  </si>
  <si>
    <t>Leitz, Pasta com Elástico Larga Prestige Azul Marinho - PN:4609-00-35</t>
  </si>
  <si>
    <t>OLFA, ESTOJO DE LÂMINAS KB4-S/5</t>
  </si>
  <si>
    <t>CD-R Youts Slim Colorful Orange</t>
  </si>
  <si>
    <t>Fragmentadora Fellowes 59Cb Cross Cut - 230V - PN:</t>
  </si>
  <si>
    <t>RAPID, GRAMPEAODR DE MESA E15 - PN:20598000</t>
  </si>
  <si>
    <t>Leitz, Pasta Sanfonada Prestige Preto - PN:4616-00-95</t>
  </si>
  <si>
    <t>ISMART - CASE DE COURO SINTETICO PARA IPAD 2 e NEW IPAD / ROSA - YOUTS</t>
  </si>
  <si>
    <t>Youts, Case de PC Para Galaxy S4 - Armour Street Art Collection AJ Gato - PN:CL-YT-AJ-05-1</t>
  </si>
  <si>
    <t>Refiladora Fellowes ELECTRON A3 - Rotativa - PN:5410501</t>
  </si>
  <si>
    <t>Fragmentadora Fellowes P-48C Cross Cut - 230V - PN:3214819</t>
  </si>
  <si>
    <t>PAPEL VEGETAL MICROPRINT, 660 x 960 mm, 100-105 g/m², 100 Fls</t>
  </si>
  <si>
    <t>Leitz, Pasta Organizadora A4 Prestige LL - Azul Marinho - PN:1026-00-35</t>
  </si>
  <si>
    <t>Leitz, Pasta Organizadora A4 Prestige LL - Mogno - PN:1026-00-76</t>
  </si>
  <si>
    <t>Leitz, Pasta Catálogo - 20 bolsas - Prestige Azul Marinho - PN:4610-00-35</t>
  </si>
  <si>
    <t>Fragmentadora Fellowes MS-450Cs Microshred - 120V - PN:3245005</t>
  </si>
  <si>
    <t>Refiladora Fellowes NEUTRINO A5 - PN:5412701</t>
  </si>
  <si>
    <t>RAPID, GRAMPO 13/14 GALVANIZADO COM 5.000 GRAMPOS - PN:11850500</t>
  </si>
  <si>
    <t>Youts, HeadPhone Branco / Azul, YHD520</t>
  </si>
  <si>
    <t>TARIFOLD T-DISPLAY, SUPORTE DE PAREDE INDUSTRIAL A4 PARA 10 PASTAS + PLGGERS - PN:214000</t>
  </si>
  <si>
    <t>Estojo Amaray Youts Translúcido - Pack com 5</t>
  </si>
  <si>
    <t xml:space="preserve">GRAMPEADOR RAPID X-RAY AZUL </t>
  </si>
  <si>
    <t>Fragmentadora Fellowes 79Ci Cross Cut - 120V - PN:4679901</t>
  </si>
  <si>
    <t>CD-R Youts Slim Colorful Pink</t>
  </si>
  <si>
    <t>Leitz, Pasta Fichário Flash &amp; Nature A4 p/ 280 fls c/ Softclick – Berinjela c/amarelo PN: 4229-00-67</t>
  </si>
  <si>
    <t>Estojo Jewel Box Youts Transparente - Pack com 5</t>
  </si>
  <si>
    <t>OLFA, ESTILETE ESPECIAL CMP-1/DX</t>
  </si>
  <si>
    <t>OLFA, KIT PARA QUILT "ACQUA" COLOR</t>
  </si>
  <si>
    <t xml:space="preserve">DVD-R Youts Multidisc 4X Color Label </t>
  </si>
  <si>
    <t>OLFA, ESTOJO DE LÂMINAS SAB-10B</t>
  </si>
  <si>
    <t>RAPID, CASSETE DE GRAMPO 5050E COM 5.000 GRAMPOS - PN:20993500</t>
  </si>
  <si>
    <t>RAPID, GRAMPEADOR HD 49 - PN:</t>
  </si>
  <si>
    <t>TARIFOLD T-DISPLAY, PASTA A4, COM PINO, CORES SORTIDAS, RETRATO - KIT COM 10 - PN:114009</t>
  </si>
  <si>
    <t>Leitz, Pasta Fichário Flash &amp; Nature, A4 p/ 280 fls c/ Softclick - Cinza Escuro PN:4228-00-89</t>
  </si>
  <si>
    <t>CD-R Youts Slim Colorful Yellow</t>
  </si>
  <si>
    <t>OLFA, ESTILETE MULTIUSO SAC-1</t>
  </si>
  <si>
    <t>OLFA, ESTOJO DE LÂMINAS LBD-10</t>
  </si>
  <si>
    <t xml:space="preserve">OLFA, ESTILETE ROTATIVO CHN-1 - CHENILE </t>
  </si>
  <si>
    <t>Leitz, Pasta Fichário Flash &amp; Nature, A4 p/ 280 fls c/ Softclick - Pink PN:4229-00-22</t>
  </si>
  <si>
    <t>Fragmentadora Fellowes P-58Cs Cross Cut - 120V - PN:3225908</t>
  </si>
  <si>
    <t>OLFA, BASE DE CORTE MULTIUSO RM-30X30</t>
  </si>
  <si>
    <t>OLFA, BASE DE CORTE ROTATIVO RM- IC-M - 92X61CM - 36"X24"</t>
  </si>
  <si>
    <t>Leitz, Pasta Fichário Flash &amp; Nature A4 p/ 280 fls c/ Softclick – Berinjela c/pink PN: 4228-00-67</t>
  </si>
  <si>
    <t>Estojo BluRay Youts Azul - Pack com 3</t>
  </si>
  <si>
    <t>Fragmentadora Fellowes P-48C Cross Cut - 120V - PN:3224910</t>
  </si>
  <si>
    <t>CD-R Youts Printable White Cake com 50 discos</t>
  </si>
  <si>
    <t>DVD-R Youts Printable White Cake com 50 discos</t>
  </si>
  <si>
    <t>DVD-R Youts Slim Printable White</t>
  </si>
  <si>
    <t>CD-R Youts Printable White Cake com 10 discos</t>
  </si>
  <si>
    <t>OLFA, BASE DE CORTE ROTATIVO RM- IC-C - 45X30CM - 18"12"</t>
  </si>
  <si>
    <t>Youts, iPower 2200mah, Carregador Portátil com lanterna</t>
  </si>
  <si>
    <t>RAPID, CASSETE DE GRAMPO 5080E COM 5.000 GRAMPOS - PN:20993700</t>
  </si>
  <si>
    <t>DVD-R S Color Label green</t>
  </si>
  <si>
    <t>DVD-R Youts Printable Cake White com 10 discos</t>
  </si>
  <si>
    <t>OLFA, BASE DE CORTE ROTATIVO RM- IC-S - 60X45CM - 24"X18"</t>
  </si>
  <si>
    <t xml:space="preserve">OLFA, ESTILETE HEAVY DUTY L-1/SPC </t>
  </si>
  <si>
    <t>RAPID, PERFURADOR DE MESA SOON HP12 (EMBLISTER) - PN:22687000</t>
  </si>
  <si>
    <t>OLFA, ESTOJO DE LÂMINAS LBB-10B - KIT COM 10</t>
  </si>
  <si>
    <t>Estojo DVD Multidisc ( 4X) Youts Translúcido pack com 3</t>
  </si>
  <si>
    <t>Estojo Slim Youts Colorful - Pack com 5</t>
  </si>
  <si>
    <t>DVD-R S Color Label Blue</t>
  </si>
  <si>
    <t>OLFA, ESTOJO DE LÂMINAS ABB-10B - KIT COM 10</t>
  </si>
  <si>
    <t>OLFA, ESTOJO DE LÂMINAS RB45-1</t>
  </si>
  <si>
    <t>Estojo Amaray Youts Preto - Pack com 5</t>
  </si>
  <si>
    <t>DVD-R Youts Slim</t>
  </si>
  <si>
    <t>DVD-R S Color Label orange</t>
  </si>
  <si>
    <t>OLFA, ESTOJO DE LÂMINAS LB-10B - KIT COM 10</t>
  </si>
  <si>
    <t>PAPEL VEGETAL SCHOELLER LASER V-0825, Ofício 216 x 330 mm, 80-85 g/m², 100 Fls</t>
  </si>
  <si>
    <t>PAPEL VEGETAL SCHOELLER LASER V-0825, Letter 216 x 280 mm, 80-85 g/m², 100 Fls</t>
  </si>
  <si>
    <t>PAPEL VEGETAL SCHOELLER LASER V-01025, Ofício 216 x 330 mm, 100-105 g/m², 100 Fls</t>
  </si>
  <si>
    <t>DVD-R Youts Envelope Lacrado</t>
  </si>
  <si>
    <t>CD-R Youts Slim Colorful - Pack com 5 - Ed.Rock in Rio</t>
  </si>
  <si>
    <t>DVD-R Youts Multidisc 4 X Color Label - Ed.Rock in Rio</t>
  </si>
  <si>
    <t>Youts, Capa para Smartphone Galaxy SIII - CBR, Alô Comunidade - EC</t>
  </si>
  <si>
    <t>Youts, Capa para Smartphone Galaxy SIII - CBR, Pé na areia - EC</t>
  </si>
  <si>
    <t>Youts, Capa para Smartphone Galaxy SIII - CBR, Pop Brasil - EC</t>
  </si>
  <si>
    <t>Youts, Capa para Smartphone Galaxy SIII - CBR, Rio Maravilha - EC</t>
  </si>
  <si>
    <t>Youts, Capa para Smartphone Galaxy SIII - CBR, Sampa - EC</t>
  </si>
  <si>
    <t>OLFA, KIT ESSENCIAL DE QUILT - BASE RM-IC-C + ESTILETE RTY-1G + REGUA QR 6X12</t>
  </si>
  <si>
    <t>TARIFOLD T-DISPLAY, PASTA A4, COM PINO, PRETA, RETRATO - KIT COM 10 - PN:114007</t>
  </si>
  <si>
    <t>TARIFOLD T-VIEW, PASTA A4 DRYPOCKET, COM ARGORA, VERMELHA, RETRATO - KIT COM 5 - PN:154063</t>
  </si>
  <si>
    <t>TARIFOLD T-DISPLAY, SUPORTE DE MESA INDUSTRIAL A5 (30) PARA 20 PASTAS - PN:225200</t>
  </si>
  <si>
    <t>TARIFOLD T-VIEW, PASTA A4 PORTA FOLHAS MAGNÉTICA, VERDE + CANETA - KIT COM 5 - PN:184535</t>
  </si>
  <si>
    <t>TARIFOLD T-VIEW, PASTA A4 STANDARD COM ARGOLA, PRETA, RETRATO - KIT COM 5 - PN:154507</t>
  </si>
  <si>
    <t>TARIFOLD T-DISPLAY, PASTA A4 FOLD UP, COM PINO, AZUL, RETRATO - KIT COM 5 - PN:194201</t>
  </si>
  <si>
    <t>TARIFOLD T-DISPLAY, PIVORACK, SUPORTE PARA ESTANTERIA - PN:604850</t>
  </si>
  <si>
    <t>TARIFOLD T-DISPLAY, PASTA A3, COM PINO, AZUL, PAISAGEM - KIT COM 10 - PN:113001</t>
  </si>
  <si>
    <t>TARIFOLD T-DISPLAY, SUPORTE DE MESA INDUSTRIAL A4 (30) PARA 10 PASTAS - PN:224100</t>
  </si>
  <si>
    <t>TARIFOLD T-DISPLAY, SUPORTE DE MESA INDUSTRIAL A3 (30) PARA 10 PASTAS - PN:223100</t>
  </si>
  <si>
    <t>TARIFOLD T-DISPLAY, MARCADORES DE PAGINA 50 MM - KIT COM 10 - PN:305100</t>
  </si>
  <si>
    <t>Tarifold T-Display, Suporte de Mesa Veo com 10 pastas pretas - PN:744107</t>
  </si>
  <si>
    <t>TARIFOLD T-VIEW, PASTA A4 PORTA CATALOGO EM V, CORES SORTIDAS - KIT COM 5 - PN:340009</t>
  </si>
  <si>
    <t>TARIFOLD T-DISPLAY, SUPORTE DE MESA ORBITAL A4 + 10 PASTAS - PN:734710</t>
  </si>
  <si>
    <t>TARIFOLD T-DISPLAY, MARCADORES DE PAGINA 25 MM - KIT COM 10 - PN:302100</t>
  </si>
  <si>
    <t>TARIFOLD T-DISPLAY, PASTA A4, COM PINO, AMARELA, RETRATO - KIT COM 10 - PN:114004</t>
  </si>
  <si>
    <t>TARIFOLD T-DISPLAY, SUPORTE DE PAREDE INDUSTRIAL A4 EM AÇO INOX PARA 10 PASTAS - PN:214003</t>
  </si>
  <si>
    <t>Tarifold T-View, Moldura Display 120 x 45 mm Azul com adesivo permanente - kit com 4 - PN:194861</t>
  </si>
  <si>
    <t>Tarifold T-View, Moldura Display 120 x 45 mm Verde com adesivo permanente - kit com 4 - PN:194865</t>
  </si>
  <si>
    <t>Tarifold T-View, Moldura Display 120 x 45 mm Vermelha com adesivo permanente - kit com 4 - PN:194863</t>
  </si>
  <si>
    <t>Tarifold T-View, Moldura Display 80 x 45 mm Amarela com adesivo permanente - kit com 4 - PN:194854</t>
  </si>
  <si>
    <t>Tarifold T-View, Moldura Display 80 x 45 mm Branca com adesivo permanente - kit com 4 - PN:194852</t>
  </si>
  <si>
    <t>Tarifold T-View, Moldura Display A4 Amarela com adesivo permanente - PN:194884</t>
  </si>
  <si>
    <t>Tarifold T-View, Moldura Display A4 Azul com adesivo permanente - PN:194881</t>
  </si>
  <si>
    <t>Tarifold T-View, Moldura Display A4 Branca com adesivo permanente - PN:194882</t>
  </si>
  <si>
    <t>Tarifold T-View, Moldura Display A4 Verde com adesivo permanente - PN:194885</t>
  </si>
  <si>
    <t>Tarifold T-View, Moldura Display A4 Vermelha com adesivo permanente - PN:194883</t>
  </si>
  <si>
    <t>Tarifold T-View, Moldura Display A5 Amarela com adesivo permanente - PN:194874</t>
  </si>
  <si>
    <t>Tarifold T-View, Moldura Display A5 Azul com adesivo permanente - PN:194871</t>
  </si>
  <si>
    <t>Tarifold T-View, Moldura Display A5 Branca com adesivo permanente - PN:194872</t>
  </si>
  <si>
    <t>Tarifold T-View, Moldura Display A5 Verde com adesivo permanente - PN:194875</t>
  </si>
  <si>
    <t>Tarifold T-View, Moldura Display A5 Vermelha com adesivo permanente - PN:194873</t>
  </si>
  <si>
    <t>Tarifold T-View, Moldura Display A6 Amarela com adesivo permanente - PN:194894</t>
  </si>
  <si>
    <t>Tarifold T-View, Moldura Display A6 Azul com adesivo permanente - PN:194891</t>
  </si>
  <si>
    <t>Tarifold T-View, Moldura Display A6 Branca com adesivo permanente - PN:194892</t>
  </si>
  <si>
    <t>Tarifold T-View, Moldura Display A6 Verde com adesivo permanente - PN:194895</t>
  </si>
  <si>
    <t>Tarifold T-View, Moldura Display A6 Vermelha com adesivo permanente - PN:194893</t>
  </si>
  <si>
    <t>Tarifold T-View, Moldura Display Magnética 120 x 45 mm Amarela - kit com 4 - PN:194814</t>
  </si>
  <si>
    <t>Tarifold T-View, Moldura Display Magnética 120 x 45 mm Branca - kit com 4 - PN:194812</t>
  </si>
  <si>
    <t>Tarifold T-View, Moldura Display Magnética 80 x 45 mm Azul - kit com 4 - PN:194801</t>
  </si>
  <si>
    <t>Tarifold T-View, Moldura Display Magnética 80 x 45 mm Verde - kit com 4 - PN:194805</t>
  </si>
  <si>
    <t>Tarifold T-View, Moldura Display Magnética 80 x 45 mm Vermelha - kit com 4 - PN:194803</t>
  </si>
  <si>
    <t>Tarifold T-View, Moldura Display Magnética A4 Amarela - PN:194834</t>
  </si>
  <si>
    <t>Tarifold T-View, Moldura Display Magnética A4 Azul - PN:194831</t>
  </si>
  <si>
    <t>Tarifold T-View, Moldura Display Magnética A4 Branca - PN:194832</t>
  </si>
  <si>
    <t>Tarifold T-View, Moldura Display Magnética A4 Verde - PN:194835</t>
  </si>
  <si>
    <t>Tarifold T-View, Moldura Display Magnética A4 Vermelha - PN:194833</t>
  </si>
  <si>
    <t>Tarifold T-View, Moldura Display Magnética A5 Amarela - PN:194824</t>
  </si>
  <si>
    <t>Tarifold T-View, Moldura Display Magnética A5 Azul - PN:194821</t>
  </si>
  <si>
    <t>Tarifold T-View, Moldura Display Magnética A5 Branca - PN:194822</t>
  </si>
  <si>
    <t>Tarifold T-View, Moldura Display Magnética A5 Verde - PN:194825</t>
  </si>
  <si>
    <t>Tarifold T-View, Moldura Display Magnética A5 Vermelha - PN:194823</t>
  </si>
  <si>
    <t>Tarifold T-View, Moldura Display Magnética A6 Amarela - PN:194844</t>
  </si>
  <si>
    <t>Tarifold T-View, Moldura Display Magnética A6 Azul - PN:194841</t>
  </si>
  <si>
    <t>Tarifold T-View, Moldura Display Magnética A6 Branca - PN:194842</t>
  </si>
  <si>
    <t>Tarifold T-View, Moldura Display Magnética A6 Verde - PN:194845</t>
  </si>
  <si>
    <t>Tarifold T-View, Moldura Display Magnética A6 Vermelha - PN:194843</t>
  </si>
  <si>
    <t>TARIFOLD T-VIEW, PASTA A4 DISTRIBUIDORA (10MM), AZUL, RETRATO - KIT COM 5 - PN:354001</t>
  </si>
  <si>
    <t>TARIFOLD T-VIEW, PASTA A4 PORTA FOLHAS COM ARGOLA, VERDE + CANETA - KIT COM 5 - PN:184525</t>
  </si>
  <si>
    <t>TARIFOLD T-VIEW, PASTA A4 STANDARD COM ARGOLA, CORES SORTIDAS, RETRATO - KIT COM 5 - PN:154509</t>
  </si>
  <si>
    <t>TARIFOLD T-VIEW, PASTA A4 STANDARD COM ARGOLA, VERDE, RETRATO - KIT COM 5 - PN:154505</t>
  </si>
  <si>
    <t>TARIFOLD T-VIEW, PASTA A4 STANDARD COM ARGOLA, VERMELHA, RETRATO - KIT COM 5 - PN:154503</t>
  </si>
  <si>
    <t>TARIFOLD T-VIEW, PASTA A4 STICKY FOLD, ADESIVA - KIT COM 5 - PN:194680</t>
  </si>
  <si>
    <t>TARIFOLD T-VIEW, PASTA A4 STICKY FOLD, MAGNÉTICA - KIT COM 5 - PN:194690</t>
  </si>
  <si>
    <t>TARIFOLD T-DISPLAY, BASE PARA SUPORTE DE MESA INDUSTRIAL A4 (30) EM AÇO INOX - PN:220003</t>
  </si>
  <si>
    <t>TARIFOLD T-DISPLAY, PASTA A3, COM PINO, AZUL, PAISAGEM - KIT COM 10 - PN:118001</t>
  </si>
  <si>
    <t>TARIFOLD T-DISPLAY, PASTA A4 DE INOX, COM PINO, ABERTURA LATERAL, CORES SORTIDAS, RETRATO - KIT COM 10 - PN:114129</t>
  </si>
  <si>
    <t>TARIFOLD T-DISPLAY, PASTA A4 DE INOX, COM PINO, ABERTURA LATERAL, VERMELHA, RETRATO - KIT COM 10 - PN:114123</t>
  </si>
  <si>
    <t>TARIFOLD T-DISPLAY, PASTA A4, COM PINO, AMARELA, PAISAGEM - KIT COM 10 - PN:117004</t>
  </si>
  <si>
    <t>TARIFOLD T-DISPLAY, PASTA A4, COM PINO, CORES SORTIDAS, PAISAGEM - KIT COM 10 - PN:117009</t>
  </si>
  <si>
    <t>TARIFOLD T-DISPLAY, PASTA A5, COM PINO, CORES SORTIDAS, RETRATO - KIT COM 10 - PN:115009</t>
  </si>
  <si>
    <t>TARIFOLD T-DISPLAY, PASTA A4, COM PINO, PRETA, PAISAGEM - KIT COM 10 - PN:117007</t>
  </si>
  <si>
    <t>TARIFOLD T-DISPLAY, PASTA A4, COM PINO, VERDE, PAISAGEM - KIT COM 10 - PN:117005</t>
  </si>
  <si>
    <t>TARIFOLD T-DISPLAY, PASTA A4, COM PINO, VERMELHA, PAISAGEM - KIT COM 10 - PN:117003</t>
  </si>
  <si>
    <t>TARIFOLD T-DISPLAY, SUPORTE DE MESA INDUSTRIAL A3 (30) PARA 30 PASTAS - PN:223300</t>
  </si>
  <si>
    <t>TARIFOLD T-DISPLAY, SUPORTE DE MESA INDUSTRIAL A4 (30) PARA 30 PASTAS - PN:224300</t>
  </si>
  <si>
    <t>TARIFOLD T-DISPLAY, SUPORTE DE MESA INDUSTRIAL A4 (60) PARA 40 PASTAS - PN:224400</t>
  </si>
  <si>
    <t>TARIFOLD T-DISPLAY, SUPORTE DE MESA INDUSTRIAL A4 (60) PARA 50 PASTAS - PN:224500</t>
  </si>
  <si>
    <t>TARIFOLD T-DISPLAY, SUPORTE DE MESA INDUSTRIAL A4 (60) PARA 60 PASTAS - PN:224600</t>
  </si>
  <si>
    <t>TARIFOLD T-DISPLAY, SUPORTE DE MESA INDUSTRIAL A5 (30) PARA 10 PASTAS - PN:225100</t>
  </si>
  <si>
    <t>TARIFOLD T-DISPLAY, SUPORTE DE MESA INDUSTRIAL A5 (30) PARA 30 PASTAS - PN:225300</t>
  </si>
  <si>
    <t>TARIFOLD T-DISPLAY, SUPORTE DE MESA INDUSTRIAL A5 (60) PARA 50 PASTAS - PN:225500</t>
  </si>
  <si>
    <t>TARIFOLD T-DISPLAY, SUPORTE DE MESA INDUSTRIAL A5 (60) PARA 60 PASTAS - PN:225600</t>
  </si>
  <si>
    <t>TARIFOLD T-DISPLAY, SUPORTE DE MESA MINISTAND, A5, COM 10 PASTAS, AZUIS - PN:479101</t>
  </si>
  <si>
    <t>TARIFOLD T-DISPLAY, SUPORTE DE MESA ROTARIVO A4 PARA ATÉ 50 PASTAS + 40 PASTAS CORES SORTIDAS - PN:444409</t>
  </si>
  <si>
    <t>TARIFOLD T-DISPLAY, SUPORTE DE PAREDE INDUSTRIAL A3 PARA 10 PASTAS + PLGGERS - PN:215000</t>
  </si>
  <si>
    <t>TARIFOLD T-VIEW, PASTA 32 X 24 CM DE CIRCULAÇÃO, ANTIMICROBIAL, PAISAGEM - KIT COM 5 - PN:119158</t>
  </si>
  <si>
    <t>TARIFOLD T-VIEW, PASTA A4 COM ARGOLA, VERMELHA, PAISAGEM - KIT COM 5 - PN:157503</t>
  </si>
  <si>
    <t>JK ,GRAMPEADOR JK35T590 ,LINGUETA DO ANTEPARO PN (158248)</t>
  </si>
  <si>
    <t>JK ,GRAMPEADOR JK35T590 ,SUPORTE DO ANTEPARO PN (176018)</t>
  </si>
  <si>
    <t xml:space="preserve">COLA MULTIUSO DE 125 GR PARA PISTOLA DE COLA QUENTE . </t>
  </si>
  <si>
    <t xml:space="preserve">GRAMPEADOR ELETRICO RAPID R114 </t>
  </si>
  <si>
    <t xml:space="preserve">GRAMPO ROCAFIX VR22 CAIXA COM 1100 UNIDADES </t>
  </si>
  <si>
    <t xml:space="preserve">GRAMPOS ENAK 10MM </t>
  </si>
  <si>
    <t xml:space="preserve">GRAMPOS ENAK 13MM </t>
  </si>
  <si>
    <t xml:space="preserve">GRAMPOS ENAK 8MM </t>
  </si>
  <si>
    <t xml:space="preserve">GRAMPOS MICROSTAPLES 9/10MM CAIXA C/5000 UNIDADES </t>
  </si>
  <si>
    <t xml:space="preserve">PERFURADOR RAPID KC3 </t>
  </si>
  <si>
    <t xml:space="preserve">PISTOLA PARA COLA QUENTE RAPID EG355 . </t>
  </si>
  <si>
    <t>RAPID, GRAMPO 140/14 COM 2.000 GRAMPOS - PN:</t>
  </si>
  <si>
    <t>RAPID, GRAMPO C75 COM 6.000 GRMAPOS - PN:</t>
  </si>
  <si>
    <t xml:space="preserve">SOPRADOR TERMICO RAPID 2000 DIGITAL . </t>
  </si>
  <si>
    <t xml:space="preserve">SOPRADOR TERMICO RAPID REGULADOR 2000 . </t>
  </si>
  <si>
    <t>Garra de encadernação ovalada Fellowes A4 Preta 32MM - 50pç - PN:5349303</t>
  </si>
  <si>
    <t>Garra de encadernação ovalada Fellowes A4 Preta 51MM - 50pç - PN:5350503</t>
  </si>
  <si>
    <t>Garra de encadernação Fellowes A4 Branca 25MM - 50pç - PN:5348205</t>
  </si>
  <si>
    <t>Garra de encadernação ovalada Fellowes A4 Preta 45MM - 50pç - PN:5350103</t>
  </si>
  <si>
    <t>Capa A3 de PVC Transparente Fellowes para encadernação - 200 microns - 100 pç - PN:53764</t>
  </si>
  <si>
    <t>Garra de encadernação Fellowes A4 Preta 19MM - 100pç - PN:5347706</t>
  </si>
  <si>
    <t>Wire-o para encadernação Fellowes 14mm Branco A4 - 3:1 - 100pç  - PN:53274</t>
  </si>
  <si>
    <t>Wire-o para encadernação Fellowes 14mm Preto A4 - 3:1 - 100pç  - PN:53277</t>
  </si>
  <si>
    <t>Garra de encadernação Fellowes A4 Branca 19MM - 100pç - PN:5347406</t>
  </si>
  <si>
    <t>Wire-o para encadernação Fellowes 12mm Preto A4 - 3:1 - 100pç  - PN:53273</t>
  </si>
  <si>
    <t>Garra de encadernação Fellowes A4 Branca 16MM - 100pç - PN:5347006</t>
  </si>
  <si>
    <t>Wire-o para encadernação Fellowes 12mm Branco A4 - 3:1 - 100pç  - PN:53270</t>
  </si>
  <si>
    <t>Capa A4 de PVC Fosco Fellowes para encadernação - 200 microns - 100 pç - PN:5377401</t>
  </si>
  <si>
    <t>Capa A4 de PVC Azul Fellowes para encadernação - 200 microns - 100 pç - PN:5377101</t>
  </si>
  <si>
    <t>Capa A4 de PVC Vermelho Fellowes para encadernação - 200 microns - 100 pç - PN:5377201</t>
  </si>
  <si>
    <t>Capa A4 de PVC Amarelo Fellowes para encadernação - 200 microns - 100 pç - PN:5377001</t>
  </si>
  <si>
    <t>Capa A4 de PVC Verde Fellowes para encadernação - 200 microns - 100 pç - PN:5377301</t>
  </si>
  <si>
    <t>Wire-o para encadernação Fellowes 8mm Preto A4 - 3:1 - 100pç  - PN:53261</t>
  </si>
  <si>
    <t>Wire-o para encadernação Fellowes 10mm Preto A4 - 3:1 - 100pç  - PN:53265</t>
  </si>
  <si>
    <t>Wire-o para encadernação Fellowes 6mm Branco A4 - 3:1 - 100pç  - PN:53215</t>
  </si>
  <si>
    <t>Wire-o para encadernação Fellowes 8mm Branco A4 - 3:1 - 100pç  - PN:53258</t>
  </si>
  <si>
    <t>Wire-o para encadernação Fellowes 10mm Branco A4 - 3:1 - 100pç  - PN:53262</t>
  </si>
  <si>
    <t>RAPID, 5050e, Unidade Controladora (207564)</t>
  </si>
  <si>
    <t>Fragmentadora Fellowes Automax 500C Cross Cut - 220V - PN:4652801</t>
  </si>
  <si>
    <t>Rapid, 105, 106, Capa de Pedal  (146423)</t>
  </si>
  <si>
    <t xml:space="preserve">Rapid, 90 Placa Eletrônica </t>
  </si>
  <si>
    <t>Fragmentadora Fellowes 425Ci Cross Cut - 120V - PN:4690801</t>
  </si>
  <si>
    <t>Fragmentadora Fellowes 425i Strip Cut - 120V - PN:4696801</t>
  </si>
  <si>
    <t>Fragmentadora Fellowes 485i Strip Cut - 120V - PN:4697801</t>
  </si>
  <si>
    <t>Fragmentadora Fellowes Automax 500C Cross Cut - 120V - PN:4652701</t>
  </si>
  <si>
    <t>Rapid, 1T, Alimentador  (120342)</t>
  </si>
  <si>
    <t>Fragmentadora Fellowes 485Ci Cross Cut - 120V - PN:4690901</t>
  </si>
  <si>
    <t xml:space="preserve">Rapid, 65 Unidade elétrica </t>
  </si>
  <si>
    <t xml:space="preserve">Rapid, 65 Magazine </t>
  </si>
  <si>
    <t xml:space="preserve">Rapid, HD9, Capa (cor gelo) </t>
  </si>
  <si>
    <t>Rapid,105,106,Mola de Pistão ( 120907 )</t>
  </si>
  <si>
    <t>Rapid, 105, 106, Trava (177824)</t>
  </si>
  <si>
    <t>Rapid, 105, 106, Magazine completo 66 (148932)</t>
  </si>
  <si>
    <t xml:space="preserve">Rapid, HD9, Prendedor da vareta </t>
  </si>
  <si>
    <t>Refiladora Fellowes NEUTRON A4/12 - Rotativa - PN:5410001</t>
  </si>
  <si>
    <t xml:space="preserve">Rapid, HD9, Rebite da capa traseira </t>
  </si>
  <si>
    <t xml:space="preserve">Rapid, HD9, Parafuso do pistão  (162412) </t>
  </si>
  <si>
    <t>RAPID, CASSETE DE GRAMPO 5020/5025E COM 1.500 GRAMPOS (KIT COM 2) - PN:</t>
  </si>
  <si>
    <t xml:space="preserve">Rapid, HD9, Rebite do mancal </t>
  </si>
  <si>
    <t>Equipamento Automatizado para gravação e reprodução de discos ópticos (CD/DVD)-Discloader DVD ( AM)</t>
  </si>
  <si>
    <t>Estojo Amaray Youts Mix(2P2T1B) - Pack com 5</t>
  </si>
  <si>
    <t>Estojo Slim Amaray Youts Transparente - Pack com 5</t>
  </si>
  <si>
    <t>Estojo Slim Amaray Youts Preto - Pack com 5</t>
  </si>
  <si>
    <t>Estojo Slim Amaray Youts Mix(2P2T1B) - Pack com 5</t>
  </si>
  <si>
    <t xml:space="preserve">Estojo Amaray Youts Colorful - Pack com 5 </t>
  </si>
  <si>
    <t>Estojo Slim Amaray Youts Colorful - Pack com 5</t>
  </si>
  <si>
    <t>CD-R Youts Envelope Colorful Blue</t>
  </si>
  <si>
    <t>CD-R Youts Envelope Colorful Yellow</t>
  </si>
  <si>
    <t>CD-R Youts Envelope Colorful Green</t>
  </si>
  <si>
    <t>CD-R Youts Envelope Colorful Orange</t>
  </si>
  <si>
    <t>CD-R Youts Envelope Colorful Pink</t>
  </si>
  <si>
    <t>CD-R Slim Color Label Blue</t>
  </si>
  <si>
    <t>CD-R Slim Color Label Yellow</t>
  </si>
  <si>
    <t>CD-R Slim Color Label Green</t>
  </si>
  <si>
    <t>CD-R Slim Color Label Orange</t>
  </si>
  <si>
    <t>CD-R Slim Color Label Pink</t>
  </si>
  <si>
    <t>CD-R Youts Cake com 10 discos</t>
  </si>
  <si>
    <t>CD-R Youts Cake com 50 discos</t>
  </si>
  <si>
    <t>CD-R Youts Cake com 100 discos</t>
  </si>
  <si>
    <t>CD-R Youts Slim</t>
  </si>
  <si>
    <t>DVD-R S Color Label yellow</t>
  </si>
  <si>
    <t>DVD-R Youts Cake com 50 discos</t>
  </si>
  <si>
    <t>CD-R Youts Slim Printable White</t>
  </si>
  <si>
    <t>CD-R Youts Envelope Lacrado</t>
  </si>
  <si>
    <t>DVD-R Youts Envelope Colorful Blue</t>
  </si>
  <si>
    <t>DVD-R Youts Envelope Colorful Green</t>
  </si>
  <si>
    <t>DVD-R Youts Envelope Colorful Yellow</t>
  </si>
  <si>
    <t>DVD-R Youts Envelope Colorful Pink</t>
  </si>
  <si>
    <t>DVD-R Youts Envelope Colorful Orange</t>
  </si>
  <si>
    <t>BD-R Youts 4x 25GB - Estojo Amaray</t>
  </si>
  <si>
    <t>Pen Drive Bracelete - 4G - Verde - Ed.Rock in Rio</t>
  </si>
  <si>
    <t>Pen Drive Bracelete - 4G - Laranja - Ed.Rock in Rio</t>
  </si>
  <si>
    <t>Youts, HeadPhone Azul / Verde, Y874-IML</t>
  </si>
  <si>
    <t>OLFA, ESTILETE ROTATIVO PIK-2 (45MM)</t>
  </si>
  <si>
    <t>OLFA, ESTILETE ROTATIVO RTY-1/DX (28MM)</t>
  </si>
  <si>
    <t>OLFA, ESTILETE MULTIUSO A-5/BB + kit de lâminas</t>
  </si>
  <si>
    <t>OLFA, ESTILETE HEAVY DUTY L-3</t>
  </si>
  <si>
    <t>OLFA, ESTILETE ROTATIVO WAC-1</t>
  </si>
  <si>
    <t>OLFA, ESTILETE ESPECIAL P-450</t>
  </si>
  <si>
    <t>OLFA, ESTILETE HEAVY DUTY OL</t>
  </si>
  <si>
    <t>OLFA, ESTILETE ESPECIAL P-800</t>
  </si>
  <si>
    <t>OLFA, ESTOJO DE LÂMINAS WAB28-2 - KIT COM 2</t>
  </si>
  <si>
    <t>OLFA, ESTOJO DE LÂMINAS PRB28-2 - KIT COM 2</t>
  </si>
  <si>
    <t>OLFA, GUIA PARA CORTADOR MC-45</t>
  </si>
  <si>
    <t>OLFA, ESTILETE ESPECIAL P-120</t>
  </si>
  <si>
    <t>OLFA, ESTILETE ROTATIVO WAC-2</t>
  </si>
  <si>
    <t>OLFA, ESTILETE ESPECIAL SC-1</t>
  </si>
  <si>
    <t>OLFA, ESTOJO DE LÂMINAS LBB-10 - KIT COM 10</t>
  </si>
  <si>
    <t>OLFA, ESTILETE ROTATIVO RTY-TK/3M (45MM)</t>
  </si>
  <si>
    <t>OLFA, ESTILETE ROTATIVO RTY2-GP1 (45MM)</t>
  </si>
  <si>
    <t>OLFA, ESTILETE ROTATIVO RTY2-GP2 (45MM)</t>
  </si>
  <si>
    <t>OLFA, ESTILETE DE SEGURANÇA SK-4/GREEN</t>
  </si>
  <si>
    <t>TARIFOLD T-DISPLAY, PASTA A4, COM PINO, AZUL, RETRATO - KIT COM 10 - PN:114001</t>
  </si>
  <si>
    <t>TARIFOLD T-VIEW, PASTA A4 KANG COM ADESIVO REPOSICIONAVEL, VERMELHA - KIT COM 5 - PN:194770</t>
  </si>
  <si>
    <t>TARIFOLD T-DISPLAY, SUPORTE DE PAREDE OFFICE A4 + 10 PASTAS AZUIS - PN:714301</t>
  </si>
  <si>
    <t>TARIFOLD T-DISPLAY, PASTA A4 OFFICE, AZUL - PN:704301</t>
  </si>
  <si>
    <t>TARIFOLD T-VIEW, PASTA A4 KANG COM ADESIVO REPOSICIONAVEL, CORES SORTIDAS - KIT COM 5 - PN:194779</t>
  </si>
  <si>
    <t>TARIFOLD T-VIEW, PASTA A4 STANDARD COM ARGOLA, AMARELA, RETRATO - KIT COM 5 - PN:154504</t>
  </si>
  <si>
    <t>TARIFOLD T-DISPLAY, SUPORTE DE MESA ORBITAL A4 + 10 PASTAS A4 LILAS - PN:734708</t>
  </si>
  <si>
    <t>TARIFOLD T-DISPLAY, BASE PARA SUPORTE DE MESA INDUSTRIAL A4 (30) - PN:220000</t>
  </si>
  <si>
    <t>TARIFOLD T-DISPLAY, BASE PARA SUPORTE DE MESA INDUSTRIAL A4 (60) - PN:220100</t>
  </si>
  <si>
    <t>TARIFOLD T-DISPLAY, PASTA A3 FOLD UP, COM PINO, AZUL, RETRATO - KIT COM 5 - PN:194301</t>
  </si>
  <si>
    <t>TARIFOLD T-DISPLAY, PASTA A4 CANDY LINE, COM PINO, SORTIDAS, RETRATO - KIT COM 40 - PN:114600</t>
  </si>
  <si>
    <t>TARIFOLD T-DISPLAY, PASTA A4, COM PINO, AZUL, PAISAGEM - KIT COM 10 - PN:117001</t>
  </si>
  <si>
    <t>TARIFOLD T-DISPLAY, SUPORTE DE PAREDE INDUSTRIAL A4 EM AÇO INOX + 10 PASTAS, ABERTURA LATERAL, VERMELHAS - PN:114129</t>
  </si>
  <si>
    <t>JK-GRAMPEADOR PNEUMATICO INDUSTRIAL JK35T590 (126289)</t>
  </si>
  <si>
    <t>JK-GRAMPOS JK555-15(20M)(185004)</t>
  </si>
  <si>
    <t>JK-GRAMPOS JK779-10(5M)(400370)</t>
  </si>
  <si>
    <t>JK-GRAMPOS JK 779-16 (5M) (400375)</t>
  </si>
  <si>
    <t>JK-GRAMPEADOR PNEUMATICO INDUSTRIAL PN JK-28-781 (126335)</t>
  </si>
  <si>
    <t>JK-GRAMPEADOR PNEUMATICO INDUSTRIAL PN JK-30-781 ( 126363 )</t>
  </si>
  <si>
    <t>JK-GRAMPEADOR MANUAL PARA EMBALAGENS C-561M "TOP STAPLER"(12</t>
  </si>
  <si>
    <t>PECA PERFURADORA SUPERIOR DO JK1219 REF 135079 (UPPER PUNCH)</t>
  </si>
  <si>
    <t>JK-TONGUE JK20T - (158223)</t>
  </si>
  <si>
    <t>JK-GRAMPEADOR PNEUMATICO JK20T 779L22 (033399)</t>
  </si>
  <si>
    <t xml:space="preserve">EXTRATOR DE GRAMPO RAPID C2 </t>
  </si>
  <si>
    <t xml:space="preserve">EXTRATOR DE GRAMPO RAPID SOON SR </t>
  </si>
  <si>
    <t xml:space="preserve">GRAMPEADOR E PINADOR PNEUMATICO RAPID PSN 15-30 </t>
  </si>
  <si>
    <t xml:space="preserve">GRAMPEADOR RAPID 13 </t>
  </si>
  <si>
    <t xml:space="preserve">GRAMPEADOR RAPID 45 PRETO </t>
  </si>
  <si>
    <t xml:space="preserve">GRAMPEADOR RAPID 65 </t>
  </si>
  <si>
    <t xml:space="preserve">GRAMPEADOR RAPID E-28 PRETO </t>
  </si>
  <si>
    <t xml:space="preserve">GRAMPEADOR RAPID E3 AZUL </t>
  </si>
  <si>
    <t xml:space="preserve">GRAMPEADOR RAPID E3 PRETO </t>
  </si>
  <si>
    <t xml:space="preserve">GRAMPEADOR RAPID F 18 </t>
  </si>
  <si>
    <t xml:space="preserve">GRAMPEADOR RAPID F4 </t>
  </si>
  <si>
    <t xml:space="preserve">GRAMPEADOR RAPID LIG 175 </t>
  </si>
  <si>
    <t xml:space="preserve">GRAMPO RAPID SOON 26/6 CAIXA COM 2000 UNIDADES </t>
  </si>
  <si>
    <t xml:space="preserve">GRAMPOS HT 10MM CAIXA C/5000 UNIDADES </t>
  </si>
  <si>
    <t xml:space="preserve">GRAMPOS HT 13MM CAIXA C/4000 UNIDADES </t>
  </si>
  <si>
    <t xml:space="preserve">GRAMPOS MICROSTAPLES 9/14MM CAIXA C/5000 UNIDADES </t>
  </si>
  <si>
    <t xml:space="preserve">GRAMPOS MICROSTAPLES A13/6 CAIXA C/5000 UNIDADES </t>
  </si>
  <si>
    <t xml:space="preserve">GRAMPOS MICROSTAPLES A13/8 CAIXA C/5000 UNIDADES </t>
  </si>
  <si>
    <t xml:space="preserve">GRAMPOS RAPID 26/8 CAIXA C/5MIL </t>
  </si>
  <si>
    <t xml:space="preserve">GRAMPOS RAPID 73/10 CAIXA C/5000 UNIDADES </t>
  </si>
  <si>
    <t xml:space="preserve">GRAMPOS RAPID 9/17MM CAIXA C/1000 UNIDADES </t>
  </si>
  <si>
    <t xml:space="preserve">PERFURADOR RAPID C-150 </t>
  </si>
  <si>
    <t xml:space="preserve">PERFURADOR RAPID C-30 </t>
  </si>
  <si>
    <t xml:space="preserve">PERFURADOR RAPID HDC 300 </t>
  </si>
  <si>
    <t xml:space="preserve">PISTOLA PARA COLA QUENTE RAPID CG 230. </t>
  </si>
  <si>
    <t xml:space="preserve">PREGO RAPID 300/15 CAIXA COM 1000 UNIDADES </t>
  </si>
  <si>
    <t xml:space="preserve">PREGO RAPID 300/25 CAIXA COM 1000 UNIDADES </t>
  </si>
  <si>
    <t>RAPID, GRAMPEADOR ELETRICO 105E (66/6-8) 120V - PN:10870425</t>
  </si>
  <si>
    <t xml:space="preserve">Rapid, Grampeador Eletrico 106E, 220v - PN: </t>
  </si>
  <si>
    <t xml:space="preserve">Rapid, Grampeador Eletrico 5080E, 220v - PN: </t>
  </si>
  <si>
    <t>RAPID, GRAMPO 106/6 - PN:</t>
  </si>
  <si>
    <t>RAPID, GRAMPO 66/6 COM 5.000 GRAMPOS - PN:</t>
  </si>
  <si>
    <t>RAPID, GRAMPEADOR ELETRICO 106E (66/6-8) 120V - PN:</t>
  </si>
  <si>
    <t>GRAMPEADOR RAPID E6 CINZ</t>
  </si>
  <si>
    <t>GRAMPEADOR RAPID F 16</t>
  </si>
  <si>
    <t>Rapid, 106 Placa corrediça  (178764)</t>
  </si>
  <si>
    <t>Rapid, HD9, Porta folha de acrílico  (174288)</t>
  </si>
  <si>
    <t xml:space="preserve">Rapid, 90 Discos para perfur. HDC 300 </t>
  </si>
  <si>
    <t>Rapid, 14 Lâmina (faca) DRIVING BLADE</t>
  </si>
  <si>
    <t>Rapid, 105 Cabo ótico 400 mm  (17774101)</t>
  </si>
  <si>
    <t>Rapid, 14 Mola completa   COMPLETE SPRING</t>
  </si>
  <si>
    <t>Fragmentadora Fellowes DS-500C Cross Cut - 230V - PN:3401302</t>
  </si>
  <si>
    <t>Fragmentadora Fellowes DS-700C Cross Cut - 230V - PN:3403202</t>
  </si>
  <si>
    <t>Fragmentadora Fellowes DS-1200Cs Cross Cut - 230V - PN:3409202</t>
  </si>
  <si>
    <t>Fragmentadora Fellowes DS-1 Cross Cut - 230V - PN:3010113</t>
  </si>
  <si>
    <t>Fragmentadora Fellowes 75CS Cross Cut - 230V - PN:</t>
  </si>
  <si>
    <t>Fragmentadora Fellowes MS-460Cs Microshred - 230V - PN:3246237</t>
  </si>
  <si>
    <t>Fragmentadora Fellowes 53C Cross Cut - 230V - PN:4653801</t>
  </si>
  <si>
    <t>Fragmentadora Fellowes 99Ci Cross Cut - 230V - PN:</t>
  </si>
  <si>
    <t>Fragmentadora Fellowes 425i Strip Cut - 230V - PN:</t>
  </si>
  <si>
    <t>Fragmentadora Fellowes 425Ci Cross Cut - 230V - PN:</t>
  </si>
  <si>
    <t>Fragmentadora Fellowes 485i Strip Cut - 230V - PN:</t>
  </si>
  <si>
    <t>Fragmentadora Fellowes 485Ci Cross Cut - 230V - PN:</t>
  </si>
  <si>
    <t>Caderno Prestige A5 Mogno - PN:4615-00-76</t>
  </si>
  <si>
    <t>Caderno Prestige A5 Preto - PN:4615-00-95</t>
  </si>
  <si>
    <t>Bebop display de balcão - PN:92710000</t>
  </si>
  <si>
    <t>Bebop display de chão - PN:92670000</t>
  </si>
  <si>
    <t>Bebop display de chão 2 - PN:92740000</t>
  </si>
  <si>
    <t>Bebop mecanismo 180 display de Chão - PN:92660000</t>
  </si>
  <si>
    <t>Bepob mecanismo 180 display de Balcão - PN:92720000</t>
  </si>
  <si>
    <t xml:space="preserve">Pasta suspensa Pendaflex Reforçada – Alta Capacidade 2” - Verde – Legal – caixa c/25 </t>
  </si>
  <si>
    <t xml:space="preserve">Pasta suspensa Pendaflex Reforçada – Alta Capacidade 4” - Verde – Legal – caixa c/25 </t>
  </si>
  <si>
    <t>Leitz, Pasta Personalizável Standard A4 c/ 2 furos p/ 100 folhas - Branca - PN:4277-00-01</t>
  </si>
  <si>
    <t>Leitz, Pasta Personalizável Standard A4 c/ 2 furos p/ 200 folhas - Branca - PN:4278-00-01</t>
  </si>
  <si>
    <t>Leitz, Pasta Personalizável Standard A4 c/ 2 furos p/ 250 folhas - Branca - PN:4279-00-01</t>
  </si>
  <si>
    <t>Leitz, Pasta Personalizável Standard A4 c/ 2 furos p/ 300 folhas- Branca - PN:4180-00-01</t>
  </si>
  <si>
    <t>Leitz, Pasta Personalizável Standard A4 c/ 2 furos p/ 400 folhas- Branca - PN:4181-00-01</t>
  </si>
  <si>
    <t>Leitz, Pasta Personalizável Standard A4 c/ 4 furos p/ 100 folhas- Branca - PN:4282-00-01</t>
  </si>
  <si>
    <t>Leitz, Pasta Personalizável Standard A4 c/ 4 furos p/ 200 folhas - Branca - PN:4284-00-01</t>
  </si>
  <si>
    <t>Leitz, Pasta Personalizável Standard A4 c/ 4 furos p/ 300 folhas - Branca - PN:4285-00-01</t>
  </si>
  <si>
    <t>Leitz, Pasta Personalizável Standard A4 c/ 4 furos p/ 400 folhas - Branca - PN:4286-00-01</t>
  </si>
  <si>
    <t>Leitz, Pasta Personalizável Standard A4 c/ 4 furos p/ 500 folhas - Branca - PN:4287-00-01</t>
  </si>
  <si>
    <t>Leitz, Pasta Personalizável Premium A4 c/ 4 furos e mecanismo Softclick p/ 180 fs - Branca - PN:4200-00-01</t>
  </si>
  <si>
    <t>Leitz, Pasta Personalizável Premium A4 c/ 4 furos e mecanismo Softclick p/ 230 fs - Branca - PN:4201-00-01</t>
  </si>
  <si>
    <t>Leitz, Pasta Personalizável Premium A4 c/ 4 furos e mecanismo Softclick p/ 280 fs - Azul - PN:4202-00-35</t>
  </si>
  <si>
    <t>Leitz, Pasta Personalizável Premium A4 c/ 4 furos e mecanismo Softclick p/ 280 fs - Preta - PN:4202-00-95</t>
  </si>
  <si>
    <t>Leitz, Pasta Personalizável Premium A4 c/ 4 furos e mecanismo Softclick p/ 380 fs - Branca - PN:4203-00-01</t>
  </si>
  <si>
    <t>Leitz, Pasta Personalizável Premium A4 c/ 4 furos e mecanismo Softclick p/ 480 fs - Branca - PN:4204-00-01</t>
  </si>
  <si>
    <t>Leitz, Pasta Personalizável Premium A4 c/ 4 furos e mecanismo Softclick p/ 580 fs - Branca - PN:4205-00-01</t>
  </si>
  <si>
    <t>Leitz, Pasta Organizadora Re:cycle p/ 600 folhas - PN:1004-00-69</t>
  </si>
  <si>
    <t>Leitz, Pasta Organizadora Re:cycle p/ 350 folhas - PN:1003-00-69</t>
  </si>
  <si>
    <t>Leitz, Pasta Sanfonada Re:cycle - PN:4624-00-69</t>
  </si>
  <si>
    <t>Leitz, Pasta Estreita Re:cycle - PN:4622-00-69</t>
  </si>
  <si>
    <t>Leitz, Pasta Larga Re:cycle - PN:4623-00-69</t>
  </si>
  <si>
    <t>Leitz, Bolsa re:cycle para 25 folhas - PN:4623-00-03</t>
  </si>
  <si>
    <t>Leitz, Bolsa re:cycle para 40 folhas - PN:4001-10-03</t>
  </si>
  <si>
    <t>Leitz, Bolsa Essencial A4 c/ 25 - 0,10 mm Cristal - PN:4704-00-00</t>
  </si>
  <si>
    <t>Leitz, Bolsa Essencial A4 c/ 15 - 0,08 mm Cristal Transparente - PN:4770-60-02</t>
  </si>
  <si>
    <t>Leitz, Bolsa Essencial A5 c/ 15 - 0,08 mm - Cristal Transparente - PN:4775-60-02</t>
  </si>
  <si>
    <t>Leitz, Bolsa Essencial Foolscap c/ 15 - 0,07 mm - PN:4792-00-00</t>
  </si>
  <si>
    <t>Leitz, Bolsa Extra Forte A4 - Clear - PN:4700-00-03</t>
  </si>
  <si>
    <t>Leitz, Bolsa Extra Forte A5 - Clear - PN:4705-00-03</t>
  </si>
  <si>
    <t>Leitz, Bolsa Extra Forte - Tearproof - A4 - Clear - PN:4720-00-03</t>
  </si>
  <si>
    <t>Leitz, Bolsa Extra Forte - Tearproof - A5 - Clear - PN:4725-00-03</t>
  </si>
  <si>
    <t>Leitz, Bolsa c/ folha de proteção - A4 - Clear - PN:4764-00-00</t>
  </si>
  <si>
    <t>Leitz, Bolsa com abertura superior e lateral - A4 - 0,09 mm- Clear - PN:4797-00-00</t>
  </si>
  <si>
    <t>Leitz, Bolsa Especial para uso intenso - A4 - 0,16 mm -Cristal Transparente - PN:4020-00-03</t>
  </si>
  <si>
    <t>Leitz, Bolsa Colors - A4 - 0,15 mm -Sortida ( 2 vermelhas, 2 azuis e 2 amarelas) - PN:4100-60-99</t>
  </si>
  <si>
    <t>Leitz Alpha, Pasta Suspensa - p/ documento perfurado - branca - PN:1924-30-01</t>
  </si>
  <si>
    <t>Leitz Alpha, Pasta Suspensa - p/ documento perfurado - preta - PN:1924-30-95</t>
  </si>
  <si>
    <t>Leitz Alpha, Pasta Suspensa - p/ documento avulso- branca - PN:1925-30-01</t>
  </si>
  <si>
    <t>Leitz Alpha, Pasta Suspensa - p/ documento avulso- preta - PN:1925-30-01</t>
  </si>
  <si>
    <t>Esselte Intense, Pasta Larga - A4 - Azul Marinho Transparente - PN:177485</t>
  </si>
  <si>
    <t>Esselte Intense, Pasta Larga - A4 - Vermelho Transparente - PN:177487</t>
  </si>
  <si>
    <t>Esselte Intense, Pasta Larga - A4 - Preta Transparente - PN:177488</t>
  </si>
  <si>
    <t>Esselte Intense, Pasta Larga - A4 - Preta Transparente - PN:21807</t>
  </si>
  <si>
    <t>Esselte Intense, Pasta com Plásticos p/ 20 folhas - A4 - Preta - PN:177434</t>
  </si>
  <si>
    <t>Esselte Intense, Pasta com Plásticos p/ 20 folhas - A4 - Capa dura - PN:177425</t>
  </si>
  <si>
    <t>Esselte Intense, Pasta com Plásticos p/ 40 folhas - A4 - Capa dura - PN:177443</t>
  </si>
  <si>
    <t>Esselte Intense, Pasta Sanfonada - A4 - Azul marinho transparente - PN:177521</t>
  </si>
  <si>
    <t>Esselte Intense, Pasta Sanfonada - A4 - vermelho transparente - PN:177523</t>
  </si>
  <si>
    <t>Esselte Intense, Pasta Sanfonada - A4 -Preto - PN:177524</t>
  </si>
  <si>
    <t>Esselte Intense, Pasta Sanfonada - A4 - Branca Transparente - PN:21811</t>
  </si>
  <si>
    <t>Esselte Intense, Pasta com Elástico - A4 - Azul Marinho transparente - PN:177413</t>
  </si>
  <si>
    <t>Esselte Intense, Pasta com Elástico - A4 - Vermelho Transparente - PN:177415</t>
  </si>
  <si>
    <t>Esselte Intense, Pasta com Elástico - A4 - Preta - PN:177416</t>
  </si>
  <si>
    <t>Esselte Intense, Pasta com Elástico - A4 - Branca Transparente - PN:21804</t>
  </si>
  <si>
    <t>Leitz, Plastificadora I-LAM Easy - A4 - PN: 74770000</t>
  </si>
  <si>
    <t>Leitz, Plastificadora I-LAM Turbo A4 - PN: 74750000</t>
  </si>
  <si>
    <t>Leitz, Plastificadora I-LAM Turbo A3 - PN: 74730000</t>
  </si>
  <si>
    <t>Leitz, Bolsa para plastificação A4 UDT 80 mic - pacote com 100 - PN: 74780000</t>
  </si>
  <si>
    <t>Leitz, Bolsa para plastificação A4 UDT 80 mic - pacote com 25 - PN: 74790000</t>
  </si>
  <si>
    <t>Leitz, Bolsa para plastificação A4 UDT 100 mic - pacote com 100 - PN: 74780000</t>
  </si>
  <si>
    <t>Leitz, Bolsa para plastificação A4 UDT 125 mic - pacote com 100 - PN: 74810000</t>
  </si>
  <si>
    <t>Leitz, Bolsa para plastificação A4 UDT 250 mic - pacote com 100 - PN: 74840000</t>
  </si>
  <si>
    <t>Leitz, Bolsa para plastificação UDT A3 80 mic - pacote com 100 - PN: 74850000</t>
  </si>
  <si>
    <t>Leitz, Bolsa para plastificação UDT A3 80 mic - pacote com 25 - PN: 74860000</t>
  </si>
  <si>
    <t>Leitz, Bolsa para plastificação UDT A3 125 mic - pacote com 100 - PN: 74880000</t>
  </si>
  <si>
    <t>Leitz, Bolsa para plastificação UDT A3 250 mic- pacote com 25 - PN: 74910000</t>
  </si>
  <si>
    <t>Leitz, Bolsa para plastificação UDT A5 80 mic - pacote com 100 - PN: 74920000</t>
  </si>
  <si>
    <t>Esselte, Bolsa para plastificação EVA (Standard) 125 mic com 100 - PN: 33808</t>
  </si>
  <si>
    <t>Esselte, Bolsa para plastificação EVA (Standard) 80 mic com 100 - PN: 33818</t>
  </si>
  <si>
    <t>Esselte, Bolsa para plastificação EVA (Standard) 100 mic com 100 - PN: 33826</t>
  </si>
  <si>
    <t>Esselte, Pasta Organizadora Standard Foolscap - Amarela - PN:48081</t>
  </si>
  <si>
    <t>Esselte, Pasta Organizadora Standard Foolscap - Vermelha - PN:48083</t>
  </si>
  <si>
    <t>Esselte, Pasta Organizadora Standard Foolscap - Azul - PN:48085</t>
  </si>
  <si>
    <t>Esselte, Pasta Organizadora Standard Foolscap - Verde - PN:48086</t>
  </si>
  <si>
    <t>Esselte, Pasta Organizadora Standard Foolscap - Preta - PN:48087</t>
  </si>
  <si>
    <t>Esselte, Pasta Organizadora Standard Foolscap - Cinza - PN:48088</t>
  </si>
  <si>
    <t>Esselte, Pasta Organizadora Standard Foolscap - Laranja - PN:623712</t>
  </si>
  <si>
    <t>Esselte, Pasta Organizadora Standard Foolscap - Verde Claro - PN:623713</t>
  </si>
  <si>
    <t>Esselte, Pasta Organizadora Standard Foolscap - Bordô - PN:623714</t>
  </si>
  <si>
    <t>Esselte, Pasta Organizadora Standard Foolscap - Violeta - PN:623715</t>
  </si>
  <si>
    <t>Esselte, Pasta Organizadora Standard Foolscap - Fúcsia - PN:623716</t>
  </si>
  <si>
    <t>Esselte, Pasta Organizadora Standard Foolscap - Marrom - PN:623717</t>
  </si>
  <si>
    <t>Esselte, Pasta Organizadora Standard Foolscap - Turqueza - PN:623718</t>
  </si>
  <si>
    <t>Leitz, Pasta Organizadora Foolscap 80mm / 180 - Amarela - PN:11101215</t>
  </si>
  <si>
    <t>Leitz, Pasta Organizadora Foolscap 80mm/180 - Vermelha - PN:11101025</t>
  </si>
  <si>
    <t>Leitz, Pasta Organizadora Foolscap 80mm/180 - Azul - PN:11101035</t>
  </si>
  <si>
    <t>Leitz, Pasta Organizadora Foolscap 80 mm/180 - Verde - PN:11101235</t>
  </si>
  <si>
    <t>Leitz, Pasta Organizadora Foolscap 80 mm/180 - Cinza - PN:11101085</t>
  </si>
  <si>
    <t>Leitz, Pasta Organizadora Foolscap 80mm/180- Preta - PN:11101095</t>
  </si>
  <si>
    <t>Leitz, Pasta Organizadora Foolscap 80mm/180 - slide in plate - Azul - PN:11115035</t>
  </si>
  <si>
    <t>Leitz, Pasta Organizadora Foolscap 80mm/180 - slide in plate - Preta - PN:11115095</t>
  </si>
  <si>
    <t>Perfurador, Metal Office Punch NeXXt - PN:5008-20-01</t>
  </si>
  <si>
    <t>Grampeador, Metal Office Stapler NeXXt - PN:5502-20-01</t>
  </si>
  <si>
    <t>Perfurador, Metal Office Punch NeXXt - PN:5008-60-95</t>
  </si>
  <si>
    <t>Grampeador, Metal Office Stapler NeXXt - PN:5502.60.95</t>
  </si>
  <si>
    <t>Bebop ColorClip, A4 - PN:4183-00-01</t>
  </si>
  <si>
    <t>Bebop ColorClip, A4 - PN:4183-00-95</t>
  </si>
  <si>
    <t>Bebop Ring Binder, PP, 2R - PN:4566-00-01</t>
  </si>
  <si>
    <t>Bebop Ring Binder, PP, 2R - PN:4566-00-95</t>
  </si>
  <si>
    <t>Bandeja para Papeis Standard , WOW - PN:5227-00-95</t>
  </si>
  <si>
    <t>Bandeja para Papeis Plus, WOW - PN:5226-30-01</t>
  </si>
  <si>
    <t>Display Metaldisplay iLAM - PN:98251264</t>
  </si>
  <si>
    <t>Display Screen Arm i - PN:98251266</t>
  </si>
  <si>
    <t>Estoque (+)
Importação</t>
  </si>
  <si>
    <t>Origem</t>
  </si>
  <si>
    <t>Materia Prima</t>
  </si>
  <si>
    <t>Estojo de Lâminas</t>
  </si>
  <si>
    <t>Estilete de Segurança</t>
  </si>
  <si>
    <t>Estilete Heavy Duty</t>
  </si>
  <si>
    <t>Verificar</t>
  </si>
  <si>
    <t>Acessório</t>
  </si>
  <si>
    <t>-</t>
  </si>
  <si>
    <t>Espátula</t>
  </si>
  <si>
    <t>Estilete Especial</t>
  </si>
  <si>
    <t>Kit</t>
  </si>
  <si>
    <t>Estilete Multiuso</t>
  </si>
  <si>
    <t>Base de Corte</t>
  </si>
  <si>
    <t>Régua</t>
  </si>
  <si>
    <t>Estilete Rotativo</t>
  </si>
  <si>
    <t>Descontinuar</t>
  </si>
  <si>
    <t>DESCONTINUAR</t>
  </si>
  <si>
    <t>o 63176, substitui o 330706.14743</t>
  </si>
  <si>
    <t xml:space="preserve"> o 63175 substitui o 33070614739</t>
  </si>
  <si>
    <t>Substitui o cód. 330706.14998</t>
  </si>
  <si>
    <t>Substituto do código 330706.14029</t>
  </si>
  <si>
    <t>Substitui o cód. 330706.14746</t>
  </si>
  <si>
    <t>Cola</t>
  </si>
  <si>
    <t>Extrator de Grampo</t>
  </si>
  <si>
    <t>Grampeador Pneumatico</t>
  </si>
  <si>
    <t>Grampeador Eletrico</t>
  </si>
  <si>
    <t>Grampeador Pistola</t>
  </si>
  <si>
    <t>Grampeador ??</t>
  </si>
  <si>
    <t>Grampeador de Mesa</t>
  </si>
  <si>
    <t>Grampo</t>
  </si>
  <si>
    <t>Perfurador</t>
  </si>
  <si>
    <t>Pistola de Cola</t>
  </si>
  <si>
    <t>Prego</t>
  </si>
  <si>
    <t>Insumo</t>
  </si>
  <si>
    <t>Grampeador Alicate</t>
  </si>
  <si>
    <t>Grampeador Heavy Duty</t>
  </si>
  <si>
    <t>Grampeador Martelo</t>
  </si>
  <si>
    <t>Soprador Termico</t>
  </si>
  <si>
    <t>Em teste</t>
  </si>
  <si>
    <t>DESCONTINUADO</t>
  </si>
  <si>
    <t>11807910 Descontinuado</t>
  </si>
  <si>
    <t>10520501 - Sob Encomenda</t>
  </si>
  <si>
    <t>cód antigo:330601.54031</t>
  </si>
  <si>
    <t>Novo cód.330601.63880</t>
  </si>
  <si>
    <t>novo cód.330601.63877</t>
  </si>
  <si>
    <t>email MS 22/04/13</t>
  </si>
  <si>
    <t>novo cód.330601.63879</t>
  </si>
  <si>
    <t>Desc. Pela Rapid</t>
  </si>
  <si>
    <t>Sob Encomenda</t>
  </si>
  <si>
    <t>11809910 Descontinuado</t>
  </si>
  <si>
    <t>cód antigo:330601.14880</t>
  </si>
  <si>
    <t>cód.antigo:330601.14587</t>
  </si>
  <si>
    <t>11740850 - Descontinuar</t>
  </si>
  <si>
    <t>Componentes</t>
  </si>
  <si>
    <t>Rapid, 105,106,Trava ( 177824)</t>
  </si>
  <si>
    <t>Rapid, 105,106, Magazine Completo 66 ( 148932)</t>
  </si>
  <si>
    <t>Rapid, 105,106,Tampa superior 105 ( 17786501)</t>
  </si>
  <si>
    <t>Sob encomenda</t>
  </si>
  <si>
    <t>item obsoleto</t>
  </si>
  <si>
    <t>184046 (Substi.14818)</t>
  </si>
  <si>
    <t>Fragmentadora</t>
  </si>
  <si>
    <t>Refiladora</t>
  </si>
  <si>
    <t>Shanghai</t>
  </si>
  <si>
    <t>Guilhotina</t>
  </si>
  <si>
    <t>Plastificadora</t>
  </si>
  <si>
    <t>Yantian</t>
  </si>
  <si>
    <t>Encadernadora</t>
  </si>
  <si>
    <t>Descontinuar Código</t>
  </si>
  <si>
    <t>Pedido sob demanda - Fellowes Itasca EUA</t>
  </si>
  <si>
    <t>cod.anterior 33063063774</t>
  </si>
  <si>
    <t>Áudio</t>
  </si>
  <si>
    <t>Innovation e Design</t>
  </si>
  <si>
    <t>Mídia Packing</t>
  </si>
  <si>
    <t>Mobile</t>
  </si>
  <si>
    <t>Storage Mídia</t>
  </si>
  <si>
    <t>Em proc.fabricação,prev.finalizar 15/9</t>
  </si>
  <si>
    <t>T-View</t>
  </si>
  <si>
    <t>Código EMS</t>
  </si>
  <si>
    <t>Marca</t>
  </si>
  <si>
    <t>Tipo de Material</t>
  </si>
  <si>
    <t>Nome_Abreviado</t>
  </si>
  <si>
    <t>Fellowes</t>
  </si>
  <si>
    <t>Produto</t>
  </si>
  <si>
    <t>APARADOR DE PAPEL – ATOM 180 18IN ROTARY PAPER TRIMMER</t>
  </si>
  <si>
    <t>Fora de linha</t>
  </si>
  <si>
    <t>APARADOR DE PAPEL – ELECTRON  180 18IN</t>
  </si>
  <si>
    <t>APARADOR DE PAPEL – NEUTROL PLUS 12IN PAPER TRIMMER</t>
  </si>
  <si>
    <t>APARADOR DE PAPEL – ROTARY TRIMMER NEUTRINO</t>
  </si>
  <si>
    <t>APARADOR DE PAPEL ELETRICO – POWER TRIM 120V</t>
  </si>
  <si>
    <t>Youts</t>
  </si>
  <si>
    <t>iPhone 4/4S</t>
  </si>
  <si>
    <t>Leitz</t>
  </si>
  <si>
    <t>Stand-by</t>
  </si>
  <si>
    <t>insumo</t>
  </si>
  <si>
    <t>Em Linha</t>
  </si>
  <si>
    <t>Base de corte Fellowes A3 para refiladora - Conj 3</t>
  </si>
  <si>
    <t>Base de corte Fellowes A4 para refiladora - Conj 3</t>
  </si>
  <si>
    <t>Standard - BD-R</t>
  </si>
  <si>
    <t>Rock in Rio - BD</t>
  </si>
  <si>
    <t>Display</t>
  </si>
  <si>
    <t>Boston</t>
  </si>
  <si>
    <t xml:space="preserve">BOSTON, GRAMPEADOR DE MESA 20 </t>
  </si>
  <si>
    <t>BOSTON, GRAMPEADOR DE MESA 41</t>
  </si>
  <si>
    <t>Fone de Ouvido</t>
  </si>
  <si>
    <t>Capa A3 de PVC Fellowes para encadernação - 200 microns - 100 pç</t>
  </si>
  <si>
    <t>Capa A4 de PVC Fellowes para encadernação - 200 microns - 100 pç</t>
  </si>
  <si>
    <t>Rapid</t>
  </si>
  <si>
    <t>Peça de reposição</t>
  </si>
  <si>
    <t>Componente</t>
  </si>
  <si>
    <t>Cartucho de Lâminas de reposição Fellowes SAFECUT reta</t>
  </si>
  <si>
    <t>Color Label - CD-R</t>
  </si>
  <si>
    <t>Standard - Cake - CD-R</t>
  </si>
  <si>
    <t>Colorful - CD-R</t>
  </si>
  <si>
    <t>Rock in Rio - Colorful - CD-R</t>
  </si>
  <si>
    <t>Standard - CD-R</t>
  </si>
  <si>
    <t>Printable - Cake - CD-R</t>
  </si>
  <si>
    <t>Printable - CD-R</t>
  </si>
  <si>
    <t>Color Label - DVD-R</t>
  </si>
  <si>
    <t>Standard - Cake - DVD-R</t>
  </si>
  <si>
    <t>Colorful - DVD-R</t>
  </si>
  <si>
    <t>Rock in Rio - Colorful - DVD-R</t>
  </si>
  <si>
    <t>Standard - DVD-R</t>
  </si>
  <si>
    <t>Rock in Rio - Color Label - DVD-R</t>
  </si>
  <si>
    <t>Printable - Cake - DVD-R</t>
  </si>
  <si>
    <t>Printable - DVD-R</t>
  </si>
  <si>
    <t>EMBALAGEM AMARAY YOUTS CINZA - PACK COM 5</t>
  </si>
  <si>
    <t>EMBALAGEM AMARAY YOUTS SLIM TRANSPARENTE - PACK COM 5</t>
  </si>
  <si>
    <t>EMBALAGEM BLU-RAY YOUTS TRANSPARENTE - PACK COM 3</t>
  </si>
  <si>
    <t>EMBALAGEM DVD MULTIDISC (4X)YOUTS CINZA PACK COM 3</t>
  </si>
  <si>
    <t>ENCADERNADORA COMB GALAX E PN 5218301</t>
  </si>
  <si>
    <t>ENCADERNADORA COMB PULSA E 300</t>
  </si>
  <si>
    <t>ENCADERNADORA COMB PULSAR</t>
  </si>
  <si>
    <t xml:space="preserve">ENCADERNADORA COMB QUASA 500 </t>
  </si>
  <si>
    <t>ENCADERNADORA COMB QUASA E 500</t>
  </si>
  <si>
    <t>ENCADERNADORA COMB STAR</t>
  </si>
  <si>
    <t>ENCADERNADORA COMB STARL PN 5217201</t>
  </si>
  <si>
    <t>Encadernadora Fellowes GALAXY - Wire-o - MANUAL</t>
  </si>
  <si>
    <t>Encadernadora Fellowes PULSAR - Garras plásticas A4 - Manual</t>
  </si>
  <si>
    <t>Encadernadora Fellowes QUASAR - Garras plásticas - Manual</t>
  </si>
  <si>
    <t>Encadernadora Fellowes QUASAR - WIRE-O - Manual</t>
  </si>
  <si>
    <t>Encadernadora Fellowes STAR - Garras plásticas A4 - MANUA</t>
  </si>
  <si>
    <t>ENCADERNADORA THERMAL HELIOS 60</t>
  </si>
  <si>
    <t>Auto Loader</t>
  </si>
  <si>
    <t>Esselte</t>
  </si>
  <si>
    <t>Pasta com Elástico</t>
  </si>
  <si>
    <t>Colorful - Embalagem Lasa</t>
  </si>
  <si>
    <t>Embalagem - Lasa</t>
  </si>
  <si>
    <t>Embalagem</t>
  </si>
  <si>
    <t>Colorful - Embalagem</t>
  </si>
  <si>
    <t>EXTRATOR DE GRAMPO</t>
  </si>
  <si>
    <t>Fellowes, 225Ci, Conjunto de Corte (207338)</t>
  </si>
  <si>
    <t>225CI CUTTING BLOCK ASSEMBLY</t>
  </si>
  <si>
    <t>Fellowes, 225Ci, Engrenagem M 3o. estágio (207357)</t>
  </si>
  <si>
    <t>BC 225Ci 3rd Stage Gear</t>
  </si>
  <si>
    <t>Fellowes, 225Ci, Motor 120V, MFD 130712 ou depois (207978)</t>
  </si>
  <si>
    <t>MOTOR 120V 225CI MFD 130712 OR AFTER</t>
  </si>
  <si>
    <t>Fellowes, 225Ci, Motor 230V (207364)</t>
  </si>
  <si>
    <t>BC 220CI/225CI/225MI MOTOR 230V</t>
  </si>
  <si>
    <t>Fellowes, 225Ci, PCI Ctl/LED 120V/230V (207326)</t>
  </si>
  <si>
    <t xml:space="preserve">BC 220Ci/225Ci/470Ci  Univ control panel PCB (PSOC) </t>
  </si>
  <si>
    <t>Fellowes, 225Ci, PCI Principal 120V (207393)</t>
  </si>
  <si>
    <t>BC 225Ci  Main AC PCB 120v</t>
  </si>
  <si>
    <t>Fellowes, 225Ci, PCI Principal 230V, MFD 130807 ou antes (207396)</t>
  </si>
  <si>
    <t>AC PCB 230V 225CI MFD 130807 OR BEFORE</t>
  </si>
  <si>
    <t>Fellowes, 225i, 125i, Módulo Anti Travamento (207182)</t>
  </si>
  <si>
    <t>125I/225I SERIES ANTI JAM MODULE</t>
  </si>
  <si>
    <t>Fellowes, 225i, 225Ci, Engrenagem MP 1o./2o. estágio (207751)</t>
  </si>
  <si>
    <t>BC 225I/225MI/325I/470CI SERIES 1ST/2ND STAGE GEAR ASSEMBLY</t>
  </si>
  <si>
    <t>Fellowes, 225i, Conjunto de Corte (207354)</t>
  </si>
  <si>
    <t>225I CUTTING BLOCK ASSEMBLY</t>
  </si>
  <si>
    <t>Fellowes, 225i, Engrenagem M de sincronismo das facas (207356)</t>
  </si>
  <si>
    <t>LONG/SHORT SHAFT GEAR  225/325I SERIES MFD 130326 OR BEFORE</t>
  </si>
  <si>
    <t>Fellowes, 225i, Engrenagem MP 3o. estágio (207355)</t>
  </si>
  <si>
    <t>3RD ST LONG SHAFT GEAR 225I MFD 130326 OR BEFORE</t>
  </si>
  <si>
    <t>Fellowes, 225i, Motor 120V (207315)</t>
  </si>
  <si>
    <t>BC 220I/225I MOTOR 120V</t>
  </si>
  <si>
    <t>Fellowes, 225i, Motor 230V (207365)</t>
  </si>
  <si>
    <t>BC 220I/225I MOTOR 230V</t>
  </si>
  <si>
    <t>Fellowes, 225i, PCI Ctl/LED 120V/230V (207327)</t>
  </si>
  <si>
    <t>CONTROL LED PCB 225I MFD 130807 OR BEFORE</t>
  </si>
  <si>
    <t>Fellowes, 225i, PCI Principal 120V (207404)</t>
  </si>
  <si>
    <t>AC PC BOARD 225I MFD 130807 OR BEFORE - SEE SB1311-01</t>
  </si>
  <si>
    <t>Fellowes, 225i, PCI Principal 230V, MFD 130807 ou antes (207400)</t>
  </si>
  <si>
    <t>AC PCB 230V 225I MFD 130807 OR BEFORE</t>
  </si>
  <si>
    <t>Fellowes, 70S, Conjunto de Corte (207979)</t>
  </si>
  <si>
    <t>70s Cutting block</t>
  </si>
  <si>
    <t>Fellowes, 70S, Conjunto de Raspadores (207911)</t>
  </si>
  <si>
    <t>70s Stripper Kit</t>
  </si>
  <si>
    <t>Fellowes, 70S, Engrenagem M de Sincronismo-eixo curto (207898)</t>
  </si>
  <si>
    <t>70s Short shaft synchron gear</t>
  </si>
  <si>
    <t>Fellowes, 70S, Engrenagem M de Sincronismo-eixo longo (207897)</t>
  </si>
  <si>
    <t>70s Long shaft synchron gear</t>
  </si>
  <si>
    <t>Fellowes, 70S, Engrenagem MP 1o. estágio (207894)</t>
  </si>
  <si>
    <t>70s 1st stage gear</t>
  </si>
  <si>
    <t>Fellowes, 70S, Engrenagem MP 2o. estágio (207895)</t>
  </si>
  <si>
    <t>70s 2nd stage gear</t>
  </si>
  <si>
    <t>Fellowes, 70S, Engrenagem MP 3o. estágio (207896)</t>
  </si>
  <si>
    <t>70s 3rd stage gear</t>
  </si>
  <si>
    <t>Fellowes, 70S, Motor 120V (207899)</t>
  </si>
  <si>
    <t>70s Motor 120v</t>
  </si>
  <si>
    <t>Fellowes, 70S, Motor 230V (207900)</t>
  </si>
  <si>
    <t>70s Motor 230v</t>
  </si>
  <si>
    <t>Fellowes, 70S, PCI Principal 120V (207903)</t>
  </si>
  <si>
    <t>70s PCB Assembly 120v</t>
  </si>
  <si>
    <t>Fellowes, 70S, PCI Principal 230V (207904)</t>
  </si>
  <si>
    <t>70s PCB Assembly 230v</t>
  </si>
  <si>
    <t>Fellowes, 70S, Proteção da caixa de engrenagens (208086)</t>
  </si>
  <si>
    <t>70s Gearbox Cover</t>
  </si>
  <si>
    <t>1ST STAGE GEAR ASSY 73CI</t>
  </si>
  <si>
    <t>2ND STAGE GEAR ASSY 73CI</t>
  </si>
  <si>
    <t>Fellowes, 73Ci, 75Cs, Engrenagem MP 3o. estágio (208067)</t>
  </si>
  <si>
    <t>73Ci / 75Cs 3rd stage gear</t>
  </si>
  <si>
    <t>Fellowes, 73Ci, 75Cs, Proteção da caixa de engrenagens (207641)</t>
  </si>
  <si>
    <t>GEAR COVER 73CI / 75Cs</t>
  </si>
  <si>
    <t>CUTTING BLOCK ASSY 73CI</t>
  </si>
  <si>
    <t>Fellowes, 73Ci, Conjunto de Isolantes de Borracha (207748)</t>
  </si>
  <si>
    <t>RUBBER ISOLATOR KIT (9) 73CI/ DS-1200CI</t>
  </si>
  <si>
    <t>Fellowes, 73Ci, Conjunto de Raspadores (207738)</t>
  </si>
  <si>
    <t>STRIPPER KIT 73CI</t>
  </si>
  <si>
    <t>MOTOR 120V 73CI</t>
  </si>
  <si>
    <t>Fellowes, 73Ci, Motor 230V (207630)</t>
  </si>
  <si>
    <t>73Ci  Motor 230v</t>
  </si>
  <si>
    <t>Fellowes, 73Ci, PCI Principal (207632)</t>
  </si>
  <si>
    <t>PCB NA/EU/UK/AU 73CI</t>
  </si>
  <si>
    <t>Fellowes, 73Ci, Sensor IR de Presença (207642)</t>
  </si>
  <si>
    <t>AUTOSTART I/R SENSORS 73CI</t>
  </si>
  <si>
    <t>Fellowes, 75Cs, Conjunto de Corte (208060)</t>
  </si>
  <si>
    <t>75Cs Cutting block</t>
  </si>
  <si>
    <t>Fellowes, 75Cs, Conjunto de Raspadores (207504)</t>
  </si>
  <si>
    <t>75Cs Stripper Kit</t>
  </si>
  <si>
    <t>Fellowes, 75Cs, Engrenagem M de Sincronismo-eixo curto MFD 130528 ou antes (207488)</t>
  </si>
  <si>
    <t>Short shaft synchron gear manufactured prior to 5/28/13</t>
  </si>
  <si>
    <t>Fellowes, 75Cs, Engrenagem M de Sincronismo-eixo longo MFD 130528 ou antes (207487)</t>
  </si>
  <si>
    <t>Long shaft synchron gear manufactured prior to 5/28/13</t>
  </si>
  <si>
    <t>Fellowes, 75Cs, Engrenagem MP 1o. Estágio MFD 130528 ou antes (207484)</t>
  </si>
  <si>
    <t>1st stage gear manufactured prior to 5/28/13</t>
  </si>
  <si>
    <t>Fellowes, 75Cs, Engrenagem MP 2o. estágio MFD 130528 ou antes (207485)</t>
  </si>
  <si>
    <t>2nd stage gear manufactured prior to 5/28/13</t>
  </si>
  <si>
    <t>Fellowes, 75Cs, Engrenagem MP 3o. estágio MFD 130528 ou antes (207486)</t>
  </si>
  <si>
    <t>3rd stage gear manufactured prior to 5/28/13</t>
  </si>
  <si>
    <t>Fellowes, 75Cs, Motor 120V (207483)</t>
  </si>
  <si>
    <t>75Cs Motor 120v</t>
  </si>
  <si>
    <t>Fellowes, 75Cs, Motor 230V (207494)</t>
  </si>
  <si>
    <t>75Cs Motor 230v</t>
  </si>
  <si>
    <t>75Cs PCB Assembly 120v</t>
  </si>
  <si>
    <t>Fellowes, 75Cs, PCI Principal 230V (207621)</t>
  </si>
  <si>
    <t>75Cs PCB Assembly 230v</t>
  </si>
  <si>
    <t>Fellowes, 75Cs, Proteção da caixa de engrenagens MFD 130528 ou antes (207489)</t>
  </si>
  <si>
    <t>Gear Cover (Not Shown) manufactured prior to 5/28/13</t>
  </si>
  <si>
    <t>Fellowes, 79Ci, 73Ci, 75Cs, Engrenagem M de Sincronismo-eixo curto (207238)</t>
  </si>
  <si>
    <t>BC 79CI/DS14CI/75CI/73CI/84CI SHORT SHAFT SYNCHRON GEAR / 75Cs</t>
  </si>
  <si>
    <t>Fellowes, 79Ci, 73Ci, 75Cs, Engrenagem M de Sincronismo-eixo longo (207237)</t>
  </si>
  <si>
    <t>BC 79CI/DS14CI/73CI/84CI LONG SHAFT SYNCHRON GEAR / 75Cs</t>
  </si>
  <si>
    <t>Fellowes, 79Ci, 73Ci, Módulo Anti Travamento (207233)</t>
  </si>
  <si>
    <t>BC 79CI/DS-14CI/73CI/63CB ANTI-JAM MODULE</t>
  </si>
  <si>
    <t>Fellowes, 79Ci, Conjunto de Corte (207242)</t>
  </si>
  <si>
    <t>BC 79CI//DS-14CI CUTTING BLOCK ASSY</t>
  </si>
  <si>
    <t>Fellowes, 79Ci, Conjunto de Isolantes de Borracha (207378)</t>
  </si>
  <si>
    <t>BC 79CI/DS-14CI RUBBER ISOLATOR KIT</t>
  </si>
  <si>
    <t>Fellowes, 79Ci, Conjunto de Raspadores (207370)</t>
  </si>
  <si>
    <t>BC 79CI/DS-14CI STRIPPER KIT</t>
  </si>
  <si>
    <t>Fellowes, 79Ci, Engrenagem MP 1o. estágio (207234)</t>
  </si>
  <si>
    <t>Fellowes, 79Ci, Engrenagem MP 2o. estágio (207235)</t>
  </si>
  <si>
    <t>Fellowes, 79Ci, Engrenagem MP 3o. estágio (207236)</t>
  </si>
  <si>
    <t>Fellowes, 79Ci, Motor 120V, MFD 130128 ou antes (207228)</t>
  </si>
  <si>
    <t>BC 79CI/DS-14CI MOTOR 120V</t>
  </si>
  <si>
    <t>Fellowes, 79Ci, Motor 120V, MFD 130911 ou depois (207991)</t>
  </si>
  <si>
    <t>MOTOR 120V 79CI/DS-14CI</t>
  </si>
  <si>
    <t>Fellowes, 79Ci, Motor 230V, MFD 130128 ou antes (207272)</t>
  </si>
  <si>
    <t>BC MOTOR 230V</t>
  </si>
  <si>
    <t>Fellowes, 79Ci, Motor 230V, MFD 130911 ou depois (207994)</t>
  </si>
  <si>
    <t>MOTOR 230V 79CI</t>
  </si>
  <si>
    <t>Fellowes, 79Ci, PCI Principal 120V, MFD 130128 ou antes (207227)</t>
  </si>
  <si>
    <t>BC 79CI/DS-14CI PCB 120V</t>
  </si>
  <si>
    <t>Fellowes, 79Ci, PCI Principal 120V, MFD 130911 ou depois (207985)</t>
  </si>
  <si>
    <t>AC PCB 120V 79CI</t>
  </si>
  <si>
    <t>Fellowes, 79Ci, PCI Principal 230V, MFD 130128 ou antes (207271)</t>
  </si>
  <si>
    <t>BC 79CI PCB 230V</t>
  </si>
  <si>
    <t>Fellowes, 79Ci, PCI Principal 230V, MFD 130911 ou depois (207986)</t>
  </si>
  <si>
    <t>AC PCB KIT 79CI/DS-14CI 230V</t>
  </si>
  <si>
    <t>Fellowes, 99Ci, 79Ci, Botões de comando (207232)</t>
  </si>
  <si>
    <t>BC 79CI/DS-14CI/99CI/90S POWER SWITCH</t>
  </si>
  <si>
    <t>Fellowes, 99Ci, Batente do sensor do cesto (207264)</t>
  </si>
  <si>
    <t>BC 99CI/90I BIN FULL FLAP ASSEMBLY</t>
  </si>
  <si>
    <t>BC 99CI CUTTING BLOCK</t>
  </si>
  <si>
    <t>Fellowes, 99Ci, Conjunto de Isolantes de Borracha (207381)</t>
  </si>
  <si>
    <t>BC 99CI/90S ISOLATOR KIT</t>
  </si>
  <si>
    <t>BC 99CI STRIPPER KIT</t>
  </si>
  <si>
    <t>Fellowes, 99Ci, Engrenagem M 3o. estágio (207255)</t>
  </si>
  <si>
    <t>BC 99CI/SB99CI (REV H)/90S 3RD STAGE GEAR</t>
  </si>
  <si>
    <t>Fellowes, 99Ci, Engrenagem M de Sincronismo (207257)</t>
  </si>
  <si>
    <t>BC 99CI/SB-99CI (REV H)/90S SYNCHRON GEAR</t>
  </si>
  <si>
    <t>Fellowes, 99Ci, Engrenagem MP 1o. estágio (207253)</t>
  </si>
  <si>
    <t>BC 99CI/SB-99CI (REV H)/90S/SB-89CI/DS-16CI 1ST STAGE GEAR</t>
  </si>
  <si>
    <t>Fellowes, 99Ci, Engrenagem MP 2o. estágio (207254)</t>
  </si>
  <si>
    <t>BC 99CI/SB-99CI (REV H)/90S/SB-89CI/DS-16CI 2ND STAGE GEAR</t>
  </si>
  <si>
    <t>Fellowes, 99Ci, Módulo Anti Travamento (207528)</t>
  </si>
  <si>
    <t>BC 990CI/84CI ANTI-JAM MODULE</t>
  </si>
  <si>
    <t>Fellowes, 99Ci, Motor 120V (207251)</t>
  </si>
  <si>
    <t>MOTOR 120V 99CI MFD 130928 OR BEFORE</t>
  </si>
  <si>
    <t>Fellowes, 99Ci, Motor 230V (207252)</t>
  </si>
  <si>
    <t>99Ci Motor 230v</t>
  </si>
  <si>
    <t>Fellowes, 99Ci, PCI Principal 120V (207246)</t>
  </si>
  <si>
    <t>BC 99CI PCB 120V</t>
  </si>
  <si>
    <t>Fellowes, 99Ci, PCI Principal 230V (207247)</t>
  </si>
  <si>
    <t>99Ci PCB Assembly 230v</t>
  </si>
  <si>
    <t>Fellowes, 99Ci, Proteção da caixa de engrenagens (207270)</t>
  </si>
  <si>
    <t>BC 99CI GEAR COVER</t>
  </si>
  <si>
    <t>Fellowes, 99Ci, Sensor de CD com cabo e conector (207385)</t>
  </si>
  <si>
    <t>BC 99CI/90S CD FLAP SWITCH W/BIN FULL CONNECTOR WIRE</t>
  </si>
  <si>
    <t>Fellowes, 99Ci, Sensor do cesto (207384)</t>
  </si>
  <si>
    <t>BC 99CI/90S BIN FULL SWITCH</t>
  </si>
  <si>
    <t>Fellowes, 99Ci, Sensor IR de Presença (207382)</t>
  </si>
  <si>
    <t>BC 99CI/99MI/90S AUTO START I/R SENSORS</t>
  </si>
  <si>
    <t>Purificador de Ar</t>
  </si>
  <si>
    <t>Fellowes, Purificador de ar AeraMax 100 (110V) – PN:9320301</t>
  </si>
  <si>
    <t>Fellowes, Purificador de ar AeraMax 100</t>
  </si>
  <si>
    <t>Fellowes, Purificador de ar AeraMax 200 (110V) – PN:9320401</t>
  </si>
  <si>
    <t>Fellowes, Purificador de ar AeraMax 200</t>
  </si>
  <si>
    <t>Fragmentadora Fellowes 125Ci Cross Cut - 220V - PN:</t>
  </si>
  <si>
    <t>Fragmentadora Fellowes 125Ci Cross Cut</t>
  </si>
  <si>
    <t>Fragmentadora Fellowes 225Ci</t>
  </si>
  <si>
    <t>Fragmentadora Fellowes 225i</t>
  </si>
  <si>
    <t>Fragmentadora Fellowes 425Ci</t>
  </si>
  <si>
    <t>Fragmentadora Fellowes 425i</t>
  </si>
  <si>
    <t>Fragmentadora Fellowes 485Ci</t>
  </si>
  <si>
    <t>Fragmentadora Fellowes 485i</t>
  </si>
  <si>
    <t>Fragmentadora Fellowes 53C</t>
  </si>
  <si>
    <t>Fragmentadora Fellowes 59Cb</t>
  </si>
  <si>
    <t>Fragmentadora Fellowes 69Cb</t>
  </si>
  <si>
    <t>Fragmentadora Fellowes 70S</t>
  </si>
  <si>
    <t>Fragmentadora Fellowes 73CI</t>
  </si>
  <si>
    <t>Fragmentadora Fellowes 75CS</t>
  </si>
  <si>
    <t>Fragmentadora Fellowes 79Ci</t>
  </si>
  <si>
    <t>Fragmentadora Fellowes 99Ci</t>
  </si>
  <si>
    <t>Fragmentadora Fellowes Automax 130C Cross Cut - 220V - PN:</t>
  </si>
  <si>
    <t>Fragmentadora Fellowes Automax 130C Cross Cut</t>
  </si>
  <si>
    <t>Fragmentadora Fellowes Automax 200C Cross Cut - 220V - PN:</t>
  </si>
  <si>
    <t>Fragmentadora Fellowes Automax 200C Cross Cut</t>
  </si>
  <si>
    <t>Fragmentadora Fellowes Automax 300C</t>
  </si>
  <si>
    <t>Fragmentadora Fellowes Automax 500C</t>
  </si>
  <si>
    <t>FRAGMENTADORA FELLOWES C-220I STRIP CUT-110V-PN:332201</t>
  </si>
  <si>
    <t>FRAGMENTADORA FELLOWES C-225CI CROSS CUT-110V-PN:3825001</t>
  </si>
  <si>
    <t>FRAGMENTADORA FELLOWES C-325CI CROSS CUT-110V-PN:3831001</t>
  </si>
  <si>
    <t>FRAGMENTADORA FELLOWES C-325I STRIP CUT-110V-PN:3830001</t>
  </si>
  <si>
    <t>FRAGMENTADORA FELLOWES C-420 STRIP CUT-110V-PN:38420</t>
  </si>
  <si>
    <t>FRAGMENTADORA FELLOWES C-420C CROSS CUT-110V-PN:38425</t>
  </si>
  <si>
    <t>Fragmentadora Fellowes DS-1</t>
  </si>
  <si>
    <t>Fragmentadora Fellowes DS-1200Cs</t>
  </si>
  <si>
    <t>Fragmentadora Fellowes DS-500C</t>
  </si>
  <si>
    <t>Fragmentadora Fellowes DS-700C</t>
  </si>
  <si>
    <t>FRAGMENTADORA FELLOWES MS-450CI MICROSHRED-110V-PN:3241101</t>
  </si>
  <si>
    <t>FRAGMENTADORA FELLOWES MS-450CS - PN:3245301</t>
  </si>
  <si>
    <t>Fragmentadora Fellowes MS-450Cs</t>
  </si>
  <si>
    <t>Fragmentadora Fellowes MS-460Cs</t>
  </si>
  <si>
    <t>FRAGMENTADORA FELLOWES OS-60 STRIP CUT 110V</t>
  </si>
  <si>
    <t>Fragmentadora Fellowes P-35C Branca Cross Cut - 120V - PN:</t>
  </si>
  <si>
    <t>Fragmentadora Fellowes P-35C</t>
  </si>
  <si>
    <t>Fragmentadora Fellowes P-35C Branca Cross Cut - 230V - PN:</t>
  </si>
  <si>
    <t>FRAGMENTADORA FELLOWES P-48C - PN:3214801</t>
  </si>
  <si>
    <t>FRAGMENTADORA FELLOWES P-48C</t>
  </si>
  <si>
    <t>Fragmentadora Fellowes P-48C Branca Cross Cut - 120V - PN:</t>
  </si>
  <si>
    <t>Fragmentadora Fellowes P-48C</t>
  </si>
  <si>
    <t>Fragmentadora Fellowes P-48C Branca Cross Cut - 230V - PN:</t>
  </si>
  <si>
    <t>FRAGMENTADORA FELLOWES P-58CS - PN:3225801</t>
  </si>
  <si>
    <t>FRAGMENTADORA FELLOWES P-58CS</t>
  </si>
  <si>
    <t>Fragmentadora Fellowes P-58Cs</t>
  </si>
  <si>
    <t>Fragmentadora Fellowes P70CM Branca Cross Cut - 120V - PN:</t>
  </si>
  <si>
    <t>Fragmentadora Fellowes P70CM</t>
  </si>
  <si>
    <t>Fragmentadora Fellowes P70CM Branca Cross Cut - 230V - PN:</t>
  </si>
  <si>
    <t>FRAGMENTADORA FELLOWES PS 70 STRIP CUT 110V</t>
  </si>
  <si>
    <t>FRAGMENTADORA FELLOWES PS-77CS CROSS CUT-110V-PN:3220601</t>
  </si>
  <si>
    <t>FRAGMENTADORA FELLOWES SB-125CI CROSS CUT-110V-PN:3312501</t>
  </si>
  <si>
    <t>FRAGMENTADORA FELLOWES SB-125I STRIP CUT-110V-PN:3312001</t>
  </si>
  <si>
    <t>FRAGMENTADORA FELLOWES SB-97CS CROSS CUT-110V-PN:3221901</t>
  </si>
  <si>
    <t>Garra de encadernação Fellowes A4 10MM - 100pç</t>
  </si>
  <si>
    <t>Garra de encadernação Fellowes A4 12MM - 100pç</t>
  </si>
  <si>
    <t>Garra de encadernação Fellowes A4 14MM - 100pç</t>
  </si>
  <si>
    <t>Garra de encadernação Fellowes A4 16MM - 100pç</t>
  </si>
  <si>
    <t>Garra de encadernação Fellowes A4 19MM - 100pç</t>
  </si>
  <si>
    <t>Garra de encadernação Fellowes A4 22MM - 50pç</t>
  </si>
  <si>
    <t>Garra de encadernação Fellowes A4 25MM - 50pç</t>
  </si>
  <si>
    <t>Garra de encadernação Fellowes A4 6MM - 100pç</t>
  </si>
  <si>
    <t>Garra de encadernação Fellowes A4 8MM - 100pç</t>
  </si>
  <si>
    <t>Garra de encadernação Fellowes A4 28MM - 50pç</t>
  </si>
  <si>
    <t>Garra de encadernação ovalada Fellowes A4 32MM - 50pç</t>
  </si>
  <si>
    <t>Garra de encadernação ovalada Fellowes A4 38MM - 50pç</t>
  </si>
  <si>
    <t>Garra de encadernação ovalada Fellowes A4 45MM - 50pç</t>
  </si>
  <si>
    <t>Garra de encadernação ovalada Fellowes A4 51MM - 50pç</t>
  </si>
  <si>
    <t>Caixa de Som</t>
  </si>
  <si>
    <t>GRAMPEADOR RAPID 12/12</t>
  </si>
  <si>
    <t>GRAMPEADOR RAPID 13</t>
  </si>
  <si>
    <t>GRAMPEADOR RAPID 17</t>
  </si>
  <si>
    <t xml:space="preserve">GRAMPEADOR RAPID 45 </t>
  </si>
  <si>
    <t>GRAMPEADOR RAPID 65</t>
  </si>
  <si>
    <t>GRAMPEADOR RAPID E-28</t>
  </si>
  <si>
    <t>GRAMPEADOR RAPID E3</t>
  </si>
  <si>
    <t>GRAMPEADOR RAPID E6</t>
  </si>
  <si>
    <t>GRAMPEADOR RAPID S50</t>
  </si>
  <si>
    <t>GRAMPEADOR RAPID X-RAY</t>
  </si>
  <si>
    <t>GRAMPEADOR RAPID X-RAY F16-VERMELHO (BLISTER)</t>
  </si>
  <si>
    <t>Enak</t>
  </si>
  <si>
    <t>Guilhotina Fellowes FUSION A3</t>
  </si>
  <si>
    <t>Guilhotina Fellowes FUSION A4</t>
  </si>
  <si>
    <t>Guilhotina Fellowes Plasma A3</t>
  </si>
  <si>
    <t>Guilhotina Fellowes STELLAR A3</t>
  </si>
  <si>
    <t>Guilhotina Fellowes STELLAR A4</t>
  </si>
  <si>
    <t>GUILHOTINA PARA PAPEL FUSION 180 18IN</t>
  </si>
  <si>
    <t xml:space="preserve">GUILHOTINA PARA PAPEL PLASMA 180 18IN </t>
  </si>
  <si>
    <t>JK/HB</t>
  </si>
  <si>
    <t>Grampeador</t>
  </si>
  <si>
    <t>Pregador</t>
  </si>
  <si>
    <t>Screen Protector</t>
  </si>
  <si>
    <t>Case iPad</t>
  </si>
  <si>
    <t>Parelho Para Cintar</t>
  </si>
  <si>
    <t>JK-GRAMPOS JK590-19MM CAIXA COM 5000 GRAMPOS(400517)</t>
  </si>
  <si>
    <t>JK-GRAMPOS JK590-22MM CAIXA COM 5000 GRAMPOS(400518)</t>
  </si>
  <si>
    <t>Kores</t>
  </si>
  <si>
    <t>Lápis de Cor</t>
  </si>
  <si>
    <t>KORES, "KIT ESSENCIAL" (6 LAPIS DE COR JUMBO + 1 LAPIS GRAFITE JUMBO + APONTADOR + BORRACHA) - PN:93507PV</t>
  </si>
  <si>
    <t>Corretivo</t>
  </si>
  <si>
    <t>KORES, CANETA CORRETIVA PONTA FINA, 10g/8ml - PN:83315P</t>
  </si>
  <si>
    <t>KORES, CANETA CORRETIVA PONTA FINA, 10g/8ml EM BLISTER - PN:83321P</t>
  </si>
  <si>
    <t>Marca Texto</t>
  </si>
  <si>
    <t>KORES, CANETA MARCA TEXTO "PLUS " VERDE - PN:36005P</t>
  </si>
  <si>
    <t>KORES, CANETA MARCA TEXTO "PLUS" AMARELA - PN:36001P</t>
  </si>
  <si>
    <t>KORES, CANETA MARCA TEXTO "PLUS" KIT COM 4 CORES - PN:36040P</t>
  </si>
  <si>
    <t>KORES, CANETA MARCA TEXTO "PLUS" LARANJA - PN:36004P</t>
  </si>
  <si>
    <t>KORES, CANETA MARCA TEXTO "PLUS" PINK - PN:36002P</t>
  </si>
  <si>
    <t>KORES, CANETA MARCA TEXTO "POCKET" AMARELA EM BLISTER - PN:36111P</t>
  </si>
  <si>
    <t>KORES, CANETA MARCA TEXTO "POCKET" LARANJA EM BLISTER - PN:36114P</t>
  </si>
  <si>
    <t>KORES, CANETA MARCA TEXTO "POCKET" PINK EM BLISTER - PN:36112P</t>
  </si>
  <si>
    <t>KORES, CANETA MARCA TEXTO "POCKET" VERDE EM BLISTER - PN:36115P</t>
  </si>
  <si>
    <t>KORES, CANETA MARCA TEXTO AMARELA - PN:36201P</t>
  </si>
  <si>
    <t>KORES, CANETA MARCA TEXTO LARANJA - PN:36204P</t>
  </si>
  <si>
    <t>KORES, CANETA MARCA TEXTO PINK - PN:36202P</t>
  </si>
  <si>
    <t>KORES, CANETA MARCA TEXTO VERDE - PN:36205P</t>
  </si>
  <si>
    <t>KORES, CANETA MARCA TEXTO, KIT C/ 4 CORES - PN:36240P</t>
  </si>
  <si>
    <t>Marcadores</t>
  </si>
  <si>
    <t>KORES, CANETA MARCADORA AZUL PARA QUADRO BRANCO - PN:20583P</t>
  </si>
  <si>
    <t>KORES, CANETA MARCADORA PARA QUADRO BRANCO KIT C/ 4 CORES - PN:20845P</t>
  </si>
  <si>
    <t>KORES, CANETA MARCADORA PRETA PARA QUADRO BRANCO - PN:20580P</t>
  </si>
  <si>
    <t>KORES, CANETA MARCADORA VERDE PARA QUADRO BRANCO - PN:20585P</t>
  </si>
  <si>
    <t>KORES, CANETA MARCADORA VERMELHA PARA QUADRO BRANCO - PN:20587P</t>
  </si>
  <si>
    <t>KORES, COLA BASTÃO NEON 20GR (CORES SORTIDAS) - PN:16205P</t>
  </si>
  <si>
    <t>KORES, COLA BASTÃO PERMANENTE 10 GR - PN:12102P</t>
  </si>
  <si>
    <t>KORES, COLA BASTÃO PERMANENTE 10 GR KIT C/ 2 EM POLYBAG - PN:12721P</t>
  </si>
  <si>
    <t>KORES, COLA BASTÃO PERMANENTE 20 GR - PN:12202P</t>
  </si>
  <si>
    <t>KORES, COLA BASTÃO PERMANENTE 20 GR EM POLYBAG - PN:12712P</t>
  </si>
  <si>
    <t>KORES, COLA BASTÃO PERMANENTE 40 GR - PN:12402P</t>
  </si>
  <si>
    <t>KORES, COLA BASTÃO PERMANENTE 40 GR EM POLYBAG - PN:12714P</t>
  </si>
  <si>
    <t>KORES, COLA ROLLER PERMANENTE 10M - PN:38113</t>
  </si>
  <si>
    <t>KORES, FITA CORRETIVA "ROLL ON RED" 15M X 4,2 MM EM BLISTER - PN:84723P</t>
  </si>
  <si>
    <t>KORES, FITA CORRETIVA “2 WAY” 8M X 4,2 MM EM BLISTER - PN:84320P</t>
  </si>
  <si>
    <t>KORES, FITA CORRETIVA “FANCY SCOOTER” 8M X 4,2MM EM BLISTER - PN:84973P</t>
  </si>
  <si>
    <t>KORES, FITA CORRETIVA “SCOOTER” EXTRA LONGA 10M X 4,2 MM EM BLISTER - PN:84883P</t>
  </si>
  <si>
    <t>KORES, KIT COLA GLITTER COM 5 CORES EM BLISTER, 10,5 ml - PN:75000P</t>
  </si>
  <si>
    <t>KORES, LAPIS DE COR "DUO" 3MM C/ 12 LAPIS = 24 CORES + 1 APONTADOR - PN:93212PV</t>
  </si>
  <si>
    <t>KORES, LAPIS DE COR "DUO" 3MM C/ 24 LAPIS = 48 CORES + 1 APONTADOR - PN:93224PV</t>
  </si>
  <si>
    <t>KORES, LAPIS DE COR "NEON" 3MM C/ 6 CORES - PN:93606PV</t>
  </si>
  <si>
    <t>KORES, LAPIS DE COR 5MM C/ 12 CORES - MAIS GROSSO + 1 APONTADOR - PN:93512PV</t>
  </si>
  <si>
    <t>KORES, LAPIS DE COR 5MM C/ 6 CORES - MAIS GROSSO + 1 APONTADOR - PN:93506PV</t>
  </si>
  <si>
    <t>KORES, LAPIS DE COR AQUARELA 3MM C/ 12 CORES + 1 APONTADOR + 1 PINCEL - PN:93812PV</t>
  </si>
  <si>
    <t>KORES, LAPIS DE COR AQUARELA 3MM C/ 24 CORES + 1 APONTADOR + 1 PINCEL - PN:93824PV</t>
  </si>
  <si>
    <t>KORES, LAPIS DE COR TRIANGULAR 5MM BICOLOR VERMELHO - AZUL C/ 6 - MAIS GROSSO - PN:94152PV</t>
  </si>
  <si>
    <t>KORES, LAPIS DE COR TRIANGULAR, 3MM C/ 12 CORES + 1 APONTADOR - PN:93312PVM</t>
  </si>
  <si>
    <t>KORES, LAPIS DE COR TRIANGULAR, 3MM C/ 24 CORES + 1 APONTADOR - PN:93324PVM</t>
  </si>
  <si>
    <t>KORES, LAPIS DE COR TRIANGULAR, 3MM C/ 36 CORES + 1 APONTADOR - PN:93336PVM</t>
  </si>
  <si>
    <t>Lápis Grafite</t>
  </si>
  <si>
    <t>KORES, LAPIS GRAFITE PRETO 2=HB C/ 12 - PN:92311PV</t>
  </si>
  <si>
    <t>KORES, LAPIS GRAFITE TRIANGULAR "COACH" PRETO 3MM C/ 12 + 1 APONTADOR - PN:92531PV</t>
  </si>
  <si>
    <t>KORES, LAPIS TRIANGULAR "CHEQUEO" 3MM C/ 12 - PN:94112PV</t>
  </si>
  <si>
    <t>KORES, LAPIS TRIANGULAR ,3MM "LINHA ECONOMICA" 12 CORES</t>
  </si>
  <si>
    <t>KORES, LAPIS TRIANGULAR ,3MM "LINHA ECONOMICA" 24 CORES</t>
  </si>
  <si>
    <t>Kores, lápis triangular Twin vermelho-azul c/ 12 - PN:94179PV</t>
  </si>
  <si>
    <t>LAMINADORA COSMIC CL 125</t>
  </si>
  <si>
    <t>LAMINADORA JUPITER JL 125 12 1/2 IN</t>
  </si>
  <si>
    <t>LAMINADORA MARS ML 125 12-1/2IN</t>
  </si>
  <si>
    <t>LAMINADORA SATURN SL 125 12 1/2IN</t>
  </si>
  <si>
    <t>LAMINADORA VOYAGE 120V 13IN</t>
  </si>
  <si>
    <t>Combifile</t>
  </si>
  <si>
    <t>Em linha</t>
  </si>
  <si>
    <t>Leitz, Conjunto com 3 pastas A4 Combifile Expansível TR</t>
  </si>
  <si>
    <t>Leitz, Conjunto com 3 pastas A4 Combifile Organizadora</t>
  </si>
  <si>
    <t>Leitz, Conjunto com 3 pastas A4 Combifile Rígida TR</t>
  </si>
  <si>
    <t>Leitz, Conjunto com 5 pastas A4 Combifile TR</t>
  </si>
  <si>
    <t>Pasta Catálogo</t>
  </si>
  <si>
    <t>Leitz, Pasta Catálogo - 20 bolsas - Bebop</t>
  </si>
  <si>
    <t>Leitz, Pasta Catálogo - 20 bolsas - Prestige</t>
  </si>
  <si>
    <t>Leitz, Pasta Catálogo - 40 bolsas - Bebop</t>
  </si>
  <si>
    <t>Leitz, Pasta Catálogo - 40 bolsas - Prestige</t>
  </si>
  <si>
    <t>Leitz, Pasta com Elástico A4 Bebop</t>
  </si>
  <si>
    <t>Leitz, Pasta com Elástico A4 Prestige</t>
  </si>
  <si>
    <t>Pasta Box</t>
  </si>
  <si>
    <t>Leitz, Pasta com Elástico Larga Bebop</t>
  </si>
  <si>
    <t>Leitz, Pasta com Elástico Larga Prestige</t>
  </si>
  <si>
    <t>Pasta Congresso</t>
  </si>
  <si>
    <t>Leitz, Pasta Congresso</t>
  </si>
  <si>
    <t>Pasta Fichário</t>
  </si>
  <si>
    <t>Leitz, Pasta Fichário A4 Bebop</t>
  </si>
  <si>
    <t>Leitz, Pasta Fichário Flash &amp; Nature, A4 p/ 280 fls c/ Softclick</t>
  </si>
  <si>
    <t>LEITZ, PASTA FICHARIO FLASH&amp;NATURE, A4 P/ 280FLS- 60 FLS COM</t>
  </si>
  <si>
    <t>Fora de Linha</t>
  </si>
  <si>
    <t>Pasta Organizadora (A/Z)</t>
  </si>
  <si>
    <t>Leitz, Pasta Organizadora A4 Bebop LE</t>
  </si>
  <si>
    <t>Leitz, Pasta Organizadora A4 Bebop LL</t>
  </si>
  <si>
    <t>Leitz, Pasta Organizadora A4 Prestige LE</t>
  </si>
  <si>
    <t>Leitz, Pasta Organizadora A4 Prestige LL</t>
  </si>
  <si>
    <t>Pasta Sanfonada</t>
  </si>
  <si>
    <t>Leitz, Pasta Sanfonada Bebop</t>
  </si>
  <si>
    <t>Leitz, Pasta Sanfonada Prestige</t>
  </si>
  <si>
    <t>Microcolor</t>
  </si>
  <si>
    <t>Papel Fotográfico</t>
  </si>
  <si>
    <t>MP-0717-IJ PHOTO GLOSSY 170-SIHL-A4</t>
  </si>
  <si>
    <t>MP-0728-IJ QUICK DRY PHOTO GLOSSY 235-SIHL-455X310 MM</t>
  </si>
  <si>
    <t>MP-0728-IJ QUICK DRY PHOTO GLOSSY 235-SIHL-A4</t>
  </si>
  <si>
    <t>MP-0761-IJ QUICK DRY PHOTO GLOSSY 200-SIHL-455X310 MM</t>
  </si>
  <si>
    <t>MP-0761-IJ QUICK DRY PHOTO GLOSSY 200-SIHL-A4</t>
  </si>
  <si>
    <t>MP-0771-IJ QUICK DRY PHOTO PEARL 170-SIHL A4</t>
  </si>
  <si>
    <t>Vegetal - Schoeller</t>
  </si>
  <si>
    <t>60-65 g/m²</t>
  </si>
  <si>
    <t>A3 297 x 420 mm</t>
  </si>
  <si>
    <t>A4 210 x 297 mm</t>
  </si>
  <si>
    <t>90-95 g/m²</t>
  </si>
  <si>
    <t>LEGAL 216 x 355 mm</t>
  </si>
  <si>
    <t>110-115 g/m²</t>
  </si>
  <si>
    <t>660 x 960 mm</t>
  </si>
  <si>
    <t>180-190 g/m²</t>
  </si>
  <si>
    <t>Ofício 216 x 330 mm</t>
  </si>
  <si>
    <t>OLEO VEGETAL PARA FRAGMENTADORA EM FRASCO DE 20 ML</t>
  </si>
  <si>
    <t>OLEO VEGETAL PARA FRAGMENTADORA EM FRASCO DE 300ML</t>
  </si>
  <si>
    <t>Olfa</t>
  </si>
  <si>
    <t>Multiuso</t>
  </si>
  <si>
    <t>Rotativo</t>
  </si>
  <si>
    <t>Heavy Duty</t>
  </si>
  <si>
    <t>Segurança</t>
  </si>
  <si>
    <t>Especial</t>
  </si>
  <si>
    <t>Promocional</t>
  </si>
  <si>
    <t>OLFA, ESTILETE L5</t>
  </si>
  <si>
    <t>OLFA, ESTILETE L5-AL</t>
  </si>
  <si>
    <t>OLFA, ESTILETE MULTIUSO SVR-2</t>
  </si>
  <si>
    <t>OLFA, ESTILETE MULTIUSO XA-1</t>
  </si>
  <si>
    <t>OLFA, ESTILETE OLFA A-5/BB</t>
  </si>
  <si>
    <t>ESTILETE OLFA A-5/BB</t>
  </si>
  <si>
    <t>OLFA, ESTOJO DE LÂMINAS LWB-3B - KIT COM 3</t>
  </si>
  <si>
    <t>PAPEL FOTOGRAFICO INKJET MICROCOLOR (MP) 235G-A4-20 FOLHAS</t>
  </si>
  <si>
    <t>PAPEL FOTOGRAFICO INKJET MICROCOLOR (MP)235 G-10X15 -500 FOL</t>
  </si>
  <si>
    <t>PAPEL FOTOGRAFICO INKJET MICROCOLOR (MP)235 G-A4-500 FOLHAS</t>
  </si>
  <si>
    <t>PAPEL FOTOGRAFICO INKJET MICROCOLOR (MP)235G-10x15-20 FOLHAS</t>
  </si>
  <si>
    <t>PAPEL FOTOGRAFICO INKJET MICROCOLOR (QD)200 G- A4 - 500 FOLH</t>
  </si>
  <si>
    <t>PAPEL FOTOGRAFICO INKJET MICROCOLOR (QD)200G-10x15 -20 FOLHA</t>
  </si>
  <si>
    <t>PAPEL FOTOGRAFICO INKJET MICROCOLOR (QD)200G-10X15-500 FOLHA</t>
  </si>
  <si>
    <t>PAPEL FOTOGRAFICO INKJET MICROCOLOR (QD)200G-A4-10 FOLHAS</t>
  </si>
  <si>
    <t>PAPEL FOTOGRAFICO INKJET MICROCOLOR (QD)200G-A4-20 FOLHAS</t>
  </si>
  <si>
    <t>PAPEL FOTOGRAFICO INKJET MICROCOLOR (S) 170G-A4-10 FOLHAS</t>
  </si>
  <si>
    <t>PAPEL FOTOGRAFICO INKJET MICROCOLOR (S) 170G-A4-20 FOLHAS</t>
  </si>
  <si>
    <t>PAPEL FOTOGRAFICO INKJET MICROCOLOR(S) 170 G -A4-500 FOLHAS</t>
  </si>
  <si>
    <t>Vegetal - Microservice</t>
  </si>
  <si>
    <t>100</t>
  </si>
  <si>
    <t>PAPEL VEGETAL MICROPRINT 60/65 GR/M2 210mmx297mm C/100 FOLHA</t>
  </si>
  <si>
    <t>25</t>
  </si>
  <si>
    <t>PAPEL VEGETAL MICROPRINT 60/65 GR/M2 A4 210x297mm C/25 FOLHA</t>
  </si>
  <si>
    <t>50</t>
  </si>
  <si>
    <t>PAPEL VEGETAL MICROPRINT 60/65 GR/M2 A4 210x297mm C/50 FOLHA</t>
  </si>
  <si>
    <t>80-85 g/m²</t>
  </si>
  <si>
    <t>PAPEL VEGETAL MICROPRINT 80/85 GR/M2 A4 210x297mm C/100 FOLH</t>
  </si>
  <si>
    <t>PAPEL VEGETAL MICROPRINT 90/95 GR/M2 660x960mm C/ 100 FOLHAS</t>
  </si>
  <si>
    <t>PAPEL VEGETAL MICROPRINT 90/95 GR/M2 A3 297x420mm C/ 100 FOL</t>
  </si>
  <si>
    <t>PAPEL VEGETAL MICROPRINT 90/95 GR/M2 A4 210x297mm C/100 FOLH</t>
  </si>
  <si>
    <t>PAPEL VEGETAL MICROPRINT 90/95 GR/M2 LEGAL 216x355mm C/100 F</t>
  </si>
  <si>
    <t>100-105 g/m²</t>
  </si>
  <si>
    <t>PAPEL VEGETAL MICROSERVICE 60/65 GR/M2 A3 297x420mm C/50 FOLHAS</t>
  </si>
  <si>
    <t>Letter 216 x 280 mm</t>
  </si>
  <si>
    <t>50-55 g/m²</t>
  </si>
  <si>
    <t>1,02 m x 20 m</t>
  </si>
  <si>
    <t>1,10 x 20 m</t>
  </si>
  <si>
    <t>145-155 g/m²</t>
  </si>
  <si>
    <t>250</t>
  </si>
  <si>
    <t>70-75 g/m²</t>
  </si>
  <si>
    <t>PAPEL VEGETAL SCHOELLERSHAMMER 100/105GR/M2 1,10X20M</t>
  </si>
  <si>
    <t>PAPEL VEGETAL SCHOELLERSHAMMER 110/115 GR/M2 216X355MM</t>
  </si>
  <si>
    <t>PAPEL VEGETAL SCHOELLERSHAMMER 145/155GR/M2 1,10X20M</t>
  </si>
  <si>
    <t>PAPEL VEGETAL SCHOELLERSHAMMER 145/155GR/M2 210X297MM</t>
  </si>
  <si>
    <t>PAPEL VEGETAL SCHOELLERSHAMMER 216X355MM LASER V-01025</t>
  </si>
  <si>
    <t>PAPEL VEGETAL SCHOELLERSHAMMER 216X355MM LASER V-0825</t>
  </si>
  <si>
    <t>PAPEL VEGETAL SCHOELLERSHAMMER 50/55GR/M2 210X297MM</t>
  </si>
  <si>
    <t>PAPEL VEGETAL SCHOELLERSHAMMER 60/65GR/M2 210X297MM</t>
  </si>
  <si>
    <t>PAPEL VEGETAL SCHOELLERSHAMMER 60/65GR/M2 660X960MM</t>
  </si>
  <si>
    <t>PAPEL VEGETAL SCHOELLERSHAMMER 60/65GR/M2 660X960MM C/250FL</t>
  </si>
  <si>
    <t>PAPEL VEGETAL SCHOELLERSHAMMER 70/75GR/M2 1,10X20M</t>
  </si>
  <si>
    <t>PAPEL VEGETAL SCHOELLERSHAMMER 70/75GR/M2 660X960MM</t>
  </si>
  <si>
    <t>PAPEL VEGETAL SCHOELLERSHAMMER 70/75GR/M2 660X960MM C/250FL</t>
  </si>
  <si>
    <t>PAPEL VEGETAL SCHOELLERSHAMMER 90/95GR/M2 660X960MM C/250FL</t>
  </si>
  <si>
    <t>900 x 1250 mm</t>
  </si>
  <si>
    <t>PAPEL VEGETAL SCHOELLERSHAMMER 90/95GR/M2 900X1250MM</t>
  </si>
  <si>
    <t>Pasta para plastificação Fellowes 54X86MM - 125mic - 100pç</t>
  </si>
  <si>
    <t>Pasta para plastificação Fellowes 65X95MM - 125mic - 100pç</t>
  </si>
  <si>
    <t>Pasta para plastificação Fellowes 75X105MM - 125mic - 100pç</t>
  </si>
  <si>
    <t>Pasta para plastificação Fellowes 83X113MM - 125mic - 100pç</t>
  </si>
  <si>
    <t>Pasta para plastificação Fellowes A3 - 100mic - 100pç</t>
  </si>
  <si>
    <t>Pasta para plastificação Fellowes A3 - 125mic - 100pç</t>
  </si>
  <si>
    <t>Pasta para plastificação Fellowes A3 - 175mic - 100pç</t>
  </si>
  <si>
    <t>Pasta para plastificação Fellowes A4 - 100mic - 100pç</t>
  </si>
  <si>
    <t>Pasta para plastificação Fellowes A4 - 125mic - 100pç</t>
  </si>
  <si>
    <t>Pasta para plastificação Fellowes A4 - 125mic - 25pç</t>
  </si>
  <si>
    <t>Pasta para plastificação Fellowes A4 - 175mic - 100pç</t>
  </si>
  <si>
    <t>Pasta para plastificação Fellowes A4 - 250mic - 100pç</t>
  </si>
  <si>
    <t>Pasta para plastificação Fellowes A5 - 100mic - 100pç</t>
  </si>
  <si>
    <t>Pasta para plastificação Fellowes A5 - 125mic - 100pç</t>
  </si>
  <si>
    <t>Pasta para plastificação Fellowes A6 - 125mic - 100pç</t>
  </si>
  <si>
    <t>Pendaflex</t>
  </si>
  <si>
    <t>Pasta Suspensa</t>
  </si>
  <si>
    <t>Pasta Suspensa Pendaflex Essential - Legal Caixa com 25</t>
  </si>
  <si>
    <t>Pasta Suspensa Pendaflex Reforçada - Legal - Caixa com 25</t>
  </si>
  <si>
    <t>Pasta Suspensa Pendaflex Surehook - Legal - Caixa com 25</t>
  </si>
  <si>
    <t>Rock in Rio - Pen Drive</t>
  </si>
  <si>
    <t>PERFURADOR RAPID ALU 15</t>
  </si>
  <si>
    <t>PERFURADOR RAPID C-150</t>
  </si>
  <si>
    <t>PERFURADOR RAPID C-30</t>
  </si>
  <si>
    <t>PERFURADOR RAPID FMC25+</t>
  </si>
  <si>
    <t>PERFURADOR RAPID HDC 300</t>
  </si>
  <si>
    <t>PERFURADOR RAPID HDC65</t>
  </si>
  <si>
    <t>PISTOLA PARA COLA QUENTE RAPID CG 230</t>
  </si>
  <si>
    <t>Plastificadora Fellowes COSMIC A4</t>
  </si>
  <si>
    <t>Plastificadora Fellowes JUPITER A3</t>
  </si>
  <si>
    <t>Plastificadora Fellowes SATURN A4</t>
  </si>
  <si>
    <t>Plastificadora Fellowes VENUS A3</t>
  </si>
  <si>
    <t>Fone Headset</t>
  </si>
  <si>
    <t>PREGO RAPID 300/15 CAIXA COM 1000 UNIDADES</t>
  </si>
  <si>
    <t>PREGO RAPID 300/25 CAIXA COM 1000 UNIDADES</t>
  </si>
  <si>
    <t>Case BB</t>
  </si>
  <si>
    <t>iPhone 3/3S</t>
  </si>
  <si>
    <t>Rapid 1, Separador principal e bigorna  ( 12045101 )</t>
  </si>
  <si>
    <t>Rapid 1,Separador menor montado ( 120097)</t>
  </si>
  <si>
    <t>Rapid 1/43, Arruela  (120030)</t>
  </si>
  <si>
    <t>Rapid 1/43, Bigorna ( 120279 )</t>
  </si>
  <si>
    <t>Rapid 1/43, Magazine ( 120287 )</t>
  </si>
  <si>
    <t>Rapid 1/43, Mola ( 120311 )</t>
  </si>
  <si>
    <t>Rapid 1/43, Separador menor montado  ( 120378 )</t>
  </si>
  <si>
    <t>Rapid 1/43, Separador principal montado  ( 120527 )</t>
  </si>
  <si>
    <t>Rapid, 1,43, Parafuso ( 162370 )</t>
  </si>
  <si>
    <t>Rapid, 1,43, Pino ( 155572 )</t>
  </si>
  <si>
    <t>Rapid, 105, 106, Botao de plastico   (120964)</t>
  </si>
  <si>
    <t>Rapid, 105, 106, Magazine completo 66</t>
  </si>
  <si>
    <t>Rapid, 105, 106, Mola do pistao   (120907)</t>
  </si>
  <si>
    <t>Rapid, 105, 106, Pino   (120923)</t>
  </si>
  <si>
    <t>Rapid, 105, 106, Tampa superior 105</t>
  </si>
  <si>
    <t>Rapid, 105, 106, Trava</t>
  </si>
  <si>
    <t>Rapid, 105,106, Aba ( 177501 )</t>
  </si>
  <si>
    <t>Rapid, 105,106, Alavanca do protetor ( 177477 )</t>
  </si>
  <si>
    <t>Rapid, 105,106, Amortecedor ( 177782)</t>
  </si>
  <si>
    <t>Rapid, 105,106, Arruela  (128595)</t>
  </si>
  <si>
    <t>Rapid, 105,106, Barra direita   ( 178194 )</t>
  </si>
  <si>
    <t>Rapid, 105,106, Barra do espalhador ( longa ) ( 177980 )</t>
  </si>
  <si>
    <t>Rapid, 105,106, Barra do espalhador (curta )  ( 177915 )</t>
  </si>
  <si>
    <t>Rapid, 105,106, Barra esquerda   ( 178186 )</t>
  </si>
  <si>
    <t>Rapid, 105,106, Barramento direito  (128579)</t>
  </si>
  <si>
    <t>Rapid, 105,106, Barramento esquerdo  (128561)</t>
  </si>
  <si>
    <t>Rapid, 105,106, Base  ( 177907 )</t>
  </si>
  <si>
    <t>Rapid, 105,106, Base  ( 177923 )</t>
  </si>
  <si>
    <t>Rapid, 105,106, Bigorna ( 14672010 )</t>
  </si>
  <si>
    <t>Rapid, 105,106, Braço interruptor do protetor ( 177345 )</t>
  </si>
  <si>
    <t>Rapid, 105,106, Cabo de conexão branco ( 17858201)</t>
  </si>
  <si>
    <t>Rapid, 105,106, Cabo de conexão branco ( 17858203)</t>
  </si>
  <si>
    <t>Rapid, 105,106, Cabo de conexão verde ( 17858202)</t>
  </si>
  <si>
    <t>Rapid, 105,106, Caixa de controle 100-120V,60Hz  (17757602 )</t>
  </si>
  <si>
    <t>Rapid, 105,106, Caixa de controle 200-240V,50Hz  (17757601 )</t>
  </si>
  <si>
    <t>Rapid, 105,106, Chave fixa 8mm ( 178053 )</t>
  </si>
  <si>
    <t>Rapid, 105,106, Dispositivo para fixação  ( 177790)</t>
  </si>
  <si>
    <t>Rapid, 105,106, DUAX,HD170,Arruela ( 155218)</t>
  </si>
  <si>
    <t>Rapid, 105,106, Estrutura  ( 178103 )</t>
  </si>
  <si>
    <t>Rapid, 105,106, Fiação interna 100-125V  ( 17457402 )</t>
  </si>
  <si>
    <t>Rapid, 105,106, Fiação interna 200-240V   ( 17457401 )</t>
  </si>
  <si>
    <t>Rapid, 105,106, Frontal  ( 16441802 )</t>
  </si>
  <si>
    <t>Rapid, 105,106, Frontal  ( 16441803 )</t>
  </si>
  <si>
    <t>Rapid, 105,106, Frontal  ( 16441805 )</t>
  </si>
  <si>
    <t>Rapid, 105,106, Guia do papel    ( 178236 )</t>
  </si>
  <si>
    <t>Rapid, 105,106, Guia do pistão ( 177774)</t>
  </si>
  <si>
    <t>Rapid, 105,106, Interruptor principal 100-125V ( 162677 )</t>
  </si>
  <si>
    <t>Rapid, 105,106, Interruptor principal 200-240V ( 162644 )</t>
  </si>
  <si>
    <t>Rapid, 105,106, Magazine completo 66 ( 148932 )</t>
  </si>
  <si>
    <t>Rapid, 105,106, Medidor de papel  (128538)</t>
  </si>
  <si>
    <t>Rapid, 105,106, Mesa ( 146746 )</t>
  </si>
  <si>
    <t>Rapid, 105,106, Mesa 106   ( 178210 )</t>
  </si>
  <si>
    <t>Rapid, 105,106, Mola ( 146712 )</t>
  </si>
  <si>
    <t>Rapid, 105,106, Mola ( 177519 )</t>
  </si>
  <si>
    <t>Rapid, 105,106, Mola da Base  ( 177931 )</t>
  </si>
  <si>
    <t>Rapid, 105,106, Mola do botão  ( 177543 )</t>
  </si>
  <si>
    <t>Rapid, 105,106, Mola do protetor ( 177485 )</t>
  </si>
  <si>
    <t>Rapid, 105,106, Parafuso    ( 128397)</t>
  </si>
  <si>
    <t>Rapid, 105,106, Parafuso  ( 162032 )</t>
  </si>
  <si>
    <t>Rapid, 105,106, Parafuso ( 154211)</t>
  </si>
  <si>
    <t>Rapid, 105,106, Parafuso ( 16420 )</t>
  </si>
  <si>
    <t>Rapid, 105,106, Parafuso do botão de fixação ( 146381 )</t>
  </si>
  <si>
    <t>Rapid, 105,106, Pé   ( 178301 )</t>
  </si>
  <si>
    <t>Rapid, 105,106, Pé  ( 177808)</t>
  </si>
  <si>
    <t>Rapid, 105,106, Pé ( 178038 )</t>
  </si>
  <si>
    <t>Rapid, 105,106, Pé da mesa   ( 178319 )</t>
  </si>
  <si>
    <t>Rapid, 105,106, Pé, dispositivo para fixação ( 177832 )</t>
  </si>
  <si>
    <t>Rapid, 105,106, Pino ( 155648 )</t>
  </si>
  <si>
    <t>Rapid, 105,106, Pistão e Guia ( 16434301 )</t>
  </si>
  <si>
    <t>Rapid, 105,106, Porca   ( 178228 )</t>
  </si>
  <si>
    <t>Rapid, 105,106, Porca  ( 178129 )</t>
  </si>
  <si>
    <t>Rapid, 105,106, Porca ( 177493 )</t>
  </si>
  <si>
    <t>Rapid, 105,106, porca ( base )  ( 177899 )</t>
  </si>
  <si>
    <t>Rapid, 105,106, Porca do botão de fixação  ( 156273 )</t>
  </si>
  <si>
    <t>Rapid, 105,106, Protetor ( 177295 )</t>
  </si>
  <si>
    <t>Rapid, 105,106, Suporte e parafuso ( 178871)</t>
  </si>
  <si>
    <t>Rapid, 105,106, Tampa do terminal  ( 177527 )</t>
  </si>
  <si>
    <t>Rapid, 105,106, Tampa superior 105 ( 17786501 )</t>
  </si>
  <si>
    <t>Rapid, 105,106, Tampa superior 106 ( 17786502 )</t>
  </si>
  <si>
    <t>Rapid, 105,106, Trava  (128546)</t>
  </si>
  <si>
    <t>Rapid, 105,106, Trava ( 177824 )</t>
  </si>
  <si>
    <t>Rapid, 105,106, Trava do cabo  ( 177857 )</t>
  </si>
  <si>
    <t>Rapid, 105,106, Tubo de espaçamento  ( longa ) ( 178020 )</t>
  </si>
  <si>
    <t>Rapid, 105,106, Unidade de controle completa  115V 60Hz</t>
  </si>
  <si>
    <t>Rapid, 105,106, Unidade de controle completa 220V 50Hz</t>
  </si>
  <si>
    <t>Rapid, 105,106, Unidade Magnetica 100V,60Hz ( 17781604)</t>
  </si>
  <si>
    <t>Rapid, 105,106, Unidade Magnetica 220-230V,50Hz ( 17781601)</t>
  </si>
  <si>
    <t>Rapid, 105,106, Unidade Magnetica 240V,50Hz ( 17781603)</t>
  </si>
  <si>
    <t>Rapid, 105,106,Arruela de trava ( 155481 )</t>
  </si>
  <si>
    <t>Rapid, 105,106,Magazine completo 66R/6 ( 16448302 )</t>
  </si>
  <si>
    <t>Rapid, 156 , Cabo de plástico azul  ( 12459405 )</t>
  </si>
  <si>
    <t>Rapid, 156 Lâmina (Faca) (209235)</t>
  </si>
  <si>
    <t>Rapid, 156 Lâmina (Faca)</t>
  </si>
  <si>
    <t>Rapid, 156, Alimentador completo R153 (148205)</t>
  </si>
  <si>
    <t>Rapid, 156, Alimentador completo R153</t>
  </si>
  <si>
    <t>Rapid, 156, Frontal ( 209246 )</t>
  </si>
  <si>
    <t>Rapid, 156, Guia ( 209235 )</t>
  </si>
  <si>
    <t>Rapid, 156,Alimentador completo R153 ( 148205 )</t>
  </si>
  <si>
    <t>Rapid, 23 , 34,156, Alavanca de retençao   ( 124602 )</t>
  </si>
  <si>
    <t>Rapid, 23 , Cabo de plástico amarelo  ( 12459406 )</t>
  </si>
  <si>
    <t>Rapid, 23, Mola de retençao    ( 125955)</t>
  </si>
  <si>
    <t>Rapid, 23,156, Pino ( 155630 )</t>
  </si>
  <si>
    <t>Rapid, 23E, Alavanca de retenção ( 214264 )</t>
  </si>
  <si>
    <t>Rapid, 23E, Alça ergonomica  ( 212136)</t>
  </si>
  <si>
    <t>Rapid, 23E, Alça plastica  ( 21198801 )</t>
  </si>
  <si>
    <t>Rapid, 23E,34,156, Amortecedor R14,R28E ( 140640 )</t>
  </si>
  <si>
    <t>Rapid, 31,73, Eixo ( 125468)</t>
  </si>
  <si>
    <t>Rapid, 31,73, Mola de tensão longa  ( 125633)</t>
  </si>
  <si>
    <t>Rapid, 31,73, Separador pequeno ( 144808 )</t>
  </si>
  <si>
    <t>Rapid, 33,34, Alimentador Completo   ( 125922)</t>
  </si>
  <si>
    <t>Rapid, 34, Cabo de plastico preto  ( 12585601)</t>
  </si>
  <si>
    <t>Rapid, 34, Mola   ( 125948)</t>
  </si>
  <si>
    <t>Rapid, 34, Mola trava  ( 125690)</t>
  </si>
  <si>
    <t>Rapid, 34, Pino  ( 125773)</t>
  </si>
  <si>
    <t>Rapid, 34, Pino ( 155614 )</t>
  </si>
  <si>
    <t>Rapid, 34, Placa de top  ( 125815)</t>
  </si>
  <si>
    <t>Rapid, 34,Frontal  ( 12565811)</t>
  </si>
  <si>
    <t>Rapid, 5020E, Unidade de grampeamento completa ( 21542801)</t>
  </si>
  <si>
    <t>Rapid, 5050E,5080E, Parafuso ( 154000)</t>
  </si>
  <si>
    <t>Rapid, 5050E/5080E, Adaptador 240V ( 21045004 )</t>
  </si>
  <si>
    <t>Rapid, 5050E/5080E, Arruela ( 210069 )</t>
  </si>
  <si>
    <t>Rapid, 5050E/5080E, Arruela ( 210649 )</t>
  </si>
  <si>
    <t>Rapid, 5050E/5080E, Braço interruptor do visor ( 209277 )</t>
  </si>
  <si>
    <t>Rapid, 5050E/5080E, Carcaça inferior branca ( 212267 )</t>
  </si>
  <si>
    <t>Rapid, 5050E/5080E, Carcaça inferior preta  ( 212268 )</t>
  </si>
  <si>
    <t>Rapid, 5050E/5080E, Cobertura ( 209528 )</t>
  </si>
  <si>
    <t>Rapid, 5050E/5080E, Pad de amortecimento ( 209928 )</t>
  </si>
  <si>
    <t>Rapid, 5050E/5080E, Pad de selagem ( 209931 )</t>
  </si>
  <si>
    <t>Rapid, 5050E/5080E, Parafuso ( 210157 )</t>
  </si>
  <si>
    <t>Rapid, 5050E/5080E, Top deslizante ( 209236 )</t>
  </si>
  <si>
    <t>Rapid, 5080E Unidade de grampeamento 981 (11281396)</t>
  </si>
  <si>
    <t xml:space="preserve">Rapid, 90 Base </t>
  </si>
  <si>
    <t>Rapid, 90 Bigorna (142257)</t>
  </si>
  <si>
    <t xml:space="preserve">Rapid, 90 Lâmina (faca) </t>
  </si>
  <si>
    <t xml:space="preserve">Rapid, 90 Magazine </t>
  </si>
  <si>
    <t xml:space="preserve">Rapid, 90 Unidade de grampeamento </t>
  </si>
  <si>
    <t>Rapid, 90 Unidade de grampeamento 66/7 (141580), (14234901)</t>
  </si>
  <si>
    <t>Rapid, 90 Unidade elétrica 120V 50-60Hz (142240), (20942704)</t>
  </si>
  <si>
    <t>Rapid, 90, Alavanca de desbloqueio (141242)</t>
  </si>
  <si>
    <t>Rapid, 90, Amortecedor ( 141366)</t>
  </si>
  <si>
    <t>Rapid, 90, Bloqueio de grampos ( 141449)</t>
  </si>
  <si>
    <t>Rapid, 90, Botao de controle ( 14132501)</t>
  </si>
  <si>
    <t>Rapid, 90, Braço de grampeamento ( 141226)</t>
  </si>
  <si>
    <t>Rapid, 90, Carcaça branca   ( 209402 )</t>
  </si>
  <si>
    <t>Rapid, 90, Carcaça preta   ( 20940201 )</t>
  </si>
  <si>
    <t>Rapid, 90, Carcaça superior branca  (14128301)</t>
  </si>
  <si>
    <t>Rapid, 90, Carcaça superior preta  (14128304)</t>
  </si>
  <si>
    <t>Rapid, 90, Guia da lamina ( faca)  24/6,44/6 ( 141564)</t>
  </si>
  <si>
    <t>Rapid, 90, Mesa ( 14183801)</t>
  </si>
  <si>
    <t>Rapid, 90, Mola ( 141465)</t>
  </si>
  <si>
    <t>Rapid, 90, Mola ( 141887)</t>
  </si>
  <si>
    <t>Rapid, 90, Mola ( alojamento ) ( 209396 )</t>
  </si>
  <si>
    <t>Rapid, 90, Pad ( 14164801)</t>
  </si>
  <si>
    <t>Rapid, 90, Parafuso ( 167029 )</t>
  </si>
  <si>
    <t>Rapid, 90, Pé ( 141440)</t>
  </si>
  <si>
    <t>Rapid, 90, Pino ( 141481)</t>
  </si>
  <si>
    <t>Rapid, 90, Pino ( 141499)</t>
  </si>
  <si>
    <t>Rapid, 90, Pino ( 141507)</t>
  </si>
  <si>
    <t>Rapid, 90, Pistão ( 141200)</t>
  </si>
  <si>
    <t>Rapid, 90, Rolamento ( 141424)</t>
  </si>
  <si>
    <t>Rapid, 90, Trava de segurança  ( 209401 )</t>
  </si>
  <si>
    <t>Rapid, 90, Unidade de grampeamento 44/7 ( 14234902)</t>
  </si>
  <si>
    <t>Rapid, 90, Unidade elétrica 110V 50-60Hz ( 20942703)</t>
  </si>
  <si>
    <t>Rapid, 90, Unidade elétrica 230V 50-60Hz ( 20942701)</t>
  </si>
  <si>
    <t>Rapid, 90, Unidade elétrica 240V 50-60Hz ( 20942702)</t>
  </si>
  <si>
    <t>Rapid, 90,Terminal de conexão ( 210130 )</t>
  </si>
  <si>
    <t>Rapid, 90EC, Parafuso ( 121095 )</t>
  </si>
  <si>
    <t>Rapid, 90EC,Pino guia 24-44 (128496)</t>
  </si>
  <si>
    <t>Rapid, 90EC,Pino guia 26-66 (128504)</t>
  </si>
  <si>
    <t>RAPID, CASSETE DE GRAMPO 5020/5025E COM 1.500 GRAMPOS (KIT COM 2)</t>
  </si>
  <si>
    <t>RAPID, CASSETE DE GRAMPO 5025E COM 1.000 GRAMPOS</t>
  </si>
  <si>
    <t>RAPID, CASSETE DE GRAMPO 5050E COM 5.000 GRAMPOS</t>
  </si>
  <si>
    <t>RAPID, CASSETE DE GRAMPO 5080E COM 5.000 GRAMPOS</t>
  </si>
  <si>
    <t>RAPID, DISCO PARA PERFURADOR HDC150 - 10 UNIDADES</t>
  </si>
  <si>
    <t>Rapid, DUAX, Alça ( 175182 )</t>
  </si>
  <si>
    <t>Rapid, DUAX, Base   ( 216998 )</t>
  </si>
  <si>
    <t>Rapid, DUAX, Botao de liberação ( 217005)</t>
  </si>
  <si>
    <t>Rapid, DUAX, Botão de liberação ( 217009 )</t>
  </si>
  <si>
    <t>Rapid, DUAX, Braço ( 216991 )</t>
  </si>
  <si>
    <t>Rapid, DUAX, Cobertura direita  ( 217002 )</t>
  </si>
  <si>
    <t>Rapid, DUAX, Cobertura esquerda  ( 217004 )</t>
  </si>
  <si>
    <t>Rapid, DUAX, Cobertura metalica  ( 217003 )</t>
  </si>
  <si>
    <t>Rapid, DUAX, Eixo   ( 216994 )</t>
  </si>
  <si>
    <t>Rapid, DUAX, Eixo   ( 216995 )</t>
  </si>
  <si>
    <t>Rapid, DUAX, Eixo   ( 216997 )</t>
  </si>
  <si>
    <t>Rapid, DUAX, Eixo  ( 217001 )</t>
  </si>
  <si>
    <t>Rapid, DUAX, Eixo  ( 218466 )</t>
  </si>
  <si>
    <t>Rapid, DUAX, Espuma de borracha   ( 217000 )</t>
  </si>
  <si>
    <t>Rapid, DUAX, Frontal Plastico ( 217008)</t>
  </si>
  <si>
    <t>Rapid, DUAX, HD170, Garra trava ( 175083 )</t>
  </si>
  <si>
    <t>Rapid, DUAX, HD170, Guia do papel ( 175075 )</t>
  </si>
  <si>
    <t>Rapid, DUAX, HD170, HD49, Frontal  ( 175109 )</t>
  </si>
  <si>
    <t>Rapid, DUAX, HD170,HD49, Alimentador completo  ( 175695 )</t>
  </si>
  <si>
    <t>Rapid, DUAX, HD170,HD49, Guia  ( 175661 )</t>
  </si>
  <si>
    <t>Rapid, DUAX, HD170,HD49, Tampa completa  ( 175711 )</t>
  </si>
  <si>
    <t>Rapid, DUAX, HD170,HD9, Magazine completo  ( 175703 )</t>
  </si>
  <si>
    <t>Rapid, DUAX, HD170,Mola  ( 175570 )</t>
  </si>
  <si>
    <t>Rapid, DUAX, Lâmina (175661)</t>
  </si>
  <si>
    <t>Rapid, DUAX, Manilha  ( 216992 )</t>
  </si>
  <si>
    <t>Rapid, DUAX, Manivela  ( 218452 )</t>
  </si>
  <si>
    <t>Rapid, DUAX, Mola  ( 217010 )</t>
  </si>
  <si>
    <t>Rapid, DUAX, Mola  ( 217011 )</t>
  </si>
  <si>
    <t>Rapid, DUAX, Parafuso  ( 218262 )</t>
  </si>
  <si>
    <t>Rapid, DUAX, Parafuso ( 167016 )</t>
  </si>
  <si>
    <t>Rapid, DUAX, Parafuso ( 217007)</t>
  </si>
  <si>
    <t>Rapid, DUAX, Pé  ( 175547 )</t>
  </si>
  <si>
    <t>Rapid, DUAX, Placa   ( 216996 )</t>
  </si>
  <si>
    <t>Rapid, DUAX, Placa giratória ( 216990 )</t>
  </si>
  <si>
    <t>Rapid, DUAX, Suspensorios   ( 216993 )</t>
  </si>
  <si>
    <t>Rapid, DUAX, Tira da alça  ( 217006)</t>
  </si>
  <si>
    <t>Rapid, DUAX,HD170, Apoio da coroa de grampo ( 175232 )</t>
  </si>
  <si>
    <t>Rapid, DUAX,HD170, Mola  ( 175505 )</t>
  </si>
  <si>
    <t>Rapid, DUAX,HD170, Mola  ( 175513 )</t>
  </si>
  <si>
    <t>Rapid, DUAX,HD170, Mola  ( 175521 )</t>
  </si>
  <si>
    <t>Rapid, DUAX,HD170, pino ( 175455 )</t>
  </si>
  <si>
    <t>Rapid, DUAX,HD170, Polia ( 175463 )</t>
  </si>
  <si>
    <t>Rapid, DUAX,HD170, Trava do Eixo  ( 175471 )</t>
  </si>
  <si>
    <t>Rapid, DUAX,HD170,Arruela de trava ( 155408)</t>
  </si>
  <si>
    <t>Rapid, DUAX,HD170,HD49, Tampa ( 175364 )</t>
  </si>
  <si>
    <t>RAPID, FACA PARA PERFURADOR HDC150 - 2 UNIDADES</t>
  </si>
  <si>
    <t>RAPID, GRAMPEADOR ALICATE 51</t>
  </si>
  <si>
    <t>RAPID, GRAMPEADOR ALICATE ECO PLIER (26/6)</t>
  </si>
  <si>
    <t>RAPID, GRAMPEADOR ALICATE HD 31</t>
  </si>
  <si>
    <t>RAPID, GRAMPEADOR ALICATE K1 (24/6)</t>
  </si>
  <si>
    <t>RAPID, GRAMPEADOR ALICATE K1 (26/6-8)</t>
  </si>
  <si>
    <t>RAPID, GRAMPEADOR ALICATE K1 TEXTIL (43/6-8)</t>
  </si>
  <si>
    <t>RAPID, GRAMPEADOR ALICATE SOON PL (Nº10)</t>
  </si>
  <si>
    <t>RAPID, GRAMPEADOR ALICATE SOON PL (Nº26/6)</t>
  </si>
  <si>
    <t>RAPID, GRAMPEADOR DE MESA ALU 20</t>
  </si>
  <si>
    <t>RAPID, GRAMPEADOR DE MESA COBRA ICE (BLISTER) - PN:20414021</t>
  </si>
  <si>
    <t>RAPID, GRAMPEADOR DE MESA COBRA ICE (BLISTER) - PN:20414020</t>
  </si>
  <si>
    <t>RAPID, GRAMPEADOR DE MESA COBRA ICE (BLISTER) - PN:20414022</t>
  </si>
  <si>
    <t>RAPID, GRAMPEADOR DE MESA COBRA ICE (BLISTER) - PN:20414023</t>
  </si>
  <si>
    <t>RAPID, GRAMPEADOR DE MESA E12</t>
  </si>
  <si>
    <t>RAPID, GRAMPEADOR DE MESA E26</t>
  </si>
  <si>
    <t>RAPID, GRAMPEADOR DE MESA E360</t>
  </si>
  <si>
    <t>RAPID, GRAMPEADOR DE MESA ECO FULL STRIP (24-26/6)</t>
  </si>
  <si>
    <t>RAPID, GRAMPEADOR DE MESA ECO HALF STRIP (24-26/6)</t>
  </si>
  <si>
    <t>RAPID, GRAMPEADOR DE MESA ECO MINI (24-26/6)</t>
  </si>
  <si>
    <t>RAPID, GRAMPEADOR DE MESA F30</t>
  </si>
  <si>
    <t>Rapid, Grampeador de mesa FM-12</t>
  </si>
  <si>
    <t>RAPID, GRAMPEADOR DE MESA FREEZE</t>
  </si>
  <si>
    <t>RAPID, GRAMPEADOR DE MESA FSM</t>
  </si>
  <si>
    <t>RAPID, GRAMPEADOR DE MESA FSP</t>
  </si>
  <si>
    <t>RAPID, GRAMPEADOR DE MESA HSP</t>
  </si>
  <si>
    <t>RAPID, GRAMPEADOR DE MESA S17</t>
  </si>
  <si>
    <t>RAPID, GRAMPEADOR DE MESA S30</t>
  </si>
  <si>
    <t>RAPID, GRAMPEADOR DE MESA SOON ST</t>
  </si>
  <si>
    <t>RAPID, GRAMPEADOR DE MESA STAND UP ICE (DISPLAY COM 12 GRAMPEADORES)</t>
  </si>
  <si>
    <t>RAPID, GRAMPEADOR DE MESA ULTIMATE</t>
  </si>
  <si>
    <t>RAPID, GRAMPEADOR DE MESA X-RAY F16 (DISPLAY COM 15 GRAMPEADORES)</t>
  </si>
  <si>
    <t>RAPID, GRAMPEADOR DE MESA X-RAY F16</t>
  </si>
  <si>
    <t>RAPID, GRAMPEADOR DE MESA X-RAY</t>
  </si>
  <si>
    <t>RAPID, GRAMPEADOR ELETRICO 100E</t>
  </si>
  <si>
    <t>RAPID, GRAMPEADOR ELETRICO 101E</t>
  </si>
  <si>
    <t>RAPID, GRAMPEADOR ELETRICO 105E</t>
  </si>
  <si>
    <t>RAPID, GRAMPEADOR ELETRICO 106E</t>
  </si>
  <si>
    <t>RAPID, GRAMPEADOR ELETRICO 12 CE</t>
  </si>
  <si>
    <t>RAPID, GRAMPEADOR ELETRICO 20E</t>
  </si>
  <si>
    <t>RAPID, GRAMPEADOR ELETRICO 20EX</t>
  </si>
  <si>
    <t>RAPID, GRAMPEADOR ELETRICO 5025E</t>
  </si>
  <si>
    <t>RAPID, GRAMPEADOR ELETRICO 5050E</t>
  </si>
  <si>
    <t>RAPID, GRAMPEADOR ELETRICO 5080E</t>
  </si>
  <si>
    <t>Rapid, Grampeador Eletrico 5080E</t>
  </si>
  <si>
    <t>RAPID, GRAMPEADOR ELETRICO 90E</t>
  </si>
  <si>
    <t>RAPID, GRAMPEADOR HD 110</t>
  </si>
  <si>
    <t>RAPID, GRAMPEADOR HD 49</t>
  </si>
  <si>
    <t>RAPID, GRAMPEADOR HD 70</t>
  </si>
  <si>
    <t>RAPID, GRAMPEADOR HD 9</t>
  </si>
  <si>
    <t>RAPID, GRAMPEADOR HD DUAX</t>
  </si>
  <si>
    <t>RAPID, GRAMPEADOR MARTELO R11</t>
  </si>
  <si>
    <t>RAPID, GRAMPEADOR MARTELO R19</t>
  </si>
  <si>
    <t>RAPID, GRAMPEADOR PISTOLA ECO TACKER</t>
  </si>
  <si>
    <t>RAPID, GRAMPEADOR PISTOLA M10Y - FUN TO FIX</t>
  </si>
  <si>
    <t>RAPID, GRAMPEADOR PISTOLA R156</t>
  </si>
  <si>
    <t>RAPID, GRAMPEADOR PISTOLA R23</t>
  </si>
  <si>
    <t>RAPID, GRAMPEADOR PISTOLA R28</t>
  </si>
  <si>
    <t>RAPID, GRAMPEADOR PISTOLA R30</t>
  </si>
  <si>
    <t>RAPID, GRAMPEADOR PISTOLA R33</t>
  </si>
  <si>
    <t>RAPID, GRAMPEADOR PISTOLA R34</t>
  </si>
  <si>
    <t>RAPID, GRAMPEADOR PISTOLA R36</t>
  </si>
  <si>
    <t>RAPID, GRAMPEADOR PISTOLA R83</t>
  </si>
  <si>
    <t>RAPID, GRAMPEAODR DE MESA E14</t>
  </si>
  <si>
    <t>RAPID, GRAMPEAODR DE MESA E15</t>
  </si>
  <si>
    <t>RAPID, GRAMPEAODR DE MESA FM22</t>
  </si>
  <si>
    <t>RAPID, GRAMPEAODR DE MESA K45</t>
  </si>
  <si>
    <t>RAPID, GRAMPO 106/6</t>
  </si>
  <si>
    <t>RAPID, GRAMPO 11/10 COM 5.000 GRAMPOS</t>
  </si>
  <si>
    <t>RAPID, GRAMPO 11/6 COM 5.000 GRAMPOS</t>
  </si>
  <si>
    <t>RAPID, GRAMPO 11/8 COM 5.000 GRMAPOS</t>
  </si>
  <si>
    <t>RAPID, GRAMPO 13/10 GALVANIZADO COM 2.500 GRAMPOS</t>
  </si>
  <si>
    <t>RAPID, GRAMPO 13/10 GALVANIZADO COM 5.000 GRAMPOS</t>
  </si>
  <si>
    <t>RAPID, GRAMPO 13/14 GALVANIZADO COM 2.500 GRAMPOS</t>
  </si>
  <si>
    <t xml:space="preserve">RAPID, GRAMPO 13/14 GALVANIZADO COM 5.000 GRAMPOS </t>
  </si>
  <si>
    <t>RAPID, GRAMPO 140/10 COM 2.000 GRAMPOS</t>
  </si>
  <si>
    <t>RAPID, GRAMPO 140/14 COM 2.000 GRAMPOS</t>
  </si>
  <si>
    <t>RAPID, GRAMPO 19/6 COM 5.000 GRAMPOS</t>
  </si>
  <si>
    <t>RAPID, GRAMPO 19/8 COM 5.000 GRAMPOS</t>
  </si>
  <si>
    <t>RAPID, GRAMPO 23/10 COM 1.000 GRAMPOS</t>
  </si>
  <si>
    <t>RAPID, GRAMPO 23/15 COM 1.000 GRAMPOS</t>
  </si>
  <si>
    <t>RAPID, GRAMPO 23/8 COM 1.000 GRAMPOS</t>
  </si>
  <si>
    <t>RAPID, GRAMPO 24/6 COM 5.000 GRAMPOS</t>
  </si>
  <si>
    <t>RAPID, GRAMPO 26/6 - 20 CAIXAS COM 1.000 GRAMPOS CADA</t>
  </si>
  <si>
    <t>RAPID, GRAMPO 26/6 COM 5.000 GRAMPOS</t>
  </si>
  <si>
    <t>RAPID, GRAMPO 28/10 COM 5.000 GRAMPOS</t>
  </si>
  <si>
    <t>RAPID, GRAMPO 28/8 COM 5.000 GRAMPOS</t>
  </si>
  <si>
    <t>RAPID, GRAMPO 36/10 COM 5.000 GRAMPOS</t>
  </si>
  <si>
    <t>RAPID, GRAMPO 36/14 COM 5.000 GRAMPOS</t>
  </si>
  <si>
    <t>RAPID, GRAMPO 43/8 TEXTIL COM 10.000 GRAMPOS</t>
  </si>
  <si>
    <t>RAPID, GRAMPO 606/18 COM 4.000 GRAMPOS</t>
  </si>
  <si>
    <t>RAPID, GRAMPO 606/25 COM 4.000 GRAMPOS</t>
  </si>
  <si>
    <t>RAPID, GRAMPO 66/6 COM 5.000 GRAMPOS</t>
  </si>
  <si>
    <t>RAPID, GRAMPO 66/6R COM 5.000 GRMAPOS</t>
  </si>
  <si>
    <t>RAPID, GRAMPO 66/8 COM 5.000 GRAMPOS</t>
  </si>
  <si>
    <t>RAPID, GRAMPO 9/12 COM 1.000 GRAMPOS</t>
  </si>
  <si>
    <t>RAPID, GRAMPO 9/20 COM 1.000 GRAMPOS</t>
  </si>
  <si>
    <t>RAPID, GRAMPO C75 COM 6.000 GRMAPOS</t>
  </si>
  <si>
    <t>RAPID, GRAMPO DUAX COM 1.000 GRAMPOS</t>
  </si>
  <si>
    <t>RAPID, GRAMPO Nº10 SOON COM 2.000 GRAMPOS</t>
  </si>
  <si>
    <t>Rapid, HD170, Arruela  ( 175224 )</t>
  </si>
  <si>
    <t>Rapid, HD9, Carcaça Branca  ( 12223405 )</t>
  </si>
  <si>
    <t>Rapid, HD9, Carcaça Preta  ( 12223406 )</t>
  </si>
  <si>
    <t>RAPID, PERFURADOR DE MESA SOON HP12</t>
  </si>
  <si>
    <t>RAPID, PERFURADOR ECO HP20</t>
  </si>
  <si>
    <t>RAPID, PERFURADOR FMC10</t>
  </si>
  <si>
    <t>RAPID, PERFURADOR FMC20</t>
  </si>
  <si>
    <t>RAPID, PERFURADOR FMC40</t>
  </si>
  <si>
    <t>RAPID, PERFURADOR HDC150</t>
  </si>
  <si>
    <t>RAPID, PERFURADOR HP20</t>
  </si>
  <si>
    <t>RAPID, PERFURADOR HP30</t>
  </si>
  <si>
    <t>RAPID, PERFURADOR HP40</t>
  </si>
  <si>
    <t>RAPID, PERFURADOR SP30</t>
  </si>
  <si>
    <t>RAPID, PREGO 300/16 - COM 880 PREGOS</t>
  </si>
  <si>
    <t>Rapid, R23E, 156, Mola  ( 124545 )</t>
  </si>
  <si>
    <t>Rapid, R23E, 156,Placa de top  ( 124511 )</t>
  </si>
  <si>
    <t>Rapid, R23E, 34,156 , Rolo  ( 124552 )</t>
  </si>
  <si>
    <t>Rapid, R23E, Frontal  ( 12443820 )</t>
  </si>
  <si>
    <t>Rapid,105,106, Conjunto de fixação ( 16705301 )</t>
  </si>
  <si>
    <t>Rapid,105,106, Parafuso  ( 167163 )</t>
  </si>
  <si>
    <t>Rapid,105,106, Parafuso  ( 167197 )</t>
  </si>
  <si>
    <t>Rapid,105,106, Parafuso ( 167044)</t>
  </si>
  <si>
    <t>Rapid,105,106, Plugue  ( 168823 )</t>
  </si>
  <si>
    <t>Rapid,105,106, Porca  ( 168724 )</t>
  </si>
  <si>
    <t>Rapid,105,106,R5020, Parafuso ( 167033)</t>
  </si>
  <si>
    <t>Rapid,5020E, Botao do laser ( 233584 )</t>
  </si>
  <si>
    <t>Rapid,5020E, Cobertura esquerda superior ( 233094 )</t>
  </si>
  <si>
    <t>Rapid,5020E, Cobertura esquerda superior completa (23377010)</t>
  </si>
  <si>
    <t>Rapid,5020E, Indicador laser ( 232916 )</t>
  </si>
  <si>
    <t>Rapid,5020E, Suporte do  laser ( 233087 )</t>
  </si>
  <si>
    <t>Rapid,5020E,Cobertura direita ( 232908 )</t>
  </si>
  <si>
    <t>Rapid,5020E,Mola Plastica ( 232911 )</t>
  </si>
  <si>
    <t>Rapid,5050E/5080E, Alavanca de controle  ( 207584 )</t>
  </si>
  <si>
    <t>Rapid,5050E/5080E, Base  ( 207562 )</t>
  </si>
  <si>
    <t>Rapid,5050E/5080E, Bloco de amortecimento   ( 207566 )</t>
  </si>
  <si>
    <t>Rapid,5050E/5080E, Bloqueio   ( 207573 )</t>
  </si>
  <si>
    <t>Rapid,5050E/5080E, Bucha elastica  ( 207578 )</t>
  </si>
  <si>
    <t>Rapid,5050E/5080E, Carcaça superior branca  ( 20582201 )</t>
  </si>
  <si>
    <t>Rapid,5050E/5080E, Carcaça superior branca  ( 20776101 )</t>
  </si>
  <si>
    <t>Rapid,5050E/5080E, Carcaça superior preta  ( 20582202 )</t>
  </si>
  <si>
    <t>Rapid,5050E/5080E, Carcaça superior preta  ( 20776102 )</t>
  </si>
  <si>
    <t>Rapid,5050E/5080E, Deslizante   ( 207572 )</t>
  </si>
  <si>
    <t>Rapid,5050E/5080E, Espaçador   ( 207567 )</t>
  </si>
  <si>
    <t>Rapid,5050E/5080E, Gatilho   ( 207574 )</t>
  </si>
  <si>
    <t>Rapid,5050E/5080E, Guia de luz   ( 207568 )</t>
  </si>
  <si>
    <t>Rapid,5050E/5080E, Mola  ( 207565 )</t>
  </si>
  <si>
    <t>Rapid,5050E/5080E, Mola de controle ( 207639 )</t>
  </si>
  <si>
    <t>Rapid,5050E/5080E, Mola de suspensão   ( 207576 )</t>
  </si>
  <si>
    <t>Rapid,5050E/5080E, Mola do visor ( 207644 )</t>
  </si>
  <si>
    <t>Rapid,5050E/5080E, Pé ( 207585 )</t>
  </si>
  <si>
    <t>Rapid,5050E/5080E, Pino deslizante  ( 207583 )</t>
  </si>
  <si>
    <t>Rapid,5050E/5080E, Placa de montagem   ( 207575 )</t>
  </si>
  <si>
    <t>Rapid,5050E/5080E, Ponte do gatilho  ( 207580 )</t>
  </si>
  <si>
    <t>Rapid,5050E/5080E, Tira de selagem ( 182220 )</t>
  </si>
  <si>
    <t>Rapid,5050E/5080E, Unidade de controle   ( 207564 )</t>
  </si>
  <si>
    <t>Rapid,90, Parafuso ( 167046)</t>
  </si>
  <si>
    <t>Rapid,90, Parafuso ( 167050)</t>
  </si>
  <si>
    <t>Rapid,HDC150, Cobertura da base ( 248218 )</t>
  </si>
  <si>
    <t>Rapid,HDC150, Cobertura frontal e traseira com parafuso</t>
  </si>
  <si>
    <t>Rapid,HDC150, Compartimento confete ( 248225)</t>
  </si>
  <si>
    <t>Rapid,HDC150, Garra plástica com parafuso ( 248221 )</t>
  </si>
  <si>
    <t>Rapid,HDC150, Manipulador completo com garra ( 248222 )</t>
  </si>
  <si>
    <t>Rapid,HDC150, Pé de borracha ( 248226 )</t>
  </si>
  <si>
    <t>Rapid,HDC150, sistema de ligação ( Link ) ( 248223)</t>
  </si>
  <si>
    <t>Rapid,HDC150, Suportes para cortadores ( 248220 )</t>
  </si>
  <si>
    <t>Rapid,HDC150, Tampa do compartimento ( 248219 )</t>
  </si>
  <si>
    <t>Refiladora Fellowes ATOM A3</t>
  </si>
  <si>
    <t>Refiladora Fellowes ATOM A4</t>
  </si>
  <si>
    <t>Refiladora Fellowes ELECTRON A3</t>
  </si>
  <si>
    <t>Refiladora Fellowes ELECTRON A4</t>
  </si>
  <si>
    <t>Refiladora Fellowes NEUTRINO A5</t>
  </si>
  <si>
    <t>Refiladora Fellowes NEUTRON A4/12</t>
  </si>
  <si>
    <t>Refiladora Fellowes NEUTRON PLUS A4</t>
  </si>
  <si>
    <t>Rexel</t>
  </si>
  <si>
    <t>Rexcel, GRAMPEADOR DE MESA REXEL MATADOR</t>
  </si>
  <si>
    <t>REXEL, GRAMPEADOR DE MESA REXEL METEOR</t>
  </si>
  <si>
    <t>Tarifold</t>
  </si>
  <si>
    <t>T-DISPLAY</t>
  </si>
  <si>
    <t>TARIFOLD T-DISPLAY, EXTENÇÃO PARA SUPORTE DE MESA OFFICE + 10 PASTAS A4</t>
  </si>
  <si>
    <t>TARIFOLD T-DISPLAY, INFOSTAND, BASE PEDESTAL</t>
  </si>
  <si>
    <t>TARIFOLD T-DISPLAY, PASTA A3 FOLD UP, COM PINO, RETRATO - KIT COM 5</t>
  </si>
  <si>
    <t>TARIFOLD T-DISPLAY, PASTA A3, COM PINO, PAISAGEM - KIT COM 10</t>
  </si>
  <si>
    <t>TARIFOLD T-DISPLAY, PASTA A3, COM PINO, RETRATO - KIT COM 10</t>
  </si>
  <si>
    <t>TARIFOLD T-DISPLAY, PASTA A4 ANTI-MICROBIAIS, COM PINO - KIT COM 10</t>
  </si>
  <si>
    <t>TARIFOLD T-DISPLAY, PASTA A4 CANDY LINE, COM PINO, SORTIDAS, RETRATO - KIT COM 40</t>
  </si>
  <si>
    <t>TARIFOLD T-DISPLAY, PASTA A4 DE INOX, COM PINO, ABERTURA LATERAL, RETRATO - KIT COM 10</t>
  </si>
  <si>
    <t>TARIFOLD T-DISPLAY, PASTA A4 FOLD UP, COM PINO, RETRATO - KIT COM 5</t>
  </si>
  <si>
    <t>TARIFOLD T-DISPLAY, PASTA A4 FOLDFIVE, COM PINO, RETRATO - KIT COM 5</t>
  </si>
  <si>
    <t>TARIFOLD T-DISPLAY, PASTA A4 OFFICE</t>
  </si>
  <si>
    <t>TARIFOLD T-DISPLAY, PASTA A4, COM PINO, PAISAGEM - KIT COM 10</t>
  </si>
  <si>
    <t>TARIFOLD T-DISPLAY, PASTA A4, COM PINO, RETRATO - KIT COM 10</t>
  </si>
  <si>
    <t>TARIFOLD T-DISPLAY, PASTA A5, COM PINO, RETRATO - KIT COM 10</t>
  </si>
  <si>
    <t>TARIFOLD T-DISPLAY, PIVORACK, SUPORTE PARA ESTANTERIA</t>
  </si>
  <si>
    <t>TARIFOLD T-DISPLAY, PLUG - KIT COM 4 - PN:200000</t>
  </si>
  <si>
    <t>TARIFOLD T-DISPLAY, SUPORTE DE MESA INDUSTRIAL A3 (30) PARA 10 PASTAS</t>
  </si>
  <si>
    <t>TARIFOLD T-DISPLAY, SUPORTE DE MESA INDUSTRIAL A3 (30) PARA 30 PASTAS</t>
  </si>
  <si>
    <t>TARIFOLD T-DISPLAY, SUPORTE DE MESA INDUSTRIAL A4 (30) + 10 PASTAS ANTI-MICROBIAIS</t>
  </si>
  <si>
    <t>TARIFOLD T-DISPLAY, SUPORTE DE MESA INDUSTRIAL A4 (30) PARA 10 PASTAS</t>
  </si>
  <si>
    <t>TARIFOLD T-DISPLAY, SUPORTE DE MESA INDUSTRIAL A4 (30) PARA 20 PASTAS</t>
  </si>
  <si>
    <t>TARIFOLD T-DISPLAY, SUPORTE DE MESA INDUSTRIAL A4 (30) PARA 30 PASTAS</t>
  </si>
  <si>
    <t>TARIFOLD T-DISPLAY, SUPORTE DE MESA INDUSTRIAL A4 (60) PARA 40 PASTAS</t>
  </si>
  <si>
    <t>TARIFOLD T-DISPLAY, SUPORTE DE MESA INDUSTRIAL A4 (60) PARA 50 PASTAS</t>
  </si>
  <si>
    <t>TARIFOLD T-DISPLAY, SUPORTE DE MESA INDUSTRIAL A4 (60) PARA 60 PASTAS</t>
  </si>
  <si>
    <t>TARIFOLD T-DISPLAY, SUPORTE DE MESA INDUSTRIAL A5 (30) PARA 10 PASTAS</t>
  </si>
  <si>
    <t>TARIFOLD T-DISPLAY, SUPORTE DE MESA INDUSTRIAL A5 (30) PARA 20 PASTAS</t>
  </si>
  <si>
    <t>TARIFOLD T-DISPLAY, SUPORTE DE MESA INDUSTRIAL A5 (30) PARA 30 PASTAS</t>
  </si>
  <si>
    <t>TARIFOLD T-DISPLAY, SUPORTE DE MESA INDUSTRIAL A5 (60) PARA 50 PASTAS</t>
  </si>
  <si>
    <t>TARIFOLD T-DISPLAY, SUPORTE DE MESA INDUSTRIAL A5 (60) PARA 60 PASTAS</t>
  </si>
  <si>
    <t>TARIFOLD T-DISPLAY, SUPORTE DE MESA MINISTAND, A5, COM 10 PASTAS</t>
  </si>
  <si>
    <t>TARIFOLD T-DISPLAY, SUPORTE DE MESA OFFICE A4 + 10 PASTAS</t>
  </si>
  <si>
    <t>TARIFOLD T-DISPLAY, SUPORTE DE MESA ORBITAL A4 + 10 PASTAS</t>
  </si>
  <si>
    <t>TARIFOLD T-DISPLAY, SUPORTE DE MESA ORBITAL A4 + 10 PASTAS A4</t>
  </si>
  <si>
    <t>TARIFOLD T-DISPLAY, SUPORTE DE MESA ROTARIVO A4 PARA ATÉ 50 PASTAS</t>
  </si>
  <si>
    <t>TARIFOLD T-DISPLAY, SUPORTE DE MESA ROTARIVO A4 PARA ATÉ 50 PASTAS + 40 PASTAS</t>
  </si>
  <si>
    <t>Tarifold T-Display, Suporte de Mesa Veo com 10 pasta</t>
  </si>
  <si>
    <t>TARIFOLD T-DISPLAY, SUPORTE DE PAREDE INDUSTRIAL A3 PARA 10 PASTAS</t>
  </si>
  <si>
    <t>TARIFOLD T-DISPLAY, SUPORTE DE PAREDE INDUSTRIAL A4 + 10 PASTAS ANTI-MICROBIAIS</t>
  </si>
  <si>
    <t>TARIFOLD T-DISPLAY, SUPORTE DE PAREDE INDUSTRIAL A4 + 10 PASTAS</t>
  </si>
  <si>
    <t>TARIFOLD T-DISPLAY, SUPORTE DE PAREDE INDUSTRIAL A4 EM AÇO INOX + 10 PASTAS DRY</t>
  </si>
  <si>
    <t>TARIFOLD T-DISPLAY, SUPORTE DE PAREDE INDUSTRIAL A4 EM AÇO INOX + 10 PASTAS, ABERTURA LATERAL</t>
  </si>
  <si>
    <t>TARIFOLD T-DISPLAY, SUPORTE DE PAREDE INDUSTRIAL A4 EM AÇO INOX PARA 10 PASTAS</t>
  </si>
  <si>
    <t>TARIFOLD T-DISPLAY, SUPORTE DE PAREDE INDUSTRIAL A4 PARA 10 PASTAS</t>
  </si>
  <si>
    <t>Tarifold T-View, Moldura Display 120 x 45 mm com adesivo permanente - kit com 4</t>
  </si>
  <si>
    <t>Tarifold T-View, Moldura Display 80 x 45 mm com adesivo permanente - kit com 4</t>
  </si>
  <si>
    <t>Tarifold T-View, Moldura Display A4 com adesivo permanente</t>
  </si>
  <si>
    <t>Tarifold T-View, Moldura Display A5 com adesivo permanente</t>
  </si>
  <si>
    <t>Tarifold T-View, Moldura Display A6 com adesivo permanente</t>
  </si>
  <si>
    <t>Tarifold T-View, Moldura Display Magnética 120 x 45 mm - kit com 4</t>
  </si>
  <si>
    <t>Tarifold T-View, Moldura Display Magnética 80 x 45 mm - kit com 4</t>
  </si>
  <si>
    <t>Tarifold T-View, Moldura Display Magnética A4</t>
  </si>
  <si>
    <t>Tarifold T-View, Moldura Display Magnética A5</t>
  </si>
  <si>
    <t>Tarifold T-View, Moldura Display Magnética A6</t>
  </si>
  <si>
    <t>TARIFOLD T-VIEW, PASTA 32 X 24 CM DE CIRCULAÇÃO, ANTIMICROBIAL, PAISAGEM - KIT COM 5</t>
  </si>
  <si>
    <t>TARIFOLD T-VIEW, PASTA A4 COM ARGOLA, PAISAGEM - KIT COM 5</t>
  </si>
  <si>
    <t>TARIFOLD T-VIEW, PASTA A4 DISTRIBUIDORA (10MM), PAISAGEM - KIT COM 5</t>
  </si>
  <si>
    <t>TARIFOLD T-VIEW, PASTA A4 DISTRIBUIDORA (10MM), RETRATO - KIT COM 5</t>
  </si>
  <si>
    <t>TARIFOLD T-VIEW, PASTA A4 DRYPOCKET, COM ARGORA, RETRATO - KIT COM 5 - PN:154063</t>
  </si>
  <si>
    <t>TARIFOLD T-VIEW, PASTA A4 KANG COM ADESIVO REPOSICIONAVEL - KIT COM 5</t>
  </si>
  <si>
    <t>TARIFOLD T-VIEW, PASTA A4 PORTA CATALOGO EM V, - KIT COM 5</t>
  </si>
  <si>
    <t>TARIFOLD T-VIEW, PASTA A4 PORTA FOLHAS COM ARGOLA, + CANETA - KIT COM 5</t>
  </si>
  <si>
    <t>TARIFOLD T-VIEW, PASTA A4 PORTA FOLHAS MAGNÉTICA, + CANETA - KIT COM 5</t>
  </si>
  <si>
    <t>TARIFOLD T-VIEW, PASTA A4 STANDARD COM ARGOLA, RETRATO - KIT COM 5</t>
  </si>
  <si>
    <t>TARIFOLD T-VIEW, PASTA A4 STICKY FOLD, ADESIVA - KIT COM 5</t>
  </si>
  <si>
    <t>TARIFOLD T-VIEW, PASTA A4, MAGNETICA, PRETA - KIT COM 5</t>
  </si>
  <si>
    <t>Telesteps</t>
  </si>
  <si>
    <t>Acessórios</t>
  </si>
  <si>
    <t>Telesteps, Bandeja de apoio para Escada - PN:9180-101</t>
  </si>
  <si>
    <t>Telesteps, Bolsa de transporte p/ escada de 3,3 m - PN:9129-101</t>
  </si>
  <si>
    <t>Com Plataforma</t>
  </si>
  <si>
    <t>Telesteps, Escada de alumínio com plataforma - PN:61209-101</t>
  </si>
  <si>
    <t>Dupla</t>
  </si>
  <si>
    <t>Telesteps, Escada de alumínio dupla-Combi-2,3mts - PN:60623-101</t>
  </si>
  <si>
    <t>Inclinável</t>
  </si>
  <si>
    <t>Telesteps, Escada de alumínio Inclinável Telescópica 3,0 mts - PN:60130-301</t>
  </si>
  <si>
    <t>Telesteps, Escada de alumínio Inclinável Telescópica- 3,3 mts - PN: 60233-101</t>
  </si>
  <si>
    <t>Telesteps, Escada de alumínio Inclinável Telescópica 3,8 mts - PN:60238-101</t>
  </si>
  <si>
    <t>Telesteps, Fixadores de chão para escada - PN:9142-101</t>
  </si>
  <si>
    <t>Telesteps, Pés de segurança ajustáveis p/ escada - PN:9170-401</t>
  </si>
  <si>
    <t>Telesteps, Suporte de Alumínio para Escada - PN:9160-301</t>
  </si>
  <si>
    <t>Traxx</t>
  </si>
  <si>
    <t>Almofada de Carimbo</t>
  </si>
  <si>
    <t>Carimbo</t>
  </si>
  <si>
    <t>Wire-o para encadernação Fellowes 10mm A4 - 3:1 - 100pç</t>
  </si>
  <si>
    <t>Wire-o para encadernação Fellowes 12mm A4 - 3:1 - 100pç</t>
  </si>
  <si>
    <t>Wire-o para encadernação Fellowes 14mm A4 - 3:1 - 100pç</t>
  </si>
  <si>
    <t>Wire-o para encadernação Fellowes 6mm A4 - 3:1 - 100pç</t>
  </si>
  <si>
    <t>Wire-o para encadernação Fellowes 8mm A4 - 3:1 - 100pç</t>
  </si>
  <si>
    <t>Galaxy SIII</t>
  </si>
  <si>
    <t>Youts, Capa para Smartphone Galaxy SIII - CBR, Bonfim - EC</t>
  </si>
  <si>
    <t>Youts, Capa para Smartphone Galaxy SIII - CBR, Olé - EC</t>
  </si>
  <si>
    <t>Youts, Capa para Smartphone Galaxy SIII - CBR, Pura Ginga - EC</t>
  </si>
  <si>
    <t>Youts, Capa para Smartphone Galaxy SIII - CBR, Redonda - EC</t>
  </si>
  <si>
    <t>Youts, Capa para Smartphone Galaxy SIII - CBR, Renda-se - EC</t>
  </si>
  <si>
    <t>Youts, Capa para Smartphone Galaxy SIII - FT Azulejo Imperial - EC</t>
  </si>
  <si>
    <t>Youts, Capa para Smartphone Galaxy SIII - FT Baby Pink - EC</t>
  </si>
  <si>
    <t>Youts, Capa para Smartphone Galaxy SIII - FT Cobra Corada - EC</t>
  </si>
  <si>
    <t>Youts, Capa para Smartphone Galaxy SIII - FT Fresh Mint - EC</t>
  </si>
  <si>
    <t>Youts, Capa para Smartphone Galaxy SIII - FT Mandala Paraíso- EC</t>
  </si>
  <si>
    <t>Youts, Capa para Smartphone Galaxy SIII - FT Margaretas - EC</t>
  </si>
  <si>
    <t>Youts, Capa para Smartphone Galaxy SIII - FT Romantic Lilac - EC</t>
  </si>
  <si>
    <t>Youts, Capa para Smartphone Galaxy SIII - FT Sunset Coral - EC</t>
  </si>
  <si>
    <t>Youts, Capa para Smartphone Galaxy SIII - FT Tender Blue - EC</t>
  </si>
  <si>
    <t>Youts, Capa para Smartphone Galaxy SIII - FT Tropical Lemon - EC</t>
  </si>
  <si>
    <t>Youts, Capa para Smartphone Galaxy SIII - FT Zebrita - EC</t>
  </si>
  <si>
    <t>Youts, Capa para Smartphone iPhone 4/4S - CBR, Alô Comunidade- EC</t>
  </si>
  <si>
    <t>Youts, Capa para Smartphone iPhone 4/4S - CBR, Arara Brasil - EC</t>
  </si>
  <si>
    <t>Youts, Capa para Smartphone iPhone 4/4S - CBR, Bonfim - EC</t>
  </si>
  <si>
    <t>Youts, Capa para Smartphone iPhone 4/4S - CBR, Fuchic - EC</t>
  </si>
  <si>
    <t>Youts, Capa para Smartphone iPhone 4/4S - CBR, Olé - EC</t>
  </si>
  <si>
    <t>Youts, Capa para Smartphone iPhone 4/4S - CBR, Pé na areia - EC</t>
  </si>
  <si>
    <t>Youts, Capa para Smartphone iPhone 4/4S - CBR, Pop Brasil - EC</t>
  </si>
  <si>
    <t>Youts, Capa para Smartphone iPhone 4/4S - CBR, Pura Ginga - EC</t>
  </si>
  <si>
    <t>Youts, Capa para Smartphone iPhone 4/4S - CBR, Redonda - EC</t>
  </si>
  <si>
    <t>Youts, Capa para Smartphone iPhone 4/4S - CBR, Renda-se - EC</t>
  </si>
  <si>
    <t>Youts, Capa para Smartphone iPhone 4/4S - CBR, Rio Maravilha - EC</t>
  </si>
  <si>
    <t>Youts, Capa para Smartphone iPhone 4/4S - CBR, Sampa - EC</t>
  </si>
  <si>
    <t>Youts, Capa para Smartphone iPhone 4/4S - FT Azulejo Imperial - EC</t>
  </si>
  <si>
    <t>Youts, Capa para Smartphone iPhone 4/4S - FT Baby Pink - EC</t>
  </si>
  <si>
    <t>Youts, Capa para Smartphone iPhone 4/4S - FT Cathedrali - EC</t>
  </si>
  <si>
    <t>Youts, Capa para Smartphone iPhone 4/4S - FT Cobra Corada - EC</t>
  </si>
  <si>
    <t>Youts, Capa para Smartphone iPhone 4/4S - FT Fresh Mint - EC</t>
  </si>
  <si>
    <t>Youts, Capa para Smartphone iPhone 4/4S - FT Mandala Paraíso - EC</t>
  </si>
  <si>
    <t>Youts, Capa para Smartphone iPhone 4/4S - FT Margaretas - EC</t>
  </si>
  <si>
    <t>Youts, Capa para Smartphone iPhone 4/4S - FT Onça Braba - EC</t>
  </si>
  <si>
    <t>Youts, Capa para Smartphone iPhone 4/4S - FT Romantic Lilac - EC</t>
  </si>
  <si>
    <t>Youts, Capa para Smartphone iPhone 4/4S - FT Safari - EC</t>
  </si>
  <si>
    <t>Youts, Capa para Smartphone iPhone 4/4S - FT Sunset Coral - EC</t>
  </si>
  <si>
    <t>Youts, Capa para Smartphone iPhone 4/4S - FT Tender Blue - EC</t>
  </si>
  <si>
    <t>Youts, Capa para Smartphone iPhone 4/4S - FT Tropical Lemon - EC</t>
  </si>
  <si>
    <t>Youts, Capa para Smartphone iPhone 4/4S - FT Zebrita - EC</t>
  </si>
  <si>
    <t>iPhone 5/5S</t>
  </si>
  <si>
    <t>Youts, Capa para Smartphone iPhone 5/5S - FT Baby Pink - EC</t>
  </si>
  <si>
    <t>Youts, Capa para Smartphone iPhone 5/5S - FT Fresh Mint - EC</t>
  </si>
  <si>
    <t>Youts, Capa para Smartphone iPhone 5/5S - FT Romantic Lilac - EC</t>
  </si>
  <si>
    <t>Youts, Capa para Smartphone iPhone 5/5S - FT Sunset Coral - EC</t>
  </si>
  <si>
    <t>Youts, Capa para Smartphone iPhone 5/5S - FT Tender Blue - EC</t>
  </si>
  <si>
    <t>Youts, Capa para Smartphone iPhone 5/5S - FT Tropical Lemon - EC</t>
  </si>
  <si>
    <t>Galaxy S4</t>
  </si>
  <si>
    <t>Fone de Ouvido - Headphone</t>
  </si>
  <si>
    <t>Carregador</t>
  </si>
  <si>
    <t>Prev.Chegada: 03/2016</t>
  </si>
  <si>
    <t>Prev.Chegada:4/2016</t>
  </si>
  <si>
    <t>Quantidade</t>
  </si>
  <si>
    <t>Data do Status</t>
  </si>
  <si>
    <t>Previsão de Embarque</t>
  </si>
  <si>
    <t>Previsão de Chegada</t>
  </si>
  <si>
    <t>Inicio do Pedido</t>
  </si>
  <si>
    <t>Nº da Importação</t>
  </si>
  <si>
    <t>FELLOWES,225CI,CONJUTO DE CORTE ( 207338 )</t>
  </si>
  <si>
    <t>OK</t>
  </si>
  <si>
    <t>MP-PAPEL VEGETAL SCHOELLER, A4 210 x 297 mm, 92-95 g/m²</t>
  </si>
  <si>
    <t>MP-PAPEL VEGETAL SCHOELLER 92/95 GR LEGAL (216X355MM)FOLHAS</t>
  </si>
  <si>
    <t>MP-PAPEL VEGETAL SCHOELLER 62/65GR- A4 (210X297 MM )FOLHAS</t>
  </si>
  <si>
    <t>DISPLAY OLFA DE CHAO - MODELO DR-1 (MED:70X40X173 CM)</t>
  </si>
  <si>
    <t>DISPLAY OLFA DE BALCAO-MODELO DR-8(MED:64X37X111 CM)</t>
  </si>
  <si>
    <t>6 Ultimos Meses</t>
  </si>
  <si>
    <t>Abril</t>
  </si>
  <si>
    <t>Proj. de V. No prox. mes</t>
  </si>
  <si>
    <t>FELLOWES,225I,ENGRENAGEM MP 3o.ESTAGIO  (207355)</t>
  </si>
  <si>
    <t>FELLOWES,79 CI, MOTOR 230V ,MFD 130128  OU ANTES</t>
  </si>
  <si>
    <t>FELLOWES,79 CI, MOTOR 230V ,MFD 130911  OU DEPOIS</t>
  </si>
  <si>
    <t>FELLOWES,79 CI, PCI PRINCIPAL 230V ,MFD 130128  OU ANTES</t>
  </si>
  <si>
    <t>FELLOWES,79 CI, PCI PRINCIPAL 230V ,MFD 130911  OU DEPOIS</t>
  </si>
  <si>
    <t>Fellowes, 75Cs, Engrenagem M de Sincronismo-eixo curto MFD 1</t>
  </si>
  <si>
    <t>Fellowes, 225i, 225Ci, PCI Principal 230V (207969)</t>
  </si>
  <si>
    <t>Fellowes, 225Ci,  PCI Ctl/LED 100V,230V (207974)</t>
  </si>
  <si>
    <t>Fellowes, 225i,  PCI Ctl/LED 120V,230V (207975)</t>
  </si>
  <si>
    <t>Fellowes, 225i,  Sensor do cesto 120V,230V ( 207976)</t>
  </si>
  <si>
    <t>Fellowes, 225i, 225Ci,Chave de intertravamento 100V,120V,230</t>
  </si>
  <si>
    <t>Data de Aprovação</t>
  </si>
  <si>
    <t>Japão</t>
  </si>
  <si>
    <t>Storage Mídia - A Granel</t>
  </si>
  <si>
    <t>BD-R YOUTS 4X25GB - A GRANEL</t>
  </si>
  <si>
    <t>CD-R 700 MB 52X YOUTS STANDARD</t>
  </si>
  <si>
    <t>CD-R 700 MB 52 X YOUTS AZUL</t>
  </si>
  <si>
    <t>CD-R 700 MB 52 X YOUTS AMARELO</t>
  </si>
  <si>
    <t>CD-R 700 MB 52 X YOUTS VERDE</t>
  </si>
  <si>
    <t>CD-R 700 MB 52X YOUTS LARANJA</t>
  </si>
  <si>
    <t>CD-R 700 MB 52 X YOUTS ROSA</t>
  </si>
  <si>
    <t>DVD-R 4,7 GB 8 X YOUTS Amarelo</t>
  </si>
  <si>
    <t>DVD-R 4,7 GB 8 X YOUTS VERDE</t>
  </si>
  <si>
    <t xml:space="preserve">DVD-R 4,7 GB 8 X YOUTS LARANJA  </t>
  </si>
  <si>
    <t>DVD-R 4,7 GB 8 X YOUTS ROSA</t>
  </si>
  <si>
    <t>DVD-R 4,7 GB 8 X YOUTS AZUL ED ROCK IN RIO</t>
  </si>
  <si>
    <t>DVD-R 4,7 GB 8 X YOUTS ROSA  ED ROCK IN RIO</t>
  </si>
  <si>
    <t>DVD-R 4,7 GB 8 X YOUTS LARANJA  ED ROCK IN RIO</t>
  </si>
  <si>
    <t>DVD-R 4,7 GB 8 X YOUTS VERDE  ED ROCK IN RIO</t>
  </si>
  <si>
    <t>CD-R 700 MB 52X YOUTS AZUL ED ROCK IN RIO</t>
  </si>
  <si>
    <t>DVD-R 4,7 GB 8 X YOUTS AMARELO  ED ROCK IN RIO</t>
  </si>
  <si>
    <t>CD-R 700 MB 52X YOUTS LARANJA ED ROCK IN RIO</t>
  </si>
  <si>
    <t>CD-R 700 MB 52X YOUTS VERDE ED ROCK IN RIO</t>
  </si>
  <si>
    <t>CD-R 700 MB 52X YOUTS AMARELO ED ROCK IN RIO</t>
  </si>
  <si>
    <t>Não entrou em linha</t>
  </si>
  <si>
    <t>Tesoura</t>
  </si>
  <si>
    <t>DISPLAY OLFA DE CHAO - MODELO DR-3(MED:45X40X148 CM)</t>
  </si>
  <si>
    <t>Aprovado</t>
  </si>
  <si>
    <t>GRAMPOS RAPID 73/10 CAIXA C/5000 UNIDADES</t>
  </si>
  <si>
    <t>FELLOWES,225I,225CI, ENGRENAGEM MP 1o./2o.ESTAGIO(207751)</t>
  </si>
  <si>
    <t>Próximo Mês:</t>
  </si>
  <si>
    <t>PAPEL VEGETAL MICROPRINT, 660 x 960 mm, 100-105 g/m², 100 Fl</t>
  </si>
  <si>
    <t>PAPEL VEGETAL MICROPRINT, A3 297 x 420 mm, 60-65 g/m², 100 F</t>
  </si>
  <si>
    <t>PAPEL VEGETAL SCHOELLER LASER V-0825, Ofício 216 x 330 mm,</t>
  </si>
  <si>
    <t>PAPEL VEGETAL SCHOELLER LASER V-01025, Ofício 216 x 330 mm,</t>
  </si>
  <si>
    <t>Youts,Capa para Smartphone iPhone 5/5S-FT Mandala Paraíso-EC</t>
  </si>
  <si>
    <t>Youts,Capa para Smartphone Galaxy SIII-FT Mandala Paraíso-EC</t>
  </si>
  <si>
    <t>Youts,Capa para Smartphone iPhone 5/5S-CBR-Olé-EC</t>
  </si>
  <si>
    <t>Youts,Capa para Smartphone iPhone 5/5S-CBR-Alô Comunidade-EC</t>
  </si>
  <si>
    <t>Youts,Capa para Smartphone Galaxy SIII-CBR-Alô Comunidade-EC</t>
  </si>
  <si>
    <t>Youts, Capa para Smartphone Galaxy SIII-CBR, Pé na areia- EC</t>
  </si>
  <si>
    <t>Youts, Capa para Smartphone iPhone 4/4S-CBR,Pé na areia-EC</t>
  </si>
  <si>
    <t>Youts, Capa para Smartphone iPhone 5/5S-CBR,Pé na areia-EC</t>
  </si>
  <si>
    <t>Rapid, 105 Cabo ótico 700 mm  (17774102)</t>
  </si>
  <si>
    <t>Rapid, 105 Placa Eletrônica</t>
  </si>
  <si>
    <t>Rapid, 90 Unidade elétrica 120V 50-60Hz  (142240), (20942704</t>
  </si>
  <si>
    <t>Rapid, 65 Unidade elétrica</t>
  </si>
  <si>
    <t>Rapid, 90 Lâmina (faca)  (141168)</t>
  </si>
  <si>
    <t>Rapid, 49 Lâmina (faca)</t>
  </si>
  <si>
    <t>Rapid, 49 Botão de relaxe</t>
  </si>
  <si>
    <t>Rapid, HD9, Parafuso do pistão  (162412)</t>
  </si>
  <si>
    <t>Rapid, 90 Placa Eletrônica</t>
  </si>
  <si>
    <t>Rapid, 105, 106 Pistão com lamina faca (12105301)</t>
  </si>
  <si>
    <t>Rapid, 156 Lâmina (faca)  (209235)</t>
  </si>
  <si>
    <t>Rapid, 105, 106, Mola do pistão  (120907)</t>
  </si>
  <si>
    <t>FELLOWES,225CI,ENGRENAGEM M 3o.ESTÁGIO ( 207357 )</t>
  </si>
  <si>
    <t>FELLOWES,225CI,MOTOR 120V,MFD 130712 OU DEPOIS ( 207978 )</t>
  </si>
  <si>
    <t>FELLOWES,225CI,MOTOR 230V  ( 207364 )</t>
  </si>
  <si>
    <t>FELLOWES,225CI, PCI Ctl/LED 120V/230V  ( 207326 )</t>
  </si>
  <si>
    <t>FELLOWES,225CI, PCI PRINCIPAL 120V  ( 207393 )</t>
  </si>
  <si>
    <t>FELLOWES,225CI,PCI PRINCIPAL 230V,MFD 130807 OU ANTES</t>
  </si>
  <si>
    <t>FELLOWES,225I, MOTOR 120V  (207315)</t>
  </si>
  <si>
    <t>FELLOWES,225I, MOTOR 230V  (207365)</t>
  </si>
  <si>
    <t>FELLOWES,225I, PCI Ctl/LED 120V/230V  (207327)</t>
  </si>
  <si>
    <t>FELLOWES,79 CI, MOTOR 120V ,MFD 130128  OU ANTES</t>
  </si>
  <si>
    <t>FELLOWES,79 CI, MOTOR 120V ,MFD 130911  OU DEPOIS</t>
  </si>
  <si>
    <t>FELLOWES,79 CI, PCI PRINCIPAL 120V ,MFD 130128  OU ANTES</t>
  </si>
  <si>
    <t>FELLOWES,79 CI, PCI PRINCIPAL 120V ,MFD 130911  OU DEPOIS</t>
  </si>
  <si>
    <t>Fellowes, 70S, Engrenagem M de Sincronismo-eixo longo (20789</t>
  </si>
  <si>
    <t>Fellowes,70S,Engrenagem M de Sincronismo-eixo curto(207898)</t>
  </si>
  <si>
    <t>Fellowes, 75Cs, Engrenagem MP 1o. Estágio MFD 130528 ou ante</t>
  </si>
  <si>
    <t>Fellowes, 75Cs, Engrenagem MP 2o. estágio MFD 130528 ou ante</t>
  </si>
  <si>
    <t>Fellowes, 75Cs, Engrenagem MP 3o. estágio MFD 130528 ou ante</t>
  </si>
  <si>
    <t>Fellowes, 75Cs, Engrenagem M de Sincronismo-eixo longo MFD 1</t>
  </si>
  <si>
    <t>Fellowes, 75Cs, Proteção da caixa de engrenagens MFD 130528</t>
  </si>
  <si>
    <t>FELLOWES ,73CI , TACOMETRO  ( 207643 )</t>
  </si>
  <si>
    <t>Fellowes, 225i, 225Ci, Engrenagem M de sincronismo das facas</t>
  </si>
  <si>
    <t>Fellowes, 225i, 225Ci, Engrenagem MP 3o.estagio(207762)</t>
  </si>
  <si>
    <t>ENCADERNADORA FELLOWES PULSAR - GARRAS PLÁSTICAS A4 - MANUAL</t>
  </si>
  <si>
    <t>ENCADERNADORA FELLOWES QUASAR - GARRAS PLÁSTICAS - MANUAL  -</t>
  </si>
  <si>
    <t>ENCADERNADORA FELLOWES GALAXY - WIRE-O - MANUAL  - PN:562240</t>
  </si>
  <si>
    <t>ENCADERNADORA FELLOWES STAR  - GARRAS PLÁSTICAS A4 - MANUAL </t>
  </si>
  <si>
    <t>GUILHOTINA FELLOWES STELLAR A4  - PN:5438001</t>
  </si>
  <si>
    <t>CARTUCHO DE LÂMINAS DE REPOSIÇÃO FELLOWES SAFECUT 3 ESTILOS </t>
  </si>
  <si>
    <t>CARTUCHO DE LAMINAS DE REPOSIÇÃO FELLOWES SAFECUT RETA  - CO</t>
  </si>
  <si>
    <t>CAPA A3 DE PVC TRANSPARENTE FELLOWES PARA ENCADERNAÇÃO - 200</t>
  </si>
  <si>
    <t>CAPA A4 DE PVC AMARELO FELLOWES PARA ENCADERNAÇÃO - 200 MICR</t>
  </si>
  <si>
    <t>CAPA A4 DE PVC AZUL FELLOWES PARA ENCADERNAÇÃO - 200 MICRONS</t>
  </si>
  <si>
    <t>CAPA A4 DE PVC VERMELHO FELLOWES PARA ENCADERNAÇÃO - 200 MIC</t>
  </si>
  <si>
    <t>CAPA A4 DE PVC VERDE FELLOWES PARA ENCADERNAÇÃO - 200 MICRON</t>
  </si>
  <si>
    <t>CAPA A4 DE PVC FUME FELLOWES PARA ENCADERNAÇÃO - 200 MICRONS</t>
  </si>
  <si>
    <t>GARRA DE ENCADERNAÇÃO FELLOWES A4 BRANCA 6MM - 100PÇ - PN:53</t>
  </si>
  <si>
    <t>GARRA DE ENCADERNAÇÃO FELLOWES A4 PRETA 6MM - 100PÇ - PN:534</t>
  </si>
  <si>
    <t>GARRA DE ENCADERNAÇÃO FELLOWES A4 BRANCA 8MM - 100PÇ - PN:53</t>
  </si>
  <si>
    <t>GARRA DE ENCADERNAÇÃO FELLOWES A4 PRETA 8MM - 100PÇ - PN:534</t>
  </si>
  <si>
    <t>GARRA DE ENCADERNAÇÃO FELLOWES A4 BRANCA 10MM - 100PÇ - PN:5</t>
  </si>
  <si>
    <t>GARRA DE ENCADERNAÇÃO FELLOWES A4 PRETA 10MM - 100PÇ - PN:53</t>
  </si>
  <si>
    <t>GARRA DE ENCADERNAÇÃO FELLOWES A4 BRANCA 12MM - 100PÇ - PN:5</t>
  </si>
  <si>
    <t>GARRA DE ENCADERNAÇÃO FELLOWES A4 PRETA 12MM - 100PÇ - PN:53</t>
  </si>
  <si>
    <t>GARRA DE ENCADERNAÇÃO FELLOWES A4 BRANCA 14MM - 100PÇ - PN:5</t>
  </si>
  <si>
    <t>GARRA DE ENCADERNAÇÃO FELLOWES A4 PRETA 14MM - 100PÇ - PN:53</t>
  </si>
  <si>
    <t>GARRA DE ENCADERNAÇÃO FELLOWES A4 BRANCA 16MM - 100PÇ - PN:5</t>
  </si>
  <si>
    <t>GARRA DE ENCADERNAÇÃO FELLOWES A4 PRETA 16MM - 100PÇ - PN:53</t>
  </si>
  <si>
    <t>GARRA DE ENCADERNAÇÃO FELLOWES A4 BRANCA 19MM - 100PÇ - PN:5</t>
  </si>
  <si>
    <t>GARRA DE ENCADERNAÇÃO FELLOWES A4 PRETA 19MM - 100PÇ - PN:53</t>
  </si>
  <si>
    <t>GARRA DE ENCADERNAÇÃO FELLOWES A4 BRANCA 22MM - 50PÇ - PN:53</t>
  </si>
  <si>
    <t>GARRA DE ENCADERNAÇÃO FELLOWES A4 PRETA 22MM - 50PÇ - PN:534</t>
  </si>
  <si>
    <t>GARRA DE ENCADERNAÇÃO FELLOWES A4 BRANCA 25MM - 50PÇ - PN:53</t>
  </si>
  <si>
    <t>GARRA DE ENCADERNAÇÃO FELLOWES A4 PRETA 25MM - 50PÇ - PN:534</t>
  </si>
  <si>
    <t>GARRA DE ENCADERNAÇÃO FELLOWES A4 PRETA 28MM - 50PÇ - PN:534</t>
  </si>
  <si>
    <t>GARRA DE ENCADERNAÇÃO OVALADA FELLOWES A4 PRETA 32MM - 50PÇ</t>
  </si>
  <si>
    <t>GARRA DE ENCADERNAÇÃO OVALADA FELLOWES A4 PRETA 38MM - 50PÇ</t>
  </si>
  <si>
    <t>GARRA DE ENCADERNAÇÃO OVALADA FELLOWES A4 PRETA 45MM - 50PÇ</t>
  </si>
  <si>
    <t>GARRA DE ENCADERNAÇÃO OVALADA FELLOWES A4 PRETA 51MM - 50PÇ</t>
  </si>
  <si>
    <t>PASTA PARA PLASTIFICAÇÃO FELLOWES 54X86MM - 125MIC - 100PÇ </t>
  </si>
  <si>
    <t>PASTA PARA PLASTIFICAÇÃO FELLOWES 65X95MM - 125MIC - 100PÇ -</t>
  </si>
  <si>
    <t>PASTA PARA PLASTIFICAÇÃO FELLOWES 75X105MM - 125MIC - 100PÇ </t>
  </si>
  <si>
    <t>PASTA PARA PLASTIFICAÇÃO FELLOWES 83X113MM - 125MIC - 100PÇ </t>
  </si>
  <si>
    <t>PASTA PARA PLASTIFICAÇÃO FELLOWES A6 - 125MIC - 100PÇ  - PN:</t>
  </si>
  <si>
    <t>PASTA PARA PLASTIFICAÇÃO FELLOWES A5 - 125MIC - 100PÇ  - PN:</t>
  </si>
  <si>
    <t>PASTA PARA PLASTIFICAÇÃO FELLOWES A4 125MIC 100PÇ</t>
  </si>
  <si>
    <t>PASTA PARA PLASTIFICAÇÃO FELLOWES A3 - 125MIC - 100PÇ  - PN:</t>
  </si>
  <si>
    <t>PASTA PARA PLASTIFICAÇÃO FELLOWES A4 - 175MIC - 100PÇ  - PN:</t>
  </si>
  <si>
    <t>PASTA PARA PLASTIFICAÇÃO FELLOWES A3 - 175MIC - 100PÇ  - PN:</t>
  </si>
  <si>
    <t>PASTA PARA PLASTIFICAÇÃO FELLOWES A5 - 100MIC - 100PÇ  - PN:</t>
  </si>
  <si>
    <t>PASTA PARA PLASTIFICAÇÃO FELLOWES A4 - 100MIC - 100PÇ  - PN:</t>
  </si>
  <si>
    <t>PASTA PARA PLASTIFICAÇÃO FELLOWES A3 - 100MIC - 100PÇ  - PN:</t>
  </si>
  <si>
    <t>PASTA PARA PLASTIFICAÇÃO FELLOWES A4 125MIC 25PÇ</t>
  </si>
  <si>
    <t>PASTA PARA PLASTIFICAÇÃO FELLOWES A4 - 250MIC - 100PÇ  - PN:</t>
  </si>
  <si>
    <t>WIRE-O PARA ENCADERNAÇÃO FELLOWES 6MM BRANCO A4 - 3:1 - 100P</t>
  </si>
  <si>
    <t>WIRE-O PARA ENCADERNAÇÃO FELLOWES 6MM PRETO A4 - 3:1 - 100PÇ</t>
  </si>
  <si>
    <t>WIRE-O PARA ENCADERNAÇÃO FELLOWES 8MM BRANCO A4 - 3:1 - 100P</t>
  </si>
  <si>
    <t>WIRE-O PARA ENCADERNAÇÃO FELLOWES 8MM PRETO A4 - 3:1 - 100PÇ</t>
  </si>
  <si>
    <t>WIRE-O PARA ENCADERNAÇÃO FELLOWES 10MM BRANCO A4 - 3:1 - 100</t>
  </si>
  <si>
    <t>WIRE-O PARA ENCADERNAÇÃO FELLOWES 12MM BRANCO A4 - 3:1 - 100</t>
  </si>
  <si>
    <t>WIRE-O PARA ENCADERNAÇÃO FELLOWES 12MM PRETO A4 - 3:1 - 100P</t>
  </si>
  <si>
    <t>WIRE-O PARA ENCADERNAÇÃO FELLOWES 14MM BRANCO A4 - 3:1 - 100</t>
  </si>
  <si>
    <t>WIRE-O PARA ENCADERNAÇÃO FELLOWES 14MM PRETO A4 - 3:1 - 100P</t>
  </si>
  <si>
    <t>WIRE-O PARA ENCADERNAÇÃO FELLOWES 10MM PRETO A4 - 3:1 - 100P</t>
  </si>
  <si>
    <t>LEITZ CONJUNTO COM 3 PASTAS A4 COMBIFILE EXPANSÍVEL TR CLEAR</t>
  </si>
  <si>
    <t>LEITZ, CONJUNTO COM 3 PASTAS A4 COMBIFILE EXPANSÍVEL TR AZUL</t>
  </si>
  <si>
    <t>Leitz,Pasta com Elástico Larga Bebop Vermelha -PN:4568-00-25</t>
  </si>
  <si>
    <t>Leitz,Pasta com Elástico Larga Bebop Laranja - PN:4568-00-45</t>
  </si>
  <si>
    <t>Leitz,Pasta com Elástico Larga Prestige Azul Marinho-PN:4609</t>
  </si>
  <si>
    <t>Leitz,Pasta com Elástico Larga Prestige Mogno- PN:4609-00-76</t>
  </si>
  <si>
    <t>Leitz,Pasta com Elástico Larga Prestige Preto- PN:4609-00-95</t>
  </si>
  <si>
    <t>Telesteps Escada de alumínio  Inclinável Telescópica 3,3 mts</t>
  </si>
  <si>
    <t>Telesteps Escada de alumínio Inclinável Telescópica 3,8 mts</t>
  </si>
  <si>
    <t>Telesteps Escada de alumínio Inclinável Telescópica 3,0 mts</t>
  </si>
  <si>
    <t>Telesteps Escada de alumínio dupla-Combi-2,3mts PN:60623-101</t>
  </si>
  <si>
    <t>Telesteps Escada de alumínio com plataforma - PN:61209-101</t>
  </si>
  <si>
    <t>Telesteps Suporte de Alumínio  para Escada - PN:9160-301</t>
  </si>
  <si>
    <t>Telesteps Pés de segurança ajustáveis p/ escada- PN:9170-401</t>
  </si>
  <si>
    <t>Telesteps Fixadores de chão para escada - PN:9142-101</t>
  </si>
  <si>
    <t>Rapid, 23, Lâmina (mola)  (124503)</t>
  </si>
  <si>
    <t xml:space="preserve"> OLFA, ESTOJO DE LÂMINAS RB45-1</t>
  </si>
  <si>
    <t>OLFA,LÂMINA  SWB-5 / 1B</t>
  </si>
  <si>
    <t>OLFA, ESTOJO DE LÂMINAS KB-5 / 30B KIT COM 30</t>
  </si>
  <si>
    <t>TARIFOLD T-VIEW, PASTA A4 PORTA FOLHAS MAGNÉTICA, VERDE + CA</t>
  </si>
  <si>
    <t>TARIFOLD T-DISPLAY, EXTENÇÃO PARA SUPORTE DE MESA OFFICE + 1</t>
  </si>
  <si>
    <t>TARIFOLD T-DISPLAY, SUPORTE DE MESA ROTARIVO A4 PARA ATÉ 50</t>
  </si>
  <si>
    <t>TARIFOLD T-DISPLAY, SUPORTE DE PAREDE INDUSTRIAL A4 EM AÇO I</t>
  </si>
  <si>
    <t>TARIFOLD T-VIEW, PASTA 32 X 24 CM  DE CIRCULAÇÃO, ANTIMICROB</t>
  </si>
  <si>
    <t>TARIFOLD T-VIEW, MOLDURA DISPLAY MAGNÉTICA A4  AZUL - PN:194</t>
  </si>
  <si>
    <t>TARIFOLD T-VIEW, MOLDURA DISPLAY MAGNÉTICA A4  BRANCA - PN:1</t>
  </si>
  <si>
    <t>TARIFOLD T-VIEW, MOLDURA DISPLAY MAGNÉTICA A4  VERMELHA - PN</t>
  </si>
  <si>
    <t>TARIFOLD T-VIEW, MOLDURA DISPLAY MAGNÉTICA A4  AMARELA - PN:</t>
  </si>
  <si>
    <t>TARIFOLD T-VIEW, MOLDURA DISPLAY MAGNÉTICA A4  VERDE - PN:19</t>
  </si>
  <si>
    <t>TARIFOLD T-VIEW, MOLDURA DISPLAY MAGNÉTICA A5  AZUL - PN:194</t>
  </si>
  <si>
    <t>TARIFOLD T-VIEW, MOLDURA DISPLAY MAGNÉTICA A5  BRANCA - PN:1</t>
  </si>
  <si>
    <t>TARIFOLD T-VIEW, MOLDURA DISPLAY MAGNÉTICA A5  VERMELHA - PN</t>
  </si>
  <si>
    <t>TARIFOLD T-VIEW, MOLDURA DISPLAY MAGNÉTICA A5  AMARELA - PN:</t>
  </si>
  <si>
    <t>TARIFOLD T-VIEW, MOLDURA DISPLAY MAGNÉTICA A5  VERDE - PN:19</t>
  </si>
  <si>
    <t>TARIFOLD T-VIEW, MOLDURA DISPLAY MAGNÉTICA A6  AZUL - PN:194</t>
  </si>
  <si>
    <t>TARIFOLD T-VIEW, MOLDURA DISPLAY MAGNÉTICA A6  BRANCA - PN:1</t>
  </si>
  <si>
    <t>TARIFOLD T-VIEW, MOLDURA DISPLAY MAGNÉTICA A6  VERMELHA - PN</t>
  </si>
  <si>
    <t>TARIFOLD T-VIEW, MOLDURA DISPLAY MAGNÉTICA A6  AMARELA - PN:</t>
  </si>
  <si>
    <t>TARIFOLD T-VIEW, MOLDURA DISPLAY MAGNÉTICA A6  VERDE - PN:19</t>
  </si>
  <si>
    <t>TARIFOLD T-VIEW, MOLDURA DISPLAY MAGNÉTICA 120 X 45 MM  BRAN</t>
  </si>
  <si>
    <t>TARIFOLD T-VIEW, MOLDURA DISPLAY MAGNÉTICA 120 X 45 MM  AMAR</t>
  </si>
  <si>
    <t>TARIFOLD T-VIEW, MOLDURA DISPLAY MAGNÉTICA 80 X 45 MM  AZUL</t>
  </si>
  <si>
    <t>TARIFOLD T-VIEW, MOLDURA DISPLAY MAGNÉTICA 80 X 45 MM  VERME</t>
  </si>
  <si>
    <t>TARIFOLD T-VIEW, MOLDURA DISPLAY MAGNÉTICA 80 X 45 MM  VERDE</t>
  </si>
  <si>
    <t>ILEATHER - CASE DE COURO LEGÍTIMO PARA IPAD 2 e NEW IPAD - Y</t>
  </si>
  <si>
    <t>IFILM - FILME DE PROTEÇÃO TRANSPARENTE BRILHO PARA FRENTE E</t>
  </si>
  <si>
    <t>IFILM - FILME DE PROTEÇÃO TRANSPARENTE BRILHO PARA IPHONE 4</t>
  </si>
  <si>
    <t>IFILM - FILME DE PROTEÇÃO TRANSPARENTE BRILHO PARA IPHONE 3</t>
  </si>
  <si>
    <t>Youts, iPower 2600mah, Carregador portátil com lanterna</t>
  </si>
  <si>
    <t>OLFA, ESTOJO DE LÂMINAS LB-50 - KIT COM 50</t>
  </si>
  <si>
    <t>Fellowes, 425Ci,Sensor IR do Auto Start e Safe Sense(490641)</t>
  </si>
  <si>
    <t>PAPEL VEGETAL SCHOELLER LASER V-090-955, A4 210 x 297 mm, 90-95 g/m², 100 Fls</t>
  </si>
  <si>
    <t>PAPEL VEGETAL SCHOELLER, LEGAL - 216 x 355 mm, 90-95 g/m², 50 FLS</t>
  </si>
  <si>
    <t>PAPEL VEGETAL SCHOELLER, A3 - 297 x 420 mm, 90-95 g/m², 50 FLS</t>
  </si>
  <si>
    <t>PAPEL VEGETAL SCHOELLER, A4 - 210 x 297 mm, 90-95 g/m², 50 FLS</t>
  </si>
  <si>
    <t>PAPEL VEGETAL SCHOELLER A3- 297x420mm , 60/65g/m2 100fls</t>
  </si>
  <si>
    <t>PAPEL VEGETAL SCHOELLER LASER V-090-955, A4 210x297mm,90-95</t>
  </si>
  <si>
    <t>PAPEL VEGETAL SCHOELLER LEGAL 216x355mm, 90-95 g/m2,100 fls</t>
  </si>
  <si>
    <t>PAPEL VEGETAL SCHOELLER A3 -297 x 420 mm,90-95 g/m2, 100 fls</t>
  </si>
  <si>
    <t>Fellowes, 425Ci, Engrenagem 2º Estágio (490128)</t>
  </si>
  <si>
    <t>Fellowes, 425Ci, Engrenagem 1º Estágio (490116)</t>
  </si>
  <si>
    <t>Fellowes, 425Ci, Módulo Anti Travamento (490557)</t>
  </si>
  <si>
    <t>FELLOWES,225i , 225ci , PCI PRINCIPAL - 120 V ( 207968 )</t>
  </si>
  <si>
    <t>PAPEL VEGETAL SCHOELLER, A4 - 210 x 297 mm, 60-65 g/m², 50 FLS</t>
  </si>
  <si>
    <t>PAPEL VEGETAL SCHOELLER, A3 - 297 x 420 mm, 60-65 g/m², 100 FLS</t>
  </si>
  <si>
    <t>PAPEL VEGETAL SCHOELLER, LEGAL - 216 x 355 mm, 90-95 g/m², 100 FLS</t>
  </si>
  <si>
    <t>PAPEL VEGETAL SCHOELLER, A3 - 297 x 420 mm, 90-95 g/m², 100 FLS</t>
  </si>
  <si>
    <t>PAPEL VEGETAL SCHOELLER, A3 - 297 x 420 mm, 60-65 g/m², 50 FLS</t>
  </si>
  <si>
    <t>GRAMPEADOR RAPID X-RAY AZUL</t>
  </si>
  <si>
    <t>Últimos 6 meses</t>
  </si>
  <si>
    <t>% de V. vs Proj. 6 meses</t>
  </si>
  <si>
    <t>V. 6 meses</t>
  </si>
  <si>
    <t>Proj. de V. 6 meses</t>
  </si>
  <si>
    <t>OLFA, ESTILETE L5-AL/LWB</t>
  </si>
  <si>
    <t>OLFA, ESTILETE ESPECIAL PRC-3</t>
  </si>
  <si>
    <t>OLFA, TESOURA ESPECIAL SCS-4</t>
  </si>
  <si>
    <t>OLFA, ESTILETE ROTATIVO RTY-2/C (45MM)</t>
  </si>
  <si>
    <t>OLFA, ESTILETE DE SEGURANÇA SK-12</t>
  </si>
  <si>
    <t>Não considerar</t>
  </si>
  <si>
    <t>PAPEL VEGETAL SCHOELLER, A3 297 x 420 mm, 60-65 g/m², 50 Fls</t>
  </si>
  <si>
    <t>Fellowes, 225i, 225Ci, Engrenagem M de sincronismo das facas(207761)</t>
  </si>
  <si>
    <t>Fellowes, 225i, 225Ci,Chave de intertravamento 100V,120V,230V ( 207977)</t>
  </si>
  <si>
    <t>FELLOWES,425Ci,ENGRENAGEM MP 1oESTAGIO C/PINO MONTADO-490116</t>
  </si>
  <si>
    <t>FELLOWES,425Ci,ENGRENAGEM MP 2oESTAGIO C/PINO MONTADO-490128</t>
  </si>
  <si>
    <t>FELLOWES,425Ci, ENGRENAGEM DE SINCRONISMO DOS EIXOS (490082)</t>
  </si>
  <si>
    <t>FELLOWES, 425 Ci , PCI Ctl/LED ( 207296 )</t>
  </si>
  <si>
    <t>Fellowes, 425Ci, Engrenagem MP 1o. estágio c/ pino montado (490116)</t>
  </si>
  <si>
    <t>Fellowes, 425Ci, Engrenagem MP 2o. estágio c/ pino montado (490128)</t>
  </si>
  <si>
    <t>Fellowes, 425Ci, Engrenagem de sincronismo dos eixos (490082)</t>
  </si>
  <si>
    <t>Fellowes, 425Ci, PCI Ctl/LED (207296)</t>
  </si>
  <si>
    <t>OLFA, ESPÁTULA GSR-1/3B</t>
  </si>
  <si>
    <t>OLFA, ESTOJO DE LÂMINAS GSB-1S - KIT COM 30</t>
  </si>
  <si>
    <t>OLFA, ESTOJO DE LÂMINAS SKB-2S/10B - AÇO INOX - KIT COM 10</t>
  </si>
  <si>
    <t>OLFA, ESTOJO DE LÂMINAS FLB-5B - KIT COM 5</t>
  </si>
  <si>
    <t>OLFA, ESTILETE HEAVY DUTY L-5/FLB</t>
  </si>
  <si>
    <t>GRAMPEADOR RAPID S50 - PRETO</t>
  </si>
  <si>
    <t>OLFA, ESTILETE HEAVY DUTY L5-AL/LWB</t>
  </si>
  <si>
    <t>PAPEL VEGETAL SCHOELLER, A3 - 297x420 mm, 90-95 g/m², 50 Fls</t>
  </si>
  <si>
    <t>PAPEL VEGETAL SCHOELLER, A4 - 210x297 mm, 90-95 g/m², 50 Fls</t>
  </si>
  <si>
    <t>PAPEL VEGETAL SCHOELLER,LEGAL - 216x355 mm,90-95 g/m², 50fls</t>
  </si>
  <si>
    <t>(Tudo)</t>
  </si>
  <si>
    <t>#N/D</t>
  </si>
  <si>
    <t>FELLOWES,225i,225Ci,PLACA DE CIRCUITO IMPRESSO PCI PRINCIPAL</t>
  </si>
  <si>
    <t>FELLOWES,225CI, PCI PLACA DE CIRCUITO IMPRESSO DE CONTROLE</t>
  </si>
  <si>
    <t>FELLOWES,225Ci,PCI PLACA DE CIRCUITO IMPRESSO DE CONTROLE DO</t>
  </si>
  <si>
    <t>Fellowes, C-325Ci, Tampa Superior (207568)</t>
  </si>
  <si>
    <t>Colunas1</t>
  </si>
  <si>
    <t>Colunas2</t>
  </si>
  <si>
    <t>OLFA, ESTILETE HEAVY DUTY L-5/LFB</t>
  </si>
  <si>
    <t>OLFA, ESPÁTULA RASPADEIRA GSR - 1/3B</t>
  </si>
  <si>
    <t>OLFA, ESTILETE HEAVY DUTY L5 - AL/LFB</t>
  </si>
  <si>
    <t>OLFA, ESTOJO DE LÂMINAS SKB- 2S/10B - AÇO INOX - KIT COM 10</t>
  </si>
  <si>
    <t>Jan/fev 2017 - Mar/Abr/Mai/Jun 2016</t>
  </si>
  <si>
    <t>12 Ultimos Meses</t>
  </si>
  <si>
    <t>12 Meses</t>
  </si>
  <si>
    <t>Maio</t>
  </si>
  <si>
    <t>05/10/2017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</si>
</sst>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_ ;\-#,##0\ "/>
    <numFmt numFmtId="165" formatCode="_-[$¥-411]* #,##0.00_-;\-[$¥-411]* #,##0.00_-;_-[$¥-411]* &quot;-&quot;??_-;_-@_-"/>
    <numFmt numFmtId="166" formatCode="######&quot;.&quot;#####"/>
    <numFmt numFmtId="167" formatCode="_-* #,##0_-;\-* #,##0_-;_-* &quot;-&quot;??_-;_-@_-"/>
    <numFmt numFmtId="168" formatCode="_-[$$-409]* #,##0.00_ ;_-[$$-409]* \-#,##0.00\ ;_-[$$-409]* &quot;-&quot;??_ ;_-@_ "/>
    <numFmt numFmtId="169" formatCode="#,##0_ ;[Red]\-#,##0\ "/>
    <numFmt numFmtId="170" formatCode="#,##0.00_ ;[Red]\-#,##0.0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5"/>
      <color rgb="FFFF0000"/>
      <name val="Arial"/>
      <family val="2"/>
    </font>
    <font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4" tint="0.79998168889431442"/>
      </bottom>
      <diagonal/>
    </border>
    <border>
      <left style="thin">
        <color theme="0"/>
      </left>
      <right/>
      <top/>
      <bottom style="thin">
        <color theme="4" tint="0.79998168889431442"/>
      </bottom>
      <diagonal/>
    </border>
    <border>
      <left/>
      <right style="thin">
        <color theme="0"/>
      </right>
      <top style="thin">
        <color theme="4" tint="0.79998168889431442"/>
      </top>
      <bottom/>
      <diagonal/>
    </border>
    <border>
      <left style="thin">
        <color theme="0"/>
      </left>
      <right/>
      <top style="thin">
        <color theme="4" tint="0.799981688894314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28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ont="1"/>
    <xf numFmtId="164" fontId="7" fillId="3" borderId="7" xfId="1" applyNumberFormat="1" applyFont="1" applyFill="1" applyBorder="1" applyAlignment="1">
      <alignment horizontal="left" vertical="center"/>
    </xf>
    <xf numFmtId="2" fontId="4" fillId="0" borderId="0" xfId="3" applyNumberFormat="1" applyFont="1" applyFill="1" applyAlignment="1">
      <alignment wrapText="1"/>
    </xf>
    <xf numFmtId="14" fontId="2" fillId="0" borderId="0" xfId="4" applyNumberFormat="1" applyFont="1" applyFill="1" applyAlignment="1">
      <alignment wrapText="1"/>
    </xf>
    <xf numFmtId="2" fontId="5" fillId="0" borderId="0" xfId="4" applyNumberFormat="1" applyAlignment="1">
      <alignment wrapText="1"/>
    </xf>
    <xf numFmtId="0" fontId="5" fillId="0" borderId="0" xfId="4"/>
    <xf numFmtId="0" fontId="5" fillId="0" borderId="0" xfId="4" applyNumberFormat="1"/>
    <xf numFmtId="0" fontId="5" fillId="0" borderId="0" xfId="4" applyFill="1"/>
    <xf numFmtId="0" fontId="5" fillId="0" borderId="0" xfId="4" applyFill="1" applyBorder="1"/>
    <xf numFmtId="166" fontId="5" fillId="0" borderId="0" xfId="4" applyNumberFormat="1" applyFill="1" applyBorder="1"/>
    <xf numFmtId="0" fontId="4" fillId="4" borderId="8" xfId="4" applyFont="1" applyFill="1" applyBorder="1"/>
    <xf numFmtId="49" fontId="5" fillId="0" borderId="0" xfId="4" applyNumberFormat="1" applyFill="1" applyBorder="1"/>
    <xf numFmtId="0" fontId="5" fillId="0" borderId="0" xfId="4" applyAlignment="1">
      <alignment horizontal="left"/>
    </xf>
    <xf numFmtId="0" fontId="2" fillId="0" borderId="10" xfId="4" applyFont="1" applyFill="1" applyBorder="1" applyAlignment="1">
      <alignment horizontal="left"/>
    </xf>
    <xf numFmtId="166" fontId="5" fillId="0" borderId="2" xfId="4" applyNumberFormat="1" applyFont="1" applyFill="1" applyBorder="1"/>
    <xf numFmtId="0" fontId="5" fillId="0" borderId="2" xfId="4" applyFont="1" applyFill="1" applyBorder="1"/>
    <xf numFmtId="0" fontId="5" fillId="0" borderId="11" xfId="4" applyFont="1" applyFill="1" applyBorder="1"/>
    <xf numFmtId="0" fontId="9" fillId="3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vertical="center"/>
    </xf>
    <xf numFmtId="168" fontId="8" fillId="0" borderId="0" xfId="0" applyNumberFormat="1" applyFont="1" applyAlignment="1">
      <alignment vertical="center"/>
    </xf>
    <xf numFmtId="9" fontId="8" fillId="0" borderId="0" xfId="2" applyFont="1" applyAlignment="1">
      <alignment vertic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164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6" fontId="13" fillId="0" borderId="0" xfId="0" applyNumberFormat="1" applyFont="1" applyAlignment="1">
      <alignment horizontal="center" vertical="center"/>
    </xf>
    <xf numFmtId="0" fontId="12" fillId="0" borderId="0" xfId="0" applyFont="1" applyBorder="1"/>
    <xf numFmtId="169" fontId="8" fillId="0" borderId="16" xfId="0" applyNumberFormat="1" applyFont="1" applyBorder="1" applyAlignment="1">
      <alignment vertical="center"/>
    </xf>
    <xf numFmtId="169" fontId="8" fillId="0" borderId="0" xfId="0" applyNumberFormat="1" applyFont="1" applyBorder="1" applyAlignment="1">
      <alignment vertical="center"/>
    </xf>
    <xf numFmtId="9" fontId="8" fillId="0" borderId="17" xfId="2" applyFont="1" applyBorder="1" applyAlignment="1">
      <alignment vertical="center"/>
    </xf>
    <xf numFmtId="0" fontId="12" fillId="0" borderId="18" xfId="0" applyFont="1" applyBorder="1"/>
    <xf numFmtId="0" fontId="12" fillId="0" borderId="19" xfId="0" applyFont="1" applyBorder="1"/>
    <xf numFmtId="169" fontId="8" fillId="0" borderId="18" xfId="0" applyNumberFormat="1" applyFont="1" applyBorder="1" applyAlignment="1">
      <alignment vertical="center"/>
    </xf>
    <xf numFmtId="9" fontId="8" fillId="0" borderId="19" xfId="2" applyFont="1" applyBorder="1" applyAlignment="1">
      <alignment vertical="center"/>
    </xf>
    <xf numFmtId="9" fontId="8" fillId="0" borderId="0" xfId="2" applyFont="1" applyBorder="1" applyAlignment="1">
      <alignment vertical="center"/>
    </xf>
    <xf numFmtId="0" fontId="8" fillId="0" borderId="0" xfId="0" applyFont="1"/>
    <xf numFmtId="166" fontId="8" fillId="0" borderId="0" xfId="0" applyNumberFormat="1" applyFont="1"/>
    <xf numFmtId="14" fontId="8" fillId="0" borderId="0" xfId="0" applyNumberFormat="1" applyFont="1"/>
    <xf numFmtId="0" fontId="8" fillId="0" borderId="18" xfId="0" applyFont="1" applyBorder="1"/>
    <xf numFmtId="14" fontId="8" fillId="0" borderId="20" xfId="0" applyNumberFormat="1" applyFont="1" applyBorder="1"/>
    <xf numFmtId="169" fontId="8" fillId="0" borderId="0" xfId="0" applyNumberFormat="1" applyFont="1"/>
    <xf numFmtId="0" fontId="0" fillId="0" borderId="0" xfId="0" pivotButton="1"/>
    <xf numFmtId="169" fontId="0" fillId="0" borderId="0" xfId="0" applyNumberFormat="1"/>
    <xf numFmtId="166" fontId="0" fillId="0" borderId="0" xfId="0" applyNumberFormat="1"/>
    <xf numFmtId="166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4" fontId="8" fillId="0" borderId="0" xfId="0" applyNumberFormat="1" applyFont="1" applyBorder="1" applyAlignment="1">
      <alignment vertical="center" wrapText="1"/>
    </xf>
    <xf numFmtId="14" fontId="8" fillId="0" borderId="2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/>
    <xf numFmtId="0" fontId="14" fillId="0" borderId="0" xfId="0" applyFont="1"/>
    <xf numFmtId="0" fontId="8" fillId="0" borderId="0" xfId="0" applyNumberFormat="1" applyFont="1"/>
    <xf numFmtId="0" fontId="9" fillId="3" borderId="7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167" fontId="8" fillId="0" borderId="0" xfId="1" applyNumberFormat="1" applyFont="1" applyAlignment="1">
      <alignment vertical="center"/>
    </xf>
    <xf numFmtId="0" fontId="2" fillId="4" borderId="21" xfId="4" applyNumberFormat="1" applyFont="1" applyFill="1" applyBorder="1" applyAlignment="1"/>
    <xf numFmtId="0" fontId="2" fillId="4" borderId="22" xfId="4" applyNumberFormat="1" applyFont="1" applyFill="1" applyBorder="1" applyAlignment="1"/>
    <xf numFmtId="166" fontId="5" fillId="0" borderId="23" xfId="4" applyNumberFormat="1" applyFont="1" applyFill="1" applyBorder="1" applyAlignment="1">
      <alignment horizontal="left"/>
    </xf>
    <xf numFmtId="3" fontId="5" fillId="0" borderId="24" xfId="4" applyNumberFormat="1" applyFont="1" applyFill="1" applyBorder="1" applyAlignment="1"/>
    <xf numFmtId="0" fontId="12" fillId="0" borderId="20" xfId="0" applyFont="1" applyBorder="1"/>
    <xf numFmtId="164" fontId="8" fillId="0" borderId="20" xfId="0" applyNumberFormat="1" applyFont="1" applyBorder="1" applyAlignment="1">
      <alignment vertical="center"/>
    </xf>
    <xf numFmtId="0" fontId="9" fillId="3" borderId="25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69" fontId="9" fillId="0" borderId="0" xfId="0" applyNumberFormat="1" applyFont="1" applyAlignment="1">
      <alignment vertical="center"/>
    </xf>
    <xf numFmtId="14" fontId="8" fillId="0" borderId="19" xfId="0" applyNumberFormat="1" applyFont="1" applyBorder="1"/>
    <xf numFmtId="0" fontId="16" fillId="0" borderId="0" xfId="0" applyFont="1" applyAlignment="1"/>
    <xf numFmtId="0" fontId="16" fillId="0" borderId="0" xfId="0" applyFont="1"/>
    <xf numFmtId="164" fontId="8" fillId="0" borderId="0" xfId="0" applyNumberFormat="1" applyFont="1" applyBorder="1" applyAlignment="1">
      <alignment vertical="center"/>
    </xf>
    <xf numFmtId="0" fontId="0" fillId="0" borderId="0" xfId="0"/>
    <xf numFmtId="0" fontId="5" fillId="0" borderId="29" xfId="4" applyFill="1" applyBorder="1"/>
    <xf numFmtId="0" fontId="5" fillId="0" borderId="30" xfId="4" applyFill="1" applyBorder="1"/>
    <xf numFmtId="14" fontId="6" fillId="2" borderId="31" xfId="4" applyNumberFormat="1" applyFont="1" applyFill="1" applyBorder="1" applyAlignment="1">
      <alignment horizontal="center" vertical="center"/>
    </xf>
    <xf numFmtId="0" fontId="17" fillId="0" borderId="32" xfId="4" applyFont="1" applyFill="1" applyBorder="1" applyAlignment="1">
      <alignment horizontal="center" vertical="center"/>
    </xf>
    <xf numFmtId="14" fontId="11" fillId="0" borderId="33" xfId="4" applyNumberFormat="1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/>
    <xf numFmtId="0" fontId="8" fillId="0" borderId="0" xfId="0" applyNumberFormat="1" applyFont="1" applyBorder="1" applyAlignment="1">
      <alignment vertical="center"/>
    </xf>
    <xf numFmtId="16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0" applyFont="1" applyAlignment="1"/>
    <xf numFmtId="0" fontId="21" fillId="0" borderId="0" xfId="0" applyFont="1"/>
    <xf numFmtId="0" fontId="8" fillId="0" borderId="2" xfId="0" applyFont="1" applyFill="1" applyBorder="1"/>
    <xf numFmtId="170" fontId="8" fillId="0" borderId="0" xfId="0" applyNumberFormat="1" applyFont="1" applyAlignment="1">
      <alignment vertical="center"/>
    </xf>
    <xf numFmtId="166" fontId="8" fillId="0" borderId="0" xfId="0" applyNumberFormat="1" applyFont="1" applyBorder="1" applyAlignment="1">
      <alignment horizontal="center" vertical="center"/>
    </xf>
    <xf numFmtId="169" fontId="8" fillId="0" borderId="20" xfId="0" applyNumberFormat="1" applyFont="1" applyBorder="1" applyAlignment="1">
      <alignment vertical="center"/>
    </xf>
    <xf numFmtId="169" fontId="8" fillId="0" borderId="0" xfId="2" applyNumberFormat="1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9" fontId="8" fillId="0" borderId="0" xfId="2" applyNumberFormat="1" applyFont="1" applyBorder="1" applyAlignment="1">
      <alignment vertical="center"/>
    </xf>
    <xf numFmtId="9" fontId="8" fillId="0" borderId="19" xfId="2" applyNumberFormat="1" applyFont="1" applyBorder="1" applyAlignment="1">
      <alignment vertical="center"/>
    </xf>
    <xf numFmtId="166" fontId="8" fillId="0" borderId="0" xfId="4" applyNumberFormat="1" applyFont="1" applyFill="1" applyAlignment="1">
      <alignment horizontal="left" vertical="center" wrapText="1"/>
    </xf>
    <xf numFmtId="0" fontId="8" fillId="0" borderId="0" xfId="4" applyFont="1" applyFill="1" applyBorder="1" applyAlignment="1">
      <alignment vertical="center"/>
    </xf>
    <xf numFmtId="169" fontId="8" fillId="0" borderId="0" xfId="2" applyNumberFormat="1" applyFont="1" applyAlignment="1">
      <alignment vertical="center"/>
    </xf>
    <xf numFmtId="9" fontId="8" fillId="0" borderId="0" xfId="2" applyNumberFormat="1" applyFont="1" applyAlignment="1">
      <alignment vertical="center"/>
    </xf>
    <xf numFmtId="0" fontId="24" fillId="0" borderId="0" xfId="0" applyFont="1" applyAlignment="1"/>
    <xf numFmtId="0" fontId="24" fillId="0" borderId="0" xfId="0" applyFont="1"/>
    <xf numFmtId="0" fontId="8" fillId="0" borderId="0" xfId="4" applyNumberFormat="1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20" xfId="0" applyNumberFormat="1" applyFont="1" applyBorder="1"/>
    <xf numFmtId="166" fontId="8" fillId="2" borderId="0" xfId="0" applyNumberFormat="1" applyFont="1" applyFill="1"/>
    <xf numFmtId="0" fontId="8" fillId="2" borderId="0" xfId="0" applyNumberFormat="1" applyFont="1" applyFill="1"/>
    <xf numFmtId="169" fontId="8" fillId="2" borderId="0" xfId="0" applyNumberFormat="1" applyFont="1" applyFill="1"/>
    <xf numFmtId="0" fontId="8" fillId="2" borderId="0" xfId="0" applyFont="1" applyFill="1"/>
    <xf numFmtId="14" fontId="8" fillId="2" borderId="0" xfId="0" applyNumberFormat="1" applyFont="1" applyFill="1"/>
    <xf numFmtId="14" fontId="8" fillId="2" borderId="19" xfId="0" applyNumberFormat="1" applyFont="1" applyFill="1" applyBorder="1"/>
    <xf numFmtId="14" fontId="8" fillId="2" borderId="20" xfId="0" applyNumberFormat="1" applyFont="1" applyFill="1" applyBorder="1"/>
    <xf numFmtId="3" fontId="8" fillId="2" borderId="0" xfId="0" applyNumberFormat="1" applyFont="1" applyFill="1" applyAlignment="1">
      <alignment horizontal="center"/>
    </xf>
    <xf numFmtId="0" fontId="8" fillId="2" borderId="18" xfId="0" applyFont="1" applyFill="1" applyBorder="1"/>
    <xf numFmtId="0" fontId="5" fillId="0" borderId="2" xfId="4" applyNumberFormat="1" applyFont="1" applyFill="1" applyBorder="1"/>
    <xf numFmtId="166" fontId="8" fillId="0" borderId="2" xfId="4" applyNumberFormat="1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vertical="center"/>
    </xf>
    <xf numFmtId="0" fontId="5" fillId="0" borderId="0" xfId="4" applyFont="1" applyFill="1" applyBorder="1"/>
    <xf numFmtId="0" fontId="20" fillId="0" borderId="2" xfId="4" applyFont="1" applyFill="1" applyBorder="1"/>
    <xf numFmtId="169" fontId="0" fillId="0" borderId="0" xfId="6" applyNumberFormat="1" applyFont="1" applyFill="1"/>
    <xf numFmtId="169" fontId="5" fillId="0" borderId="0" xfId="6" applyNumberFormat="1" applyFont="1" applyFill="1"/>
    <xf numFmtId="169" fontId="15" fillId="5" borderId="0" xfId="1" applyNumberFormat="1" applyFont="1" applyFill="1"/>
    <xf numFmtId="169" fontId="15" fillId="0" borderId="0" xfId="1" applyNumberFormat="1" applyFont="1" applyFill="1"/>
    <xf numFmtId="169" fontId="5" fillId="0" borderId="0" xfId="1" applyNumberFormat="1" applyFont="1" applyFill="1" applyBorder="1"/>
    <xf numFmtId="169" fontId="22" fillId="0" borderId="0" xfId="1" applyNumberFormat="1" applyFont="1" applyFill="1"/>
    <xf numFmtId="169" fontId="22" fillId="0" borderId="0" xfId="1" applyNumberFormat="1" applyFont="1" applyFill="1" applyBorder="1"/>
    <xf numFmtId="169" fontId="15" fillId="5" borderId="0" xfId="1" applyNumberFormat="1" applyFont="1" applyFill="1" applyBorder="1"/>
    <xf numFmtId="169" fontId="15" fillId="0" borderId="0" xfId="1" applyNumberFormat="1" applyFont="1" applyFill="1" applyBorder="1"/>
    <xf numFmtId="169" fontId="5" fillId="0" borderId="0" xfId="1" applyNumberFormat="1" applyFont="1" applyFill="1"/>
    <xf numFmtId="169" fontId="20" fillId="0" borderId="0" xfId="1" applyNumberFormat="1" applyFont="1" applyFill="1" applyBorder="1"/>
    <xf numFmtId="169" fontId="23" fillId="0" borderId="0" xfId="1" applyNumberFormat="1" applyFont="1" applyFill="1"/>
    <xf numFmtId="169" fontId="23" fillId="0" borderId="0" xfId="1" applyNumberFormat="1" applyFont="1" applyFill="1" applyBorder="1"/>
    <xf numFmtId="0" fontId="0" fillId="0" borderId="0" xfId="0"/>
    <xf numFmtId="0" fontId="25" fillId="0" borderId="0" xfId="0" applyFont="1" applyAlignment="1"/>
    <xf numFmtId="0" fontId="25" fillId="0" borderId="0" xfId="0" applyFont="1"/>
    <xf numFmtId="0" fontId="26" fillId="0" borderId="2" xfId="4" applyNumberFormat="1" applyFont="1" applyFill="1" applyBorder="1"/>
    <xf numFmtId="169" fontId="26" fillId="0" borderId="0" xfId="1" applyNumberFormat="1" applyFont="1" applyFill="1"/>
    <xf numFmtId="166" fontId="5" fillId="0" borderId="11" xfId="4" applyNumberFormat="1" applyFont="1" applyFill="1" applyBorder="1"/>
    <xf numFmtId="0" fontId="26" fillId="0" borderId="11" xfId="4" applyNumberFormat="1" applyFont="1" applyFill="1" applyBorder="1"/>
    <xf numFmtId="169" fontId="26" fillId="0" borderId="0" xfId="1" applyNumberFormat="1" applyFont="1" applyFill="1" applyBorder="1"/>
    <xf numFmtId="14" fontId="8" fillId="2" borderId="0" xfId="0" applyNumberFormat="1" applyFont="1" applyFill="1" applyBorder="1"/>
    <xf numFmtId="0" fontId="5" fillId="0" borderId="11" xfId="4" applyNumberFormat="1" applyFont="1" applyFill="1" applyBorder="1"/>
    <xf numFmtId="0" fontId="27" fillId="0" borderId="2" xfId="4" applyNumberFormat="1" applyFont="1" applyFill="1" applyBorder="1"/>
    <xf numFmtId="169" fontId="27" fillId="0" borderId="0" xfId="1" applyNumberFormat="1" applyFont="1" applyFill="1"/>
    <xf numFmtId="0" fontId="27" fillId="0" borderId="11" xfId="4" applyNumberFormat="1" applyFont="1" applyFill="1" applyBorder="1"/>
    <xf numFmtId="169" fontId="27" fillId="0" borderId="0" xfId="1" applyNumberFormat="1" applyFont="1" applyFill="1" applyBorder="1"/>
    <xf numFmtId="166" fontId="0" fillId="0" borderId="0" xfId="0" applyNumberFormat="1" applyFont="1"/>
    <xf numFmtId="3" fontId="0" fillId="0" borderId="0" xfId="0" applyNumberFormat="1"/>
    <xf numFmtId="166" fontId="0" fillId="0" borderId="0" xfId="0" applyNumberFormat="1" applyAlignment="1">
      <alignment horizontal="left"/>
    </xf>
    <xf numFmtId="3" fontId="29" fillId="0" borderId="9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2" xfId="0" applyNumberFormat="1" applyFont="1" applyFill="1" applyBorder="1"/>
    <xf numFmtId="0" fontId="5" fillId="0" borderId="11" xfId="0" applyNumberFormat="1" applyFont="1" applyFill="1" applyBorder="1"/>
    <xf numFmtId="0" fontId="0" fillId="0" borderId="0" xfId="0"/>
    <xf numFmtId="0" fontId="0" fillId="0" borderId="0" xfId="0" applyNumberFormat="1"/>
    <xf numFmtId="0" fontId="9" fillId="3" borderId="7" xfId="0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vertical="center"/>
    </xf>
    <xf numFmtId="166" fontId="0" fillId="0" borderId="0" xfId="0" applyNumberFormat="1" applyFill="1"/>
    <xf numFmtId="0" fontId="0" fillId="0" borderId="0" xfId="0" applyNumberFormat="1" applyFill="1"/>
    <xf numFmtId="0" fontId="0" fillId="0" borderId="0" xfId="0" applyFill="1"/>
    <xf numFmtId="3" fontId="0" fillId="0" borderId="0" xfId="0" applyNumberFormat="1" applyFont="1"/>
    <xf numFmtId="0" fontId="12" fillId="0" borderId="0" xfId="0" applyFont="1" applyAlignment="1">
      <alignment horizontal="center" wrapText="1"/>
    </xf>
    <xf numFmtId="16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6" fontId="5" fillId="0" borderId="23" xfId="100" applyNumberFormat="1" applyFont="1" applyFill="1" applyBorder="1" applyAlignment="1">
      <alignment horizontal="left"/>
    </xf>
    <xf numFmtId="3" fontId="5" fillId="0" borderId="24" xfId="100" applyNumberFormat="1" applyFont="1" applyFill="1" applyBorder="1" applyAlignment="1"/>
    <xf numFmtId="3" fontId="0" fillId="0" borderId="0" xfId="0" applyNumberFormat="1"/>
    <xf numFmtId="0" fontId="0" fillId="0" borderId="0" xfId="0" applyNumberFormat="1"/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4" fontId="9" fillId="3" borderId="25" xfId="0" applyNumberFormat="1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17" fillId="0" borderId="26" xfId="4" applyFont="1" applyFill="1" applyBorder="1" applyAlignment="1">
      <alignment horizontal="center"/>
    </xf>
    <xf numFmtId="0" fontId="17" fillId="0" borderId="27" xfId="4" applyFont="1" applyFill="1" applyBorder="1" applyAlignment="1">
      <alignment horizontal="center"/>
    </xf>
    <xf numFmtId="0" fontId="17" fillId="0" borderId="28" xfId="4" applyFont="1" applyFill="1" applyBorder="1" applyAlignment="1">
      <alignment horizontal="center"/>
    </xf>
    <xf numFmtId="14" fontId="10" fillId="0" borderId="0" xfId="4" applyNumberFormat="1" applyFont="1" applyAlignment="1">
      <alignment horizontal="center"/>
    </xf>
    <xf numFmtId="166" fontId="11" fillId="2" borderId="0" xfId="4" applyNumberFormat="1" applyFont="1" applyFill="1" applyAlignment="1">
      <alignment horizontal="center"/>
    </xf>
  </cellXfs>
  <cellStyles count="114">
    <cellStyle name="Moeda 2" xfId="22"/>
    <cellStyle name="Moeda 2 2" xfId="34"/>
    <cellStyle name="Moeda 2 2 2" xfId="61"/>
    <cellStyle name="Moeda 2 2 2 2" xfId="108"/>
    <cellStyle name="Moeda 2 2 3" xfId="84"/>
    <cellStyle name="Moeda 2 3" xfId="52"/>
    <cellStyle name="Moeda 2 3 2" xfId="99"/>
    <cellStyle name="Moeda 2 4" xfId="75"/>
    <cellStyle name="Moeda 3" xfId="28"/>
    <cellStyle name="Moeda 4" xfId="45"/>
    <cellStyle name="Moeda 5" xfId="68"/>
    <cellStyle name="Moeda 6" xfId="15"/>
    <cellStyle name="Normal" xfId="0" builtinId="0"/>
    <cellStyle name="Normal 10" xfId="38"/>
    <cellStyle name="Normal 10 2" xfId="88"/>
    <cellStyle name="Normal 11" xfId="67"/>
    <cellStyle name="Normal 12" xfId="66"/>
    <cellStyle name="Normal 13" xfId="14"/>
    <cellStyle name="Normal 17" xfId="24"/>
    <cellStyle name="Normal 17 2" xfId="36"/>
    <cellStyle name="Normal 17 2 2" xfId="63"/>
    <cellStyle name="Normal 17 2 2 2" xfId="110"/>
    <cellStyle name="Normal 17 2 3" xfId="86"/>
    <cellStyle name="Normal 17 3" xfId="54"/>
    <cellStyle name="Normal 17 3 2" xfId="101"/>
    <cellStyle name="Normal 17 4" xfId="77"/>
    <cellStyle name="Normal 19" xfId="5"/>
    <cellStyle name="Normal 19 2" xfId="93"/>
    <cellStyle name="Normal 2" xfId="4"/>
    <cellStyle name="Normal 2 2" xfId="19"/>
    <cellStyle name="Normal 3" xfId="18"/>
    <cellStyle name="Normal 3 2" xfId="30"/>
    <cellStyle name="Normal 3 2 2" xfId="57"/>
    <cellStyle name="Normal 3 2 2 2" xfId="104"/>
    <cellStyle name="Normal 3 2 3" xfId="80"/>
    <cellStyle name="Normal 3 3" xfId="48"/>
    <cellStyle name="Normal 3 3 2" xfId="95"/>
    <cellStyle name="Normal 3 4" xfId="71"/>
    <cellStyle name="Normal 4" xfId="3"/>
    <cellStyle name="Normal 4 2" xfId="32"/>
    <cellStyle name="Normal 4 2 2" xfId="59"/>
    <cellStyle name="Normal 4 2 2 2" xfId="106"/>
    <cellStyle name="Normal 4 2 3" xfId="82"/>
    <cellStyle name="Normal 4 3" xfId="50"/>
    <cellStyle name="Normal 4 3 2" xfId="97"/>
    <cellStyle name="Normal 4 4" xfId="73"/>
    <cellStyle name="Normal 5" xfId="21"/>
    <cellStyle name="Normal 5 2" xfId="33"/>
    <cellStyle name="Normal 5 2 2" xfId="60"/>
    <cellStyle name="Normal 5 2 2 2" xfId="107"/>
    <cellStyle name="Normal 5 2 3" xfId="83"/>
    <cellStyle name="Normal 5 3" xfId="51"/>
    <cellStyle name="Normal 5 3 2" xfId="98"/>
    <cellStyle name="Normal 5 4" xfId="74"/>
    <cellStyle name="Normal 6" xfId="25"/>
    <cellStyle name="Normal 6 2" xfId="37"/>
    <cellStyle name="Normal 6 2 2" xfId="64"/>
    <cellStyle name="Normal 6 2 2 2" xfId="111"/>
    <cellStyle name="Normal 6 2 3" xfId="87"/>
    <cellStyle name="Normal 6 3" xfId="55"/>
    <cellStyle name="Normal 6 3 2" xfId="102"/>
    <cellStyle name="Normal 6 4" xfId="78"/>
    <cellStyle name="Normal 7" xfId="7"/>
    <cellStyle name="Normal 7 2" xfId="43"/>
    <cellStyle name="Normal 7 3" xfId="27"/>
    <cellStyle name="Normal 8" xfId="26"/>
    <cellStyle name="Normal 8 2" xfId="56"/>
    <cellStyle name="Normal 8 2 2" xfId="103"/>
    <cellStyle name="Normal 8 3" xfId="79"/>
    <cellStyle name="Normal 9" xfId="39"/>
    <cellStyle name="Porcentagem" xfId="2" builtinId="5"/>
    <cellStyle name="Porcentagem 2" xfId="29"/>
    <cellStyle name="Porcentagem 3" xfId="46"/>
    <cellStyle name="Porcentagem 4" xfId="69"/>
    <cellStyle name="Porcentagem 5" xfId="16"/>
    <cellStyle name="Vírgula" xfId="1" builtinId="3"/>
    <cellStyle name="Vírgula 2" xfId="6"/>
    <cellStyle name="Vírgula 2 2" xfId="9"/>
    <cellStyle name="Vírgula 2 2 2" xfId="13"/>
    <cellStyle name="Vírgula 2 2 2 2" xfId="112"/>
    <cellStyle name="Vírgula 2 2 2 3" xfId="65"/>
    <cellStyle name="Vírgula 2 2 3" xfId="91"/>
    <cellStyle name="Vírgula 2 2 4" xfId="42"/>
    <cellStyle name="Vírgula 2 3" xfId="11"/>
    <cellStyle name="Vírgula 2 3 2" xfId="89"/>
    <cellStyle name="Vírgula 2 3 3" xfId="40"/>
    <cellStyle name="Vírgula 2 4" xfId="44"/>
    <cellStyle name="Vírgula 2 4 2" xfId="92"/>
    <cellStyle name="Vírgula 2 5" xfId="47"/>
    <cellStyle name="Vírgula 2 5 2" xfId="94"/>
    <cellStyle name="Vírgula 2 6" xfId="70"/>
    <cellStyle name="Vírgula 2 7" xfId="17"/>
    <cellStyle name="Vírgula 2 8" xfId="113"/>
    <cellStyle name="Vírgula 3" xfId="8"/>
    <cellStyle name="Vírgula 3 2" xfId="12"/>
    <cellStyle name="Vírgula 3 2 2" xfId="58"/>
    <cellStyle name="Vírgula 3 2 2 2" xfId="105"/>
    <cellStyle name="Vírgula 3 2 3" xfId="81"/>
    <cellStyle name="Vírgula 3 2 4" xfId="31"/>
    <cellStyle name="Vírgula 3 3" xfId="49"/>
    <cellStyle name="Vírgula 3 3 2" xfId="96"/>
    <cellStyle name="Vírgula 3 4" xfId="72"/>
    <cellStyle name="Vírgula 3 5" xfId="20"/>
    <cellStyle name="Vírgula 4" xfId="10"/>
    <cellStyle name="Vírgula 4 2" xfId="41"/>
    <cellStyle name="Vírgula 4 2 2" xfId="90"/>
    <cellStyle name="Vírgula 4 3" xfId="62"/>
    <cellStyle name="Vírgula 4 3 2" xfId="109"/>
    <cellStyle name="Vírgula 4 4" xfId="85"/>
    <cellStyle name="Vírgula 4 5" xfId="35"/>
    <cellStyle name="Vírgula 5" xfId="53"/>
    <cellStyle name="Vírgula 5 2" xfId="100"/>
    <cellStyle name="Vírgula 6" xfId="76"/>
    <cellStyle name="Vírgula 7" xfId="23"/>
  </cellStyles>
  <dxfs count="416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border diagonalUp="0" diagonalDown="0" outline="0">
        <left/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theme="4" tint="0.59999389629810485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4" tint="0.7999816888943144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###&quot;.&quot;#####"/>
      <fill>
        <patternFill patternType="none">
          <fgColor theme="4" tint="0.599993896298104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4" tint="0.79998168889431442"/>
        </top>
        <bottom/>
      </border>
    </dxf>
    <dxf>
      <border outline="0">
        <top style="thin">
          <color theme="4" tint="0.79998168889431442"/>
        </top>
      </border>
    </dxf>
    <dxf>
      <border outline="0">
        <bottom style="thin">
          <color theme="4" tint="0.79998168889431442"/>
        </bottom>
      </border>
    </dxf>
    <dxf>
      <fill>
        <patternFill patternType="none">
          <bgColor auto="1"/>
        </patternFill>
      </fill>
    </dxf>
    <dxf>
      <border outline="0">
        <bottom style="thin">
          <color theme="4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4" tint="-0.249977111117893"/>
          <bgColor theme="4" tint="-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###&quot;.&quot;#####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border outline="0"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###&quot;.&quot;#####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border outline="0"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###&quot;.&quot;#####"/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 tint="0.79998168889431442"/>
        </top>
        <bottom style="thin">
          <color theme="4" tint="0.79998168889431442"/>
        </bottom>
      </border>
    </dxf>
    <dxf>
      <border outline="0">
        <bottom style="thin">
          <color theme="4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-0.249977111117893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#,##0_ ;[Red]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#####&quot;.&quot;#####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6" formatCode="######&quot;.&quot;#####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70" formatCode="#,##0.00_ ;[Red]\-#,##0.0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[$¥-411]* #,##0.00_-;\-[$¥-411]* #,##0.00_-;_-[$¥-411]* &quot;-&quot;??_-;_-@_-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\-#,##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_-[$$-409]* #,##0.00_ ;_-[$$-409]* \-#,##0.00\ ;_-[$$-409]* &quot;-&quot;??_ ;_-@_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#,##0_ ;[Red]\-#,##0\ 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#####&quot;.&quot;#####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b/>
        <i val="0"/>
        <color theme="0"/>
      </font>
      <fill>
        <patternFill>
          <bgColor theme="3" tint="-0.24994659260841701"/>
        </patternFill>
      </fill>
      <border diagonalDown="1"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diagonal style="thin">
          <color theme="3" tint="-0.24994659260841701"/>
        </diagonal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 style="thin">
          <color theme="3" tint="-0.24994659260841701"/>
        </left>
        <right style="thin">
          <color theme="3" tint="-0.24994659260841701"/>
        </right>
        <top style="thin">
          <color theme="3" tint="-0.24994659260841701"/>
        </top>
        <bottom style="thin">
          <color theme="3" tint="-0.24994659260841701"/>
        </bottom>
        <vertical/>
        <horizontal/>
      </border>
    </dxf>
  </dxfs>
  <tableStyles count="1" defaultTableStyle="TableStyleMedium2" defaultPivotStyle="PivotStyleLight16">
    <tableStyle name="Novo Padrão" pivot="0" table="0" count="2">
      <tableStyleElement type="wholeTable" dxfId="415"/>
      <tableStyleElement type="headerRow" dxfId="414"/>
    </tableStyle>
  </tableStyles>
  <colors>
    <mruColors>
      <color rgb="FFAF29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200025</xdr:colOff>
      <xdr:row>1</xdr:row>
      <xdr:rowOff>66675</xdr:rowOff>
    </xdr:from>
    <xdr:to>
      <xdr:col>22</xdr:col>
      <xdr:colOff>466725</xdr:colOff>
      <xdr:row>22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evisão de Chegada">
              <a:extLst>
                <a:ext uri="{FF2B5EF4-FFF2-40B4-BE49-F238E27FC236}">
                  <a16:creationId xmlns:a16="http://schemas.microsoft.com/office/drawing/2014/main" xmlns="" id="{00000000-0008-0000-0E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evisão de Che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9525" y="447675"/>
              <a:ext cx="1323975" cy="119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Luiz Roberto Ramos Nogueira Junior" refreshedDate="43013.484238657409" createdVersion="6" refreshedVersion="4" minRefreshableVersion="3" recordCount="63">
  <cacheSource type="worksheet">
    <worksheetSource name="Importação"/>
  </cacheSource>
  <cacheFields count="14">
    <cacheField name="Código" numFmtId="166">
      <sharedItems containsMixedTypes="1" containsNumber="1" containsInteger="1" minValue="11061224034" maxValue="33070665327" count="56">
        <s v="-"/>
        <n v="11061224034"/>
        <n v="11061224035"/>
        <n v="11061224037"/>
        <n v="11061224044"/>
        <n v="11061224043"/>
        <n v="33070654135"/>
        <n v="33070663218"/>
        <n v="33070664309"/>
        <n v="33070614813"/>
        <n v="33070663175"/>
        <n v="33070661635"/>
        <n v="33070614831"/>
        <n v="33070614830"/>
        <n v="33070665222"/>
        <n v="33070663727"/>
        <n v="33070614744"/>
        <n v="33070614727"/>
        <n v="33070614756"/>
        <n v="33070614723"/>
        <n v="33070614750"/>
        <n v="33070614718"/>
        <n v="33070614724"/>
        <n v="33070654136"/>
        <n v="33070663721"/>
        <n v="33070614751"/>
        <n v="33070614742"/>
        <n v="33070663734"/>
        <n v="33070614028"/>
        <n v="33070654001"/>
        <n v="33070614716"/>
        <n v="33070664013"/>
        <n v="33070614741"/>
        <n v="33070614747"/>
        <n v="33070614016"/>
        <n v="33070663219"/>
        <n v="33070614909"/>
        <n v="33070614897"/>
        <n v="33070614732"/>
        <n v="33070614021"/>
        <n v="33070663176"/>
        <n v="33070614812"/>
        <n v="33070665293"/>
        <n v="33070665294"/>
        <n v="33070665295"/>
        <n v="33070665296"/>
        <n v="33070665297"/>
        <n v="33070660894"/>
        <n v="33070663730"/>
        <n v="33070665298"/>
        <n v="33070665319"/>
        <n v="33070665320"/>
        <n v="33070665327"/>
        <n v="33070665325"/>
        <n v="33070665326"/>
        <n v="30061224597" u="1"/>
      </sharedItems>
    </cacheField>
    <cacheField name="Descrição PT" numFmtId="0">
      <sharedItems count="60">
        <e v="#N/A"/>
        <s v="MP-PAPEL VEGETAL SCHOELLER, A4 210 x 297 mm, 92-95 g/m²"/>
        <s v="MP-PAPEL VEGETAL SCHOELLER 92/95 GR LEGAL (216X355MM)FOLHAS"/>
        <s v="MP-PAPEL VEGETAL SCHOELLER, A3 297 x 420 mm, 90-95 g/m²"/>
        <s v="MP-PAPEL VEGETAL SCHOELLER 60/65GR - A3 (297X420 MM)-FOLHAS"/>
        <s v="MP-PAPEL VEGETAL SCHOELLER 62/65GR- A4 (210X297 MM )FOLHAS"/>
        <s v="OLFA, ESTOJO DE LÂMINAS RSKB-2 - KIT COM 5"/>
        <s v="OLFA, ESTILETE DE SEGURANÇA SK-10"/>
        <s v="OLFA, ESTILETE DE SEGURANÇA SK-6"/>
        <s v="OLFA, BASE DE CORTE MULTIUSO CM-A2 - 60X43CM - 24&quot;X17&quot;"/>
        <s v="OLFA, ESTILETE ESPECIAL PC-S"/>
        <s v="OLFA, ESTILETE MÉDIO MT-1"/>
        <s v="OLFA, ESTILETE ESPECIAL AK-1/5B"/>
        <s v="OLFA, BASE DE CORTE MULTIUSO CM-A3 - 43X30CM - 17&quot;X12&quot;"/>
        <s v="OLFA, ESTOJO DE LÂMINAS LB-50 - KIT COM 50"/>
        <s v="OLFA, ESTOJO DE LÂMINAS LB-10B - KIT COM 10"/>
        <s v="OLFA, ESTOJO DE LÂMINAS ASB-10 - KIT COM 10"/>
        <s v="OLFA, ESTILETE HEAVY DUTY SL-1"/>
        <s v="OLFA, ESTOJO DE LÂMINAS RB28-2 - KIT COM 2"/>
        <s v="OLFA, ESTILETE HEAVY DUTY L-1"/>
        <s v="OLFA, ESTOJO DE LÂMINAS RB45-1"/>
        <s v="OLFA, ESTILETE MULTIUSO 180 BLACK"/>
        <s v="OLFA, ESTILETE HEAVY DUTY L-2"/>
        <s v="OLFA, ESTILETE MULTIUSO SPC-1"/>
        <s v="OLFA, ESTOJO DE LÂMINAS SAB-10B"/>
        <s v="OLFA, ESTOJO DE LÂMINAS KB - KIT COM 25"/>
        <s v="OLFA, ESTILETE ROTATIVO RTY-2G (45MM)"/>
        <s v="OLFA, ESTILETE ESPECIAL CMP-1/DX"/>
        <s v="OLFA, ESTILETE HEAVY DUTY L-5"/>
        <s v="OLFA, ESTILETE MULTIUSO SVR-2 - ESTILETE DE INOX"/>
        <s v="OLFA, ESTILETE HEAVY DUTY EXL"/>
        <s v="OLFA, ESTILETE MULTIUSO A-1"/>
        <s v="OLFA, ESTILETE ROTATIVO RTY-1G (28MM)"/>
        <s v="OLFA, ESTOJO DE LÂMINAS CKB-1 - KIT COM 2"/>
        <s v="OLFA, ESTOJO DE LÂMINA RB60-1"/>
        <s v="OLFA, ESTOJO DE LÂMINAS SKB-10/10B - KIT COM 10"/>
        <s v="OLFA, ESTOJO DE LÂMINAS RB45-10 - KIT COM 10"/>
        <s v="OLFA, ESTILETE ESPECIAL PRC-2"/>
        <s v="OLFA, ESTILETE ESPECIAL CMP-1"/>
        <s v="OLFA, ESTILETE ROTATIVO RTY-4 (18MM)"/>
        <s v="OLFA, ESTILETE ESPECIAL PC-L"/>
        <s v="OLFA, BASE DE CORTE MULTIUSO CM-A1 - 92X61CM - 36&quot;X24&quot;"/>
        <s v="OLFA, ESTILETE HEAVY DUTY L-5/FLB"/>
        <s v="OLFA, ESTILETE HEAVY DUTY L5-AL/LWB"/>
        <s v="OLFA, ESTILETE ESPECIAL PRC-3"/>
        <s v="OLFA, TESOURA ESPECIAL SCS-4"/>
        <s v="OLFA, ESTILETE ROTATIVO RTY-2/C (45MM)"/>
        <s v="OLFA, ESTILETE MULTIUSO A-5"/>
        <s v="OLFA, ESTILETE HEAVY DUTY ML"/>
        <s v="OLFA, ESTILETE DE SEGURANÇA SK-12"/>
        <s v="OLFA, ESPÁTULA GSR-1/3B"/>
        <s v="OLFA, ESTOJO DE LÂMINAS GSB-1S - KIT COM 30"/>
        <s v="OLFA, ESTOJO DE LÂMINAS SKB-2S/10B - AÇO INOX - KIT COM 10"/>
        <s v="OLFA, ESTILETE HEAVY DUTY L-5/LFB" u="1"/>
        <s v="OLFA, ESTILETE L5-AL/LWB" u="1"/>
        <s v="-" u="1"/>
        <s v="MP-PAPEL VEGETAL SCHOELLER 60/65GR- A4 (210X297 MM )FOLHAS" u="1"/>
        <s v="MP-PAPEL VEGETAL SCHOELLER, A4 210 x 297 mm, 90-95 g/m²" u="1"/>
        <s v="MP-PAPEL VEGETAL SCHOELLER 90/95 GR LEGAL (216X355MM)FOLHAS" u="1"/>
        <s v="PAPEL VEGETAL SCHOELLER LASER V-0925, A4 210 x 297 mm, 90-95 g/m², 100 Fls" u="1"/>
      </sharedItems>
    </cacheField>
    <cacheField name="Marca" numFmtId="0">
      <sharedItems/>
    </cacheField>
    <cacheField name="Categoria 1" numFmtId="0">
      <sharedItems/>
    </cacheField>
    <cacheField name="Categoria 2" numFmtId="0">
      <sharedItems/>
    </cacheField>
    <cacheField name="Quantidade" numFmtId="169">
      <sharedItems containsNonDate="0" containsString="0" containsBlank="1"/>
    </cacheField>
    <cacheField name="Nº da Importação" numFmtId="0">
      <sharedItems containsBlank="1"/>
    </cacheField>
    <cacheField name="Origem" numFmtId="0">
      <sharedItems containsBlank="1"/>
    </cacheField>
    <cacheField name="Inicio do Pedido" numFmtId="14">
      <sharedItems containsDate="1" containsMixedTypes="1" minDate="2015-05-09T00:00:00" maxDate="2016-08-10T00:00:00"/>
    </cacheField>
    <cacheField name="Status" numFmtId="0">
      <sharedItems containsBlank="1" count="4">
        <s v="Aprovado"/>
        <s v="OK"/>
        <s v="Em aprovação" u="1"/>
        <m u="1"/>
      </sharedItems>
    </cacheField>
    <cacheField name="Data do Status" numFmtId="14">
      <sharedItems containsDate="1" containsMixedTypes="1" minDate="2015-05-09T00:00:00" maxDate="2016-08-16T00:00:00"/>
    </cacheField>
    <cacheField name="Data de Aprovação" numFmtId="14">
      <sharedItems containsDate="1" containsBlank="1" containsMixedTypes="1" minDate="2015-05-09T00:00:00" maxDate="2016-08-16T00:00:00"/>
    </cacheField>
    <cacheField name="Previsão de Embarque" numFmtId="14">
      <sharedItems containsDate="1" containsBlank="1" containsMixedTypes="1" minDate="2016-03-01T00:00:00" maxDate="2016-07-08T00:00:00"/>
    </cacheField>
    <cacheField name="Previsão de Chegada" numFmtId="14">
      <sharedItems containsDate="1" containsBlank="1" containsMixedTypes="1" minDate="2016-03-21T00:00:00" maxDate="2016-12-02T00:00:00" count="7">
        <s v="Não considerar"/>
        <d v="2016-03-21T00:00:00"/>
        <d v="2016-04-29T00:00:00"/>
        <d v="2016-04-11T00:00:00"/>
        <d v="2016-08-22T00:00:00"/>
        <d v="2016-12-01T00:00:00"/>
        <m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x v="0"/>
    <x v="0"/>
    <s v="-"/>
    <s v="-"/>
    <s v="-"/>
    <m/>
    <s v="-"/>
    <s v="-"/>
    <s v="-"/>
    <x v="0"/>
    <s v="-"/>
    <s v="-"/>
    <s v="-"/>
    <x v="0"/>
  </r>
  <r>
    <x v="1"/>
    <x v="1"/>
    <s v="Vegetal - Schoeller"/>
    <s v="90-95 g/m²"/>
    <s v="A4 210 x 297 mm"/>
    <m/>
    <m/>
    <m/>
    <d v="2015-11-19T00:00:00"/>
    <x v="1"/>
    <d v="2016-03-21T00:00:00"/>
    <m/>
    <m/>
    <x v="1"/>
  </r>
  <r>
    <x v="2"/>
    <x v="2"/>
    <s v="Vegetal - Schoeller"/>
    <s v="90-95 g/m²"/>
    <s v="LEGAL 216 x 355 mm"/>
    <m/>
    <m/>
    <m/>
    <d v="2015-11-19T00:00:00"/>
    <x v="1"/>
    <d v="2016-03-21T00:00:00"/>
    <m/>
    <m/>
    <x v="1"/>
  </r>
  <r>
    <x v="3"/>
    <x v="3"/>
    <s v="Vegetal - Schoeller"/>
    <s v="90-95 g/m²"/>
    <s v="A3 297 x 420 mm"/>
    <m/>
    <m/>
    <m/>
    <d v="2015-11-19T00:00:00"/>
    <x v="1"/>
    <d v="2016-03-21T00:00:00"/>
    <m/>
    <m/>
    <x v="1"/>
  </r>
  <r>
    <x v="3"/>
    <x v="3"/>
    <s v="Vegetal - Schoeller"/>
    <s v="90-95 g/m²"/>
    <s v="A3 297 x 420 mm"/>
    <m/>
    <m/>
    <m/>
    <d v="2015-11-19T00:00:00"/>
    <x v="1"/>
    <d v="2015-05-09T00:00:00"/>
    <m/>
    <d v="2016-03-01T00:00:00"/>
    <x v="2"/>
  </r>
  <r>
    <x v="4"/>
    <x v="4"/>
    <s v="Vegetal - Schoeller"/>
    <s v="60-65 g/m²"/>
    <s v="A3 297 x 420 mm"/>
    <m/>
    <m/>
    <m/>
    <d v="2015-11-19T00:00:00"/>
    <x v="1"/>
    <d v="2015-05-09T00:00:00"/>
    <m/>
    <d v="2016-03-01T00:00:00"/>
    <x v="2"/>
  </r>
  <r>
    <x v="1"/>
    <x v="1"/>
    <s v="Vegetal - Schoeller"/>
    <s v="90-95 g/m²"/>
    <s v="A4 210 x 297 mm"/>
    <m/>
    <m/>
    <m/>
    <d v="2015-11-19T00:00:00"/>
    <x v="1"/>
    <d v="2015-11-19T00:00:00"/>
    <m/>
    <d v="2016-03-01T00:00:00"/>
    <x v="3"/>
  </r>
  <r>
    <x v="2"/>
    <x v="2"/>
    <s v="Vegetal - Schoeller"/>
    <s v="90-95 g/m²"/>
    <s v="LEGAL 216 x 355 mm"/>
    <m/>
    <m/>
    <m/>
    <d v="2015-11-19T00:00:00"/>
    <x v="1"/>
    <d v="2015-11-19T00:00:00"/>
    <m/>
    <d v="2016-03-01T00:00:00"/>
    <x v="3"/>
  </r>
  <r>
    <x v="5"/>
    <x v="5"/>
    <s v="Vegetal - Schoeller"/>
    <s v="60-65 g/m²"/>
    <s v="A4 210 x 297 mm"/>
    <m/>
    <m/>
    <m/>
    <d v="2015-11-19T00:00:00"/>
    <x v="1"/>
    <d v="2015-11-19T00:00:00"/>
    <m/>
    <d v="2016-03-01T00:00:00"/>
    <x v="3"/>
  </r>
  <r>
    <x v="6"/>
    <x v="6"/>
    <s v="Olfa"/>
    <s v="Estojo de Lâminas"/>
    <s v="Segurança"/>
    <m/>
    <m/>
    <m/>
    <d v="2015-05-09T00:00:00"/>
    <x v="1"/>
    <d v="2015-05-09T00:00:00"/>
    <d v="2015-05-09T00:00:00"/>
    <d v="2016-07-07T00:00:00"/>
    <x v="4"/>
  </r>
  <r>
    <x v="7"/>
    <x v="7"/>
    <s v="Olfa"/>
    <s v="Estilete de Segurança"/>
    <s v="Segurança"/>
    <m/>
    <m/>
    <m/>
    <d v="2015-05-09T00:00:00"/>
    <x v="1"/>
    <d v="2015-05-09T00:00:00"/>
    <d v="2015-05-09T00:00:00"/>
    <d v="2016-07-07T00:00:00"/>
    <x v="4"/>
  </r>
  <r>
    <x v="8"/>
    <x v="8"/>
    <s v="Olfa"/>
    <s v="Estilete de Segurança"/>
    <s v="Segurança"/>
    <m/>
    <m/>
    <m/>
    <d v="2015-05-09T00:00:00"/>
    <x v="1"/>
    <d v="2015-05-09T00:00:00"/>
    <d v="2015-05-09T00:00:00"/>
    <d v="2016-07-07T00:00:00"/>
    <x v="4"/>
  </r>
  <r>
    <x v="9"/>
    <x v="9"/>
    <s v="Olfa"/>
    <s v="Base de Corte"/>
    <s v="Multiuso"/>
    <m/>
    <m/>
    <m/>
    <d v="2015-05-09T00:00:00"/>
    <x v="1"/>
    <d v="2015-05-09T00:00:00"/>
    <d v="2015-05-09T00:00:00"/>
    <d v="2016-07-07T00:00:00"/>
    <x v="4"/>
  </r>
  <r>
    <x v="10"/>
    <x v="10"/>
    <s v="Olfa"/>
    <s v="Estilete Especial"/>
    <s v="Especial"/>
    <m/>
    <m/>
    <m/>
    <d v="2015-05-09T00:00:00"/>
    <x v="1"/>
    <d v="2015-05-09T00:00:00"/>
    <d v="2015-05-09T00:00:00"/>
    <d v="2016-07-07T00:00:00"/>
    <x v="4"/>
  </r>
  <r>
    <x v="11"/>
    <x v="11"/>
    <s v="Olfa"/>
    <s v="Estilete Multiuso"/>
    <s v="Multiuso"/>
    <m/>
    <m/>
    <m/>
    <d v="2015-05-09T00:00:00"/>
    <x v="1"/>
    <d v="2015-05-09T00:00:00"/>
    <d v="2015-05-09T00:00:00"/>
    <d v="2016-07-07T00:00:00"/>
    <x v="4"/>
  </r>
  <r>
    <x v="12"/>
    <x v="12"/>
    <s v="Olfa"/>
    <s v="Estilete Especial"/>
    <s v="Especial"/>
    <m/>
    <m/>
    <m/>
    <d v="2015-05-09T00:00:00"/>
    <x v="1"/>
    <d v="2015-05-09T00:00:00"/>
    <d v="2015-05-09T00:00:00"/>
    <d v="2016-07-07T00:00:00"/>
    <x v="4"/>
  </r>
  <r>
    <x v="13"/>
    <x v="13"/>
    <s v="Olfa"/>
    <s v="Base de Corte"/>
    <s v="Multiuso"/>
    <m/>
    <m/>
    <m/>
    <d v="2015-05-09T00:00:00"/>
    <x v="1"/>
    <d v="2015-05-09T00:00:00"/>
    <d v="2015-05-09T00:00:00"/>
    <d v="2016-07-07T00:00:00"/>
    <x v="4"/>
  </r>
  <r>
    <x v="14"/>
    <x v="14"/>
    <s v="Olfa"/>
    <s v="Estojo de Lâminas"/>
    <s v="Heavy Duty"/>
    <m/>
    <m/>
    <m/>
    <d v="2015-05-09T00:00:00"/>
    <x v="1"/>
    <d v="2015-05-09T00:00:00"/>
    <d v="2015-05-09T00:00:00"/>
    <d v="2016-07-07T00:00:00"/>
    <x v="4"/>
  </r>
  <r>
    <x v="15"/>
    <x v="15"/>
    <s v="Olfa"/>
    <s v="Estojo de Lâminas"/>
    <s v="Heavy Duty"/>
    <m/>
    <m/>
    <m/>
    <d v="2016-08-09T00:00:00"/>
    <x v="1"/>
    <d v="2016-08-15T00:00:00"/>
    <d v="2016-08-15T00:00:00"/>
    <m/>
    <x v="5"/>
  </r>
  <r>
    <x v="16"/>
    <x v="16"/>
    <s v="Olfa"/>
    <s v="Estojo de Lâminas"/>
    <s v="Multiuso"/>
    <m/>
    <m/>
    <m/>
    <d v="2016-08-09T00:00:00"/>
    <x v="1"/>
    <d v="2016-08-15T00:00:00"/>
    <d v="2016-08-15T00:00:00"/>
    <m/>
    <x v="5"/>
  </r>
  <r>
    <x v="14"/>
    <x v="14"/>
    <s v="Olfa"/>
    <s v="Estojo de Lâminas"/>
    <s v="Heavy Duty"/>
    <m/>
    <m/>
    <m/>
    <d v="2016-08-09T00:00:00"/>
    <x v="1"/>
    <d v="2016-08-15T00:00:00"/>
    <d v="2016-08-15T00:00:00"/>
    <m/>
    <x v="5"/>
  </r>
  <r>
    <x v="17"/>
    <x v="17"/>
    <s v="Olfa"/>
    <s v="Estilete Heavy Duty"/>
    <s v="Heavy Duty"/>
    <m/>
    <m/>
    <m/>
    <d v="2016-08-09T00:00:00"/>
    <x v="1"/>
    <d v="2016-08-15T00:00:00"/>
    <d v="2016-08-15T00:00:00"/>
    <m/>
    <x v="5"/>
  </r>
  <r>
    <x v="18"/>
    <x v="18"/>
    <s v="Olfa"/>
    <s v="Estojo de Lâminas"/>
    <s v="Rotativo"/>
    <m/>
    <m/>
    <m/>
    <d v="2016-08-09T00:00:00"/>
    <x v="1"/>
    <d v="2016-08-15T00:00:00"/>
    <d v="2016-08-15T00:00:00"/>
    <m/>
    <x v="5"/>
  </r>
  <r>
    <x v="19"/>
    <x v="19"/>
    <s v="Olfa"/>
    <s v="Estilete Heavy Duty"/>
    <s v="Heavy Duty"/>
    <m/>
    <m/>
    <m/>
    <d v="2016-08-09T00:00:00"/>
    <x v="1"/>
    <d v="2016-08-15T00:00:00"/>
    <d v="2016-08-15T00:00:00"/>
    <m/>
    <x v="5"/>
  </r>
  <r>
    <x v="20"/>
    <x v="20"/>
    <s v="Olfa"/>
    <s v="Estojo de Lâminas"/>
    <s v="Rotativo"/>
    <m/>
    <m/>
    <m/>
    <d v="2016-08-09T00:00:00"/>
    <x v="1"/>
    <d v="2016-08-15T00:00:00"/>
    <d v="2016-08-15T00:00:00"/>
    <m/>
    <x v="5"/>
  </r>
  <r>
    <x v="21"/>
    <x v="21"/>
    <s v="Olfa"/>
    <s v="Estilete Multiuso"/>
    <s v="Multiuso"/>
    <m/>
    <m/>
    <m/>
    <d v="2016-08-09T00:00:00"/>
    <x v="1"/>
    <d v="2016-08-15T00:00:00"/>
    <d v="2016-08-15T00:00:00"/>
    <m/>
    <x v="5"/>
  </r>
  <r>
    <x v="12"/>
    <x v="12"/>
    <s v="Olfa"/>
    <s v="Estilete Especial"/>
    <s v="Especial"/>
    <m/>
    <m/>
    <m/>
    <d v="2016-08-09T00:00:00"/>
    <x v="1"/>
    <d v="2016-08-15T00:00:00"/>
    <d v="2016-08-15T00:00:00"/>
    <m/>
    <x v="5"/>
  </r>
  <r>
    <x v="22"/>
    <x v="22"/>
    <s v="Olfa"/>
    <s v="Estilete Heavy Duty"/>
    <s v="Heavy Duty"/>
    <m/>
    <m/>
    <m/>
    <d v="2016-08-09T00:00:00"/>
    <x v="1"/>
    <d v="2016-08-15T00:00:00"/>
    <d v="2016-08-15T00:00:00"/>
    <m/>
    <x v="5"/>
  </r>
  <r>
    <x v="23"/>
    <x v="23"/>
    <s v="Olfa"/>
    <s v="Estilete Multiuso"/>
    <s v="Multiuso"/>
    <m/>
    <m/>
    <m/>
    <d v="2016-08-09T00:00:00"/>
    <x v="1"/>
    <d v="2016-08-15T00:00:00"/>
    <d v="2016-08-15T00:00:00"/>
    <m/>
    <x v="5"/>
  </r>
  <r>
    <x v="13"/>
    <x v="13"/>
    <s v="Olfa"/>
    <s v="Base de Corte"/>
    <s v="Multiuso"/>
    <m/>
    <m/>
    <m/>
    <d v="2016-08-09T00:00:00"/>
    <x v="1"/>
    <d v="2016-08-15T00:00:00"/>
    <d v="2016-08-15T00:00:00"/>
    <m/>
    <x v="5"/>
  </r>
  <r>
    <x v="9"/>
    <x v="9"/>
    <s v="Olfa"/>
    <s v="Base de Corte"/>
    <s v="Multiuso"/>
    <m/>
    <m/>
    <m/>
    <d v="2016-08-09T00:00:00"/>
    <x v="1"/>
    <d v="2016-08-15T00:00:00"/>
    <d v="2016-08-15T00:00:00"/>
    <m/>
    <x v="5"/>
  </r>
  <r>
    <x v="24"/>
    <x v="24"/>
    <s v="Olfa"/>
    <s v="Estojo de Lâminas"/>
    <s v="Especial"/>
    <m/>
    <m/>
    <m/>
    <d v="2016-08-09T00:00:00"/>
    <x v="1"/>
    <d v="2016-08-15T00:00:00"/>
    <d v="2016-08-15T00:00:00"/>
    <m/>
    <x v="5"/>
  </r>
  <r>
    <x v="25"/>
    <x v="25"/>
    <s v="Olfa"/>
    <s v="Estojo de Lâminas"/>
    <s v="Especial"/>
    <m/>
    <m/>
    <m/>
    <d v="2016-08-09T00:00:00"/>
    <x v="1"/>
    <d v="2016-08-15T00:00:00"/>
    <d v="2016-08-15T00:00:00"/>
    <m/>
    <x v="5"/>
  </r>
  <r>
    <x v="26"/>
    <x v="26"/>
    <s v="Olfa"/>
    <s v="Estilete Rotativo"/>
    <s v="Rotativo"/>
    <m/>
    <m/>
    <m/>
    <d v="2016-08-09T00:00:00"/>
    <x v="1"/>
    <d v="2016-08-15T00:00:00"/>
    <d v="2016-08-15T00:00:00"/>
    <m/>
    <x v="5"/>
  </r>
  <r>
    <x v="27"/>
    <x v="27"/>
    <s v="Olfa"/>
    <s v="Estilete Especial"/>
    <s v="Especial"/>
    <m/>
    <m/>
    <m/>
    <d v="2016-08-09T00:00:00"/>
    <x v="1"/>
    <d v="2016-08-15T00:00:00"/>
    <d v="2016-08-15T00:00:00"/>
    <m/>
    <x v="5"/>
  </r>
  <r>
    <x v="28"/>
    <x v="28"/>
    <s v="Olfa"/>
    <s v="Estilete Heavy Duty"/>
    <s v="Heavy Duty"/>
    <m/>
    <m/>
    <m/>
    <d v="2016-08-09T00:00:00"/>
    <x v="1"/>
    <d v="2016-08-15T00:00:00"/>
    <d v="2016-08-15T00:00:00"/>
    <m/>
    <x v="5"/>
  </r>
  <r>
    <x v="29"/>
    <x v="29"/>
    <s v="Olfa"/>
    <s v="Estilete Multiuso"/>
    <s v="Multiuso"/>
    <m/>
    <m/>
    <m/>
    <d v="2016-08-09T00:00:00"/>
    <x v="1"/>
    <d v="2016-08-15T00:00:00"/>
    <d v="2016-08-15T00:00:00"/>
    <m/>
    <x v="5"/>
  </r>
  <r>
    <x v="30"/>
    <x v="30"/>
    <s v="Olfa"/>
    <s v="Estilete Heavy Duty"/>
    <s v="Heavy Duty"/>
    <m/>
    <m/>
    <m/>
    <d v="2016-08-09T00:00:00"/>
    <x v="1"/>
    <d v="2016-08-15T00:00:00"/>
    <d v="2016-08-15T00:00:00"/>
    <m/>
    <x v="5"/>
  </r>
  <r>
    <x v="31"/>
    <x v="31"/>
    <s v="Olfa"/>
    <s v="Estilete Multiuso"/>
    <s v="Multiuso"/>
    <m/>
    <m/>
    <m/>
    <d v="2016-08-09T00:00:00"/>
    <x v="1"/>
    <d v="2016-08-15T00:00:00"/>
    <d v="2016-08-15T00:00:00"/>
    <m/>
    <x v="5"/>
  </r>
  <r>
    <x v="32"/>
    <x v="32"/>
    <s v="Olfa"/>
    <s v="Estilete Rotativo"/>
    <s v="Rotativo"/>
    <m/>
    <m/>
    <m/>
    <d v="2016-08-09T00:00:00"/>
    <x v="1"/>
    <d v="2016-08-15T00:00:00"/>
    <d v="2016-08-15T00:00:00"/>
    <m/>
    <x v="5"/>
  </r>
  <r>
    <x v="33"/>
    <x v="33"/>
    <s v="Olfa"/>
    <s v="Estojo de Lâminas"/>
    <s v="Especial"/>
    <m/>
    <m/>
    <m/>
    <d v="2016-08-09T00:00:00"/>
    <x v="1"/>
    <d v="2016-08-15T00:00:00"/>
    <d v="2016-08-15T00:00:00"/>
    <m/>
    <x v="5"/>
  </r>
  <r>
    <x v="34"/>
    <x v="34"/>
    <s v="Olfa"/>
    <s v="Estojo de Lâminas"/>
    <s v="Rotativo"/>
    <m/>
    <m/>
    <m/>
    <d v="2016-08-09T00:00:00"/>
    <x v="1"/>
    <d v="2016-08-15T00:00:00"/>
    <d v="2016-08-15T00:00:00"/>
    <m/>
    <x v="5"/>
  </r>
  <r>
    <x v="35"/>
    <x v="35"/>
    <s v="Olfa"/>
    <s v="Estojo de Lâminas"/>
    <s v="Segurança"/>
    <m/>
    <m/>
    <m/>
    <d v="2016-08-09T00:00:00"/>
    <x v="1"/>
    <d v="2016-08-15T00:00:00"/>
    <d v="2016-08-15T00:00:00"/>
    <m/>
    <x v="5"/>
  </r>
  <r>
    <x v="36"/>
    <x v="36"/>
    <s v="Olfa"/>
    <s v="Estojo de Lâminas"/>
    <s v="Rotativo"/>
    <m/>
    <m/>
    <m/>
    <d v="2016-08-09T00:00:00"/>
    <x v="1"/>
    <d v="2016-08-15T00:00:00"/>
    <d v="2016-08-15T00:00:00"/>
    <m/>
    <x v="5"/>
  </r>
  <r>
    <x v="37"/>
    <x v="37"/>
    <s v="Olfa"/>
    <s v="Estilete Especial"/>
    <s v="Especial"/>
    <m/>
    <m/>
    <m/>
    <d v="2016-08-09T00:00:00"/>
    <x v="1"/>
    <d v="2016-08-15T00:00:00"/>
    <d v="2016-08-15T00:00:00"/>
    <m/>
    <x v="5"/>
  </r>
  <r>
    <x v="38"/>
    <x v="38"/>
    <s v="Olfa"/>
    <s v="Estilete Especial"/>
    <s v="Especial"/>
    <m/>
    <m/>
    <m/>
    <d v="2016-08-09T00:00:00"/>
    <x v="1"/>
    <d v="2016-08-15T00:00:00"/>
    <d v="2016-08-15T00:00:00"/>
    <m/>
    <x v="5"/>
  </r>
  <r>
    <x v="39"/>
    <x v="39"/>
    <s v="Olfa"/>
    <s v="Estilete Rotativo"/>
    <s v="Rotativo"/>
    <m/>
    <m/>
    <m/>
    <d v="2016-08-09T00:00:00"/>
    <x v="1"/>
    <d v="2016-08-15T00:00:00"/>
    <d v="2016-08-15T00:00:00"/>
    <m/>
    <x v="5"/>
  </r>
  <r>
    <x v="40"/>
    <x v="40"/>
    <s v="Olfa"/>
    <s v="Estilete Especial"/>
    <s v="Especial"/>
    <m/>
    <m/>
    <m/>
    <d v="2016-08-09T00:00:00"/>
    <x v="1"/>
    <d v="2016-08-15T00:00:00"/>
    <d v="2016-08-15T00:00:00"/>
    <m/>
    <x v="5"/>
  </r>
  <r>
    <x v="41"/>
    <x v="41"/>
    <s v="Olfa"/>
    <s v="Base de Corte"/>
    <s v="Multiuso"/>
    <m/>
    <m/>
    <m/>
    <d v="2016-08-09T00:00:00"/>
    <x v="1"/>
    <d v="2016-08-15T00:00:00"/>
    <d v="2016-08-15T00:00:00"/>
    <m/>
    <x v="5"/>
  </r>
  <r>
    <x v="42"/>
    <x v="42"/>
    <s v="Olfa"/>
    <s v="Estilete Heavy Duty"/>
    <s v="Heavy Duty"/>
    <m/>
    <m/>
    <m/>
    <d v="2016-08-09T00:00:00"/>
    <x v="1"/>
    <d v="2016-08-15T00:00:00"/>
    <d v="2016-08-15T00:00:00"/>
    <m/>
    <x v="5"/>
  </r>
  <r>
    <x v="43"/>
    <x v="43"/>
    <s v="Olfa"/>
    <s v="Estilete Heavy Duty"/>
    <s v="Heavy Duty"/>
    <m/>
    <m/>
    <m/>
    <d v="2016-08-09T00:00:00"/>
    <x v="1"/>
    <d v="2016-08-15T00:00:00"/>
    <d v="2016-08-15T00:00:00"/>
    <m/>
    <x v="5"/>
  </r>
  <r>
    <x v="44"/>
    <x v="44"/>
    <s v="Olfa"/>
    <s v="Estilete Especial"/>
    <s v="Especial"/>
    <m/>
    <m/>
    <m/>
    <d v="2016-08-09T00:00:00"/>
    <x v="1"/>
    <d v="2016-08-15T00:00:00"/>
    <d v="2016-08-15T00:00:00"/>
    <m/>
    <x v="5"/>
  </r>
  <r>
    <x v="45"/>
    <x v="45"/>
    <s v="Olfa"/>
    <s v="Tesoura"/>
    <s v="Tesoura"/>
    <m/>
    <m/>
    <m/>
    <d v="2016-08-09T00:00:00"/>
    <x v="1"/>
    <d v="2016-08-15T00:00:00"/>
    <d v="2016-08-15T00:00:00"/>
    <m/>
    <x v="5"/>
  </r>
  <r>
    <x v="46"/>
    <x v="46"/>
    <s v="Olfa"/>
    <s v="Estilete Rotativo"/>
    <s v="Rotativo"/>
    <m/>
    <m/>
    <m/>
    <d v="2016-08-09T00:00:00"/>
    <x v="1"/>
    <d v="2016-08-15T00:00:00"/>
    <d v="2016-08-15T00:00:00"/>
    <m/>
    <x v="5"/>
  </r>
  <r>
    <x v="6"/>
    <x v="6"/>
    <s v="Olfa"/>
    <s v="Estojo de Lâminas"/>
    <s v="Segurança"/>
    <m/>
    <m/>
    <m/>
    <d v="2016-08-09T00:00:00"/>
    <x v="1"/>
    <d v="2016-08-15T00:00:00"/>
    <d v="2016-08-15T00:00:00"/>
    <m/>
    <x v="5"/>
  </r>
  <r>
    <x v="47"/>
    <x v="47"/>
    <s v="Olfa"/>
    <s v="Estilete Multiuso"/>
    <s v="Multiuso"/>
    <m/>
    <m/>
    <m/>
    <d v="2016-08-09T00:00:00"/>
    <x v="1"/>
    <d v="2016-08-15T00:00:00"/>
    <d v="2016-08-15T00:00:00"/>
    <m/>
    <x v="5"/>
  </r>
  <r>
    <x v="48"/>
    <x v="48"/>
    <s v="Olfa"/>
    <s v="Estilete Multiuso"/>
    <s v="Multiuso"/>
    <m/>
    <m/>
    <m/>
    <d v="2016-08-09T00:00:00"/>
    <x v="1"/>
    <d v="2016-08-15T00:00:00"/>
    <d v="2016-08-15T00:00:00"/>
    <m/>
    <x v="5"/>
  </r>
  <r>
    <x v="49"/>
    <x v="49"/>
    <s v="Olfa"/>
    <s v="Estilete de Segurança"/>
    <s v="Segurança"/>
    <m/>
    <m/>
    <m/>
    <d v="2016-08-09T00:00:00"/>
    <x v="1"/>
    <d v="2016-08-15T00:00:00"/>
    <d v="2016-08-15T00:00:00"/>
    <m/>
    <x v="5"/>
  </r>
  <r>
    <x v="50"/>
    <x v="50"/>
    <s v="Olfa"/>
    <s v="Espátula"/>
    <s v="Espátula"/>
    <m/>
    <m/>
    <m/>
    <d v="2016-08-09T00:00:00"/>
    <x v="1"/>
    <d v="2016-08-15T00:00:00"/>
    <d v="2016-08-15T00:00:00"/>
    <m/>
    <x v="5"/>
  </r>
  <r>
    <x v="51"/>
    <x v="51"/>
    <s v="Olfa"/>
    <s v="Estojo de Lâminas"/>
    <s v="Espátula"/>
    <m/>
    <m/>
    <m/>
    <d v="2016-08-09T00:00:00"/>
    <x v="1"/>
    <d v="2016-08-15T00:00:00"/>
    <d v="2016-08-15T00:00:00"/>
    <m/>
    <x v="5"/>
  </r>
  <r>
    <x v="52"/>
    <x v="52"/>
    <s v="Olfa"/>
    <s v="Estojo de Lâminas"/>
    <s v="Segurança"/>
    <m/>
    <m/>
    <m/>
    <d v="2016-08-09T00:00:00"/>
    <x v="1"/>
    <d v="2016-08-15T00:00:00"/>
    <d v="2016-08-15T00:00:00"/>
    <m/>
    <x v="5"/>
  </r>
  <r>
    <x v="53"/>
    <x v="43"/>
    <s v="Olfa"/>
    <s v="Estilete Heavy Duty"/>
    <s v="Heavy Duty"/>
    <m/>
    <m/>
    <m/>
    <d v="2016-08-09T00:00:00"/>
    <x v="1"/>
    <d v="2016-08-15T00:00:00"/>
    <d v="2016-08-15T00:00:00"/>
    <m/>
    <x v="5"/>
  </r>
  <r>
    <x v="54"/>
    <x v="42"/>
    <s v="Olfa"/>
    <s v="Estilete Heavy Duty"/>
    <s v="Heavy Duty"/>
    <m/>
    <m/>
    <m/>
    <d v="2016-08-09T00:00:00"/>
    <x v="1"/>
    <d v="2016-08-15T00:00:00"/>
    <d v="2016-08-15T00:00:00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B_Importato" cacheId="13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6" indent="0" compact="0" compactData="0" multipleFieldFilters="0">
  <location ref="P4:R59" firstHeaderRow="1" firstDataRow="1" firstDataCol="2" rowPageCount="1" colPageCount="1"/>
  <pivotFields count="14">
    <pivotField axis="axisRow" compact="0" numFmtId="166" outline="0" showAll="0" defaultSubtotal="0">
      <items count="56">
        <item x="1"/>
        <item x="2"/>
        <item x="3"/>
        <item x="5"/>
        <item x="4"/>
        <item m="1" x="5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0"/>
        <item x="19"/>
        <item x="21"/>
        <item x="23"/>
        <item x="22"/>
        <item x="46"/>
        <item x="26"/>
        <item x="25"/>
        <item x="24"/>
        <item x="49"/>
        <item x="30"/>
        <item x="32"/>
        <item x="28"/>
        <item x="33"/>
        <item x="34"/>
        <item x="35"/>
        <item x="31"/>
        <item x="27"/>
        <item x="29"/>
        <item x="44"/>
        <item x="36"/>
        <item x="37"/>
        <item x="39"/>
        <item x="38"/>
        <item x="40"/>
        <item x="42"/>
        <item x="43"/>
        <item x="45"/>
        <item x="41"/>
        <item x="0"/>
        <item x="47"/>
        <item x="48"/>
        <item x="50"/>
        <item x="51"/>
        <item x="52"/>
        <item x="53"/>
        <item x="54"/>
      </items>
    </pivotField>
    <pivotField axis="axisRow" compact="0" outline="0" showAll="0" defaultSubtotal="0">
      <items count="60">
        <item x="4"/>
        <item m="1" x="56"/>
        <item m="1" x="58"/>
        <item x="3"/>
        <item m="1" x="57"/>
        <item m="1" x="59"/>
        <item x="6"/>
        <item x="7"/>
        <item x="8"/>
        <item x="9"/>
        <item x="10"/>
        <item x="11"/>
        <item x="12"/>
        <item x="13"/>
        <item x="1"/>
        <item x="2"/>
        <item x="5"/>
        <item x="14"/>
        <item x="15"/>
        <item x="16"/>
        <item x="17"/>
        <item x="18"/>
        <item x="20"/>
        <item x="19"/>
        <item x="21"/>
        <item x="23"/>
        <item x="22"/>
        <item x="46"/>
        <item x="26"/>
        <item x="25"/>
        <item x="24"/>
        <item x="49"/>
        <item x="30"/>
        <item x="32"/>
        <item x="28"/>
        <item x="33"/>
        <item x="34"/>
        <item x="35"/>
        <item x="31"/>
        <item x="27"/>
        <item x="29"/>
        <item x="44"/>
        <item x="36"/>
        <item x="37"/>
        <item x="39"/>
        <item x="38"/>
        <item x="40"/>
        <item m="1" x="53"/>
        <item m="1" x="54"/>
        <item x="45"/>
        <item x="41"/>
        <item x="0"/>
        <item m="1" x="55"/>
        <item x="47"/>
        <item x="48"/>
        <item x="50"/>
        <item x="51"/>
        <item x="42"/>
        <item x="43"/>
        <item x="52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numFmtId="169" outline="0" showAll="0" defaultSubtotal="0"/>
    <pivotField compact="0" outline="0" showAll="0" defaultSubtotal="0"/>
    <pivotField compact="0" outline="0" showAll="0" defaultSubtotal="0"/>
    <pivotField compact="0" numFmtId="14" outline="0" showAll="0" defaultSubtotal="0"/>
    <pivotField axis="axisPage" compact="0" outline="0" multipleItemSelectionAllowed="1" showAll="0" defaultSubtotal="0">
      <items count="4">
        <item x="0"/>
        <item x="1"/>
        <item m="1" x="2"/>
        <item h="1" m="1" x="3"/>
      </items>
    </pivotField>
    <pivotField compact="0" numFmtId="14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>
      <items count="7">
        <item x="0"/>
        <item x="1"/>
        <item x="3"/>
        <item x="2"/>
        <item x="4"/>
        <item x="5"/>
        <item h="1" m="1" x="6"/>
      </items>
    </pivotField>
  </pivotFields>
  <rowFields count="2">
    <field x="0"/>
    <field x="1"/>
  </rowFields>
  <rowItems count="55">
    <i>
      <x/>
      <x v="14"/>
    </i>
    <i>
      <x v="1"/>
      <x v="15"/>
    </i>
    <i>
      <x v="2"/>
      <x v="3"/>
    </i>
    <i>
      <x v="3"/>
      <x v="16"/>
    </i>
    <i>
      <x v="4"/>
      <x/>
    </i>
    <i>
      <x v="6"/>
      <x v="6"/>
    </i>
    <i>
      <x v="7"/>
      <x v="7"/>
    </i>
    <i>
      <x v="8"/>
      <x v="8"/>
    </i>
    <i>
      <x v="9"/>
      <x v="9"/>
    </i>
    <i>
      <x v="10"/>
      <x v="10"/>
    </i>
    <i>
      <x v="11"/>
      <x v="11"/>
    </i>
    <i>
      <x v="12"/>
      <x v="12"/>
    </i>
    <i>
      <x v="13"/>
      <x v="13"/>
    </i>
    <i>
      <x v="14"/>
      <x v="17"/>
    </i>
    <i>
      <x v="15"/>
      <x v="18"/>
    </i>
    <i>
      <x v="16"/>
      <x v="19"/>
    </i>
    <i>
      <x v="17"/>
      <x v="20"/>
    </i>
    <i>
      <x v="18"/>
      <x v="21"/>
    </i>
    <i>
      <x v="19"/>
      <x v="22"/>
    </i>
    <i>
      <x v="20"/>
      <x v="23"/>
    </i>
    <i>
      <x v="21"/>
      <x v="24"/>
    </i>
    <i>
      <x v="22"/>
      <x v="25"/>
    </i>
    <i>
      <x v="23"/>
      <x v="26"/>
    </i>
    <i>
      <x v="24"/>
      <x v="27"/>
    </i>
    <i>
      <x v="25"/>
      <x v="28"/>
    </i>
    <i>
      <x v="26"/>
      <x v="29"/>
    </i>
    <i>
      <x v="27"/>
      <x v="30"/>
    </i>
    <i>
      <x v="28"/>
      <x v="31"/>
    </i>
    <i>
      <x v="29"/>
      <x v="32"/>
    </i>
    <i>
      <x v="30"/>
      <x v="33"/>
    </i>
    <i>
      <x v="31"/>
      <x v="34"/>
    </i>
    <i>
      <x v="32"/>
      <x v="35"/>
    </i>
    <i>
      <x v="33"/>
      <x v="36"/>
    </i>
    <i>
      <x v="34"/>
      <x v="37"/>
    </i>
    <i>
      <x v="35"/>
      <x v="38"/>
    </i>
    <i>
      <x v="36"/>
      <x v="39"/>
    </i>
    <i>
      <x v="37"/>
      <x v="40"/>
    </i>
    <i>
      <x v="38"/>
      <x v="41"/>
    </i>
    <i>
      <x v="39"/>
      <x v="42"/>
    </i>
    <i>
      <x v="40"/>
      <x v="43"/>
    </i>
    <i>
      <x v="41"/>
      <x v="44"/>
    </i>
    <i>
      <x v="42"/>
      <x v="45"/>
    </i>
    <i>
      <x v="43"/>
      <x v="46"/>
    </i>
    <i>
      <x v="44"/>
      <x v="57"/>
    </i>
    <i>
      <x v="45"/>
      <x v="58"/>
    </i>
    <i>
      <x v="46"/>
      <x v="49"/>
    </i>
    <i>
      <x v="47"/>
      <x v="50"/>
    </i>
    <i>
      <x v="48"/>
      <x v="51"/>
    </i>
    <i>
      <x v="49"/>
      <x v="53"/>
    </i>
    <i>
      <x v="50"/>
      <x v="54"/>
    </i>
    <i>
      <x v="51"/>
      <x v="55"/>
    </i>
    <i>
      <x v="52"/>
      <x v="56"/>
    </i>
    <i>
      <x v="53"/>
      <x v="59"/>
    </i>
    <i>
      <x v="54"/>
      <x v="58"/>
    </i>
    <i>
      <x v="55"/>
      <x v="57"/>
    </i>
  </rowItems>
  <colItems count="1">
    <i/>
  </colItems>
  <pageFields count="1">
    <pageField fld="9" hier="-1"/>
  </pageFields>
  <dataFields count="1">
    <dataField name="Q" fld="5" baseField="0" baseItem="4" numFmtId="169"/>
  </dataFields>
  <formats count="4">
    <format dxfId="33">
      <pivotArea outline="0" collapsedLevelsAreSubtotals="1" fieldPosition="0">
        <references count="1">
          <reference field="0" count="2" selected="0">
            <x v="3"/>
            <x v="4"/>
          </reference>
        </references>
      </pivotArea>
    </format>
    <format dxfId="32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3"/>
          </reference>
          <reference field="1" count="1">
            <x v="1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Consulta de Excel Files" connectionId="1" autoFormatId="16" applyNumberFormats="0" applyBorderFormats="0" applyFontFormats="0" applyPatternFormats="0" applyAlignmentFormats="0" applyWidthHeightFormats="0">
  <queryTableRefresh nextId="10">
    <queryTableFields count="8">
      <queryTableField id="1" name="Código EMS" tableColumnId="121"/>
      <queryTableField id="2" name="Marca" tableColumnId="122"/>
      <queryTableField id="3" name="Categoria 1" tableColumnId="123"/>
      <queryTableField id="4" name="Categoria 2" tableColumnId="124"/>
      <queryTableField id="5" name="Tipo de Material" tableColumnId="125"/>
      <queryTableField id="6" name="Descrição PT" tableColumnId="126"/>
      <queryTableField id="7" name="Status" tableColumnId="127"/>
      <queryTableField id="9" name="Nome_Abreviado" tableColumnId="1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Previsão_de_Chegada" sourceName="Previsão de Chegada">
  <pivotTables>
    <pivotTable tabId="19" name="TB_Importato"/>
  </pivotTables>
  <data>
    <tabular pivotCacheId="1" showMissing="0">
      <items count="7">
        <i x="0" s="1" nd="1"/>
        <i x="1" s="1" nd="1"/>
        <i x="3" s="1" nd="1"/>
        <i x="2" s="1" nd="1"/>
        <i x="4" s="1" nd="1"/>
        <i x="5" s="1" nd="1"/>
        <i x="6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evisão de Chegada" cache="SegmentaçãodeDados_Previsão_de_Chegada" caption="Previsão de Chegada" rowHeight="241300"/>
</slicer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9" name="Vegetal" displayName="Vegetal" ref="A6:AA42" totalsRowShown="0" headerRowDxfId="413" dataDxfId="412" tableBorderDxfId="411">
  <autoFilter ref="A6:AA42"/>
  <sortState ref="A7:AA42">
    <sortCondition ref="B7:B42"/>
    <sortCondition ref="A7:A42" customList="Em Linha,Materia Prima,Componente,Promocional,Fora de Linha"/>
    <sortCondition ref="N7:N42"/>
  </sortState>
  <tableColumns count="27">
    <tableColumn id="1" name="Status" dataDxfId="410">
      <calculatedColumnFormula>VLOOKUP(Vegetal[[#This Row],[Código]],BD_Produto[#All],7,FALSE)</calculatedColumnFormula>
    </tableColumn>
    <tableColumn id="2" name="ok" dataDxfId="409">
      <calculatedColumnFormula>IF(OR(Vegetal[[#This Row],[Status]]="Em linha",Vegetal[[#This Row],[Status]]="Materia Prima",Vegetal[[#This Row],[Status]]="Componente"),"ok",IF(Vegetal[[#This Row],[Estoque+Importação]]&lt;1,"Tirar","ok"))</calculatedColumnFormula>
    </tableColumn>
    <tableColumn id="3" name="Código" dataDxfId="408"/>
    <tableColumn id="4" name="Descrição PT" dataDxfId="407"/>
    <tableColumn id="5" name="Categoria 1" dataDxfId="406">
      <calculatedColumnFormula>VLOOKUP(Vegetal[[#This Row],[Código]],BD_Produto[],3,FALSE)</calculatedColumnFormula>
    </tableColumn>
    <tableColumn id="6" name="Categoria 2" dataDxfId="405">
      <calculatedColumnFormula>VLOOKUP(Vegetal[[#This Row],[Código]],BD_Produto[],4,FALSE)</calculatedColumnFormula>
    </tableColumn>
    <tableColumn id="7" name="Multiplo de Compra" dataDxfId="404"/>
    <tableColumn id="8" name="Preço FOB" dataDxfId="403"/>
    <tableColumn id="26" name="Origem" dataDxfId="402"/>
    <tableColumn id="25" name="Produção" dataDxfId="401"/>
    <tableColumn id="9" name="Importação" dataDxfId="400">
      <calculatedColumnFormula>IFERROR(VLOOKUP(Vegetal[[#This Row],[Código]],Importação!P:R,3,FALSE),"")</calculatedColumnFormula>
    </tableColumn>
    <tableColumn id="10" name="Estoque" dataDxfId="399">
      <calculatedColumnFormula>IFERROR(VLOOKUP(Vegetal[[#This Row],[Código]],Saldo[],3,FALSE),0)</calculatedColumnFormula>
    </tableColumn>
    <tableColumn id="11" name="Estoque+Importação" dataDxfId="398">
      <calculatedColumnFormula>SUM(Vegetal[[#This Row],[Produção]:[Estoque]])</calculatedColumnFormula>
    </tableColumn>
    <tableColumn id="12" name="Estoque para" dataDxfId="397">
      <calculatedColumnFormula>IFERROR(Vegetal[[#This Row],[Estoque+Importação]]/Vegetal[[#This Row],[Proj. de V. No prox. mes]],"Sem Projeção")</calculatedColumnFormula>
    </tableColumn>
    <tableColumn id="13" name="estoque 10 meses" dataDxfId="396">
      <calculatedColumnFormula>IF(OR(Vegetal[[#This Row],[Status]]="Em Linha",Vegetal[[#This Row],[Status]]="Componente",Vegetal[[#This Row],[Status]]="Materia Prima"),Vegetal[[#This Row],[Proj. de V. No prox. mes]]*10,"-")</calculatedColumnFormula>
    </tableColumn>
    <tableColumn id="14" name="Comprar" dataDxfId="395">
      <calculatedColumnFormula>IF(OR(Vegetal[[#This Row],[Status]]="Em Linha",Vegetal[[#This Row],[Status]]="Componente",Vegetal[[#This Row],[Status]]="Materia Prima"),Vegetal[[#This Row],[estoque 10 meses]]-Vegetal[[#This Row],[Estoque+Importação]],0)</calculatedColumnFormula>
    </tableColumn>
    <tableColumn id="27" name="Proj. de V. No prox. mes" dataDxfId="394">
      <calculatedColumnFormula>VLOOKUP(Vegetal[[#This Row],[Código]],Projeção[#All],15,FALSE)</calculatedColumnFormula>
    </tableColumn>
    <tableColumn id="15" name="Proj. de V. No mes" dataDxfId="393">
      <calculatedColumnFormula>VLOOKUP(Vegetal[[#This Row],[Código]],Projeção[#All],14,FALSE)</calculatedColumnFormula>
    </tableColumn>
    <tableColumn id="16" name="V. No mes" dataDxfId="392">
      <calculatedColumnFormula>IFERROR(VLOOKUP(Vegetal[[#This Row],[Código]],Venda_mes[],2,FALSE),0)</calculatedColumnFormula>
    </tableColumn>
    <tableColumn id="17" name="% de V. vs Proj. No mês" dataDxfId="391">
      <calculatedColumnFormula>IFERROR(Vegetal[[#This Row],[V. No mes]]/Vegetal[[#This Row],[Proj. de V. No mes]],"")</calculatedColumnFormula>
    </tableColumn>
    <tableColumn id="18" name="Proj. de V. 3 meses" dataDxfId="390">
      <calculatedColumnFormula>VLOOKUP(Vegetal[[#This Row],[Código]],Projeção[#All],14,FALSE)+VLOOKUP(Vegetal[[#This Row],[Código]],Projeção[#All],13,FALSE)+VLOOKUP(Vegetal[[#This Row],[Código]],Projeção[#All],12,FALSE)</calculatedColumnFormula>
    </tableColumn>
    <tableColumn id="19" name="V. 3 meses" dataDxfId="389">
      <calculatedColumnFormula>IFERROR(VLOOKUP(Vegetal[[#This Row],[Código]],Venda_3meses[],2,FALSE),0)</calculatedColumnFormula>
    </tableColumn>
    <tableColumn id="20" name="% de V. vs Proj. 3 meses" dataDxfId="388">
      <calculatedColumnFormula>IFERROR(Vegetal[[#This Row],[V. 3 meses]]/Vegetal[[#This Row],[Proj. de V. 3 meses]],"")</calculatedColumnFormula>
    </tableColumn>
    <tableColumn id="21" name="Proj. de V. 12 meses" dataDxfId="387">
      <calculatedColumnFormula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calculatedColumnFormula>
    </tableColumn>
    <tableColumn id="22" name="V. 12 meses" dataDxfId="386">
      <calculatedColumnFormula>IFERROR(VLOOKUP(Vegetal[[#This Row],[Código]],Venda_12meses[],2,FALSE),0)</calculatedColumnFormula>
    </tableColumn>
    <tableColumn id="23" name="% de V. vs Proj. 12 meses" dataDxfId="385">
      <calculatedColumnFormula>IFERROR(Vegetal[[#This Row],[V. 12 meses]]/Vegetal[[#This Row],[Proj. de V. 12 meses]],"")</calculatedColumnFormula>
    </tableColumn>
    <tableColumn id="24" name="Obs:" dataDxfId="384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id="18" name="Tarifold" displayName="Tarifold" ref="A6:AA134" totalsRowShown="0" headerRowDxfId="135" dataDxfId="134" tableBorderDxfId="133">
  <autoFilter ref="A6:AA134"/>
  <sortState ref="A7:AA134">
    <sortCondition ref="B7:B134"/>
    <sortCondition ref="A7:A134" customList="Em Linha,Materia Prima,Componente,Promocional,Fora de Linha"/>
    <sortCondition ref="N7:N134"/>
  </sortState>
  <tableColumns count="27">
    <tableColumn id="1" name="Status" dataDxfId="132">
      <calculatedColumnFormula>VLOOKUP(Tarifold[[#This Row],[Código]],BD_Produto[#All],7,FALSE)</calculatedColumnFormula>
    </tableColumn>
    <tableColumn id="2" name="ok" dataDxfId="131">
      <calculatedColumnFormula>IF(OR(Tarifold[[#This Row],[Status]]="Em linha",Tarifold[[#This Row],[Status]]="Materia Prima",Tarifold[[#This Row],[Status]]="Componente"),"ok",IF(Tarifold[[#This Row],[Estoque+Importação]]&lt;1,"Tirar","ok"))</calculatedColumnFormula>
    </tableColumn>
    <tableColumn id="3" name="Código" dataDxfId="130"/>
    <tableColumn id="4" name="Descrição PT" dataDxfId="129"/>
    <tableColumn id="5" name="Categoria 1" dataDxfId="128"/>
    <tableColumn id="6" name="Categoria 2" dataDxfId="127"/>
    <tableColumn id="7" name="Multiplo de Compra" dataDxfId="126"/>
    <tableColumn id="8" name="Preço FOB" dataDxfId="125"/>
    <tableColumn id="26" name="Origem" dataDxfId="124"/>
    <tableColumn id="25" name="Produção" dataDxfId="123"/>
    <tableColumn id="9" name="Importação" dataDxfId="122">
      <calculatedColumnFormula>IFERROR(VLOOKUP(Tarifold[[#This Row],[Código]],Importação!P:R,3,FALSE),"")</calculatedColumnFormula>
    </tableColumn>
    <tableColumn id="10" name="Estoque" dataDxfId="121">
      <calculatedColumnFormula>IFERROR(VLOOKUP(Tarifold[[#This Row],[Código]],Saldo[],3,FALSE),0)</calculatedColumnFormula>
    </tableColumn>
    <tableColumn id="11" name="Estoque+Importação" dataDxfId="120">
      <calculatedColumnFormula>SUM(Tarifold[[#This Row],[Produção]:[Estoque]])</calculatedColumnFormula>
    </tableColumn>
    <tableColumn id="12" name="Estoque para" dataDxfId="119">
      <calculatedColumnFormula>IFERROR(Tarifold[[#This Row],[Estoque+Importação]]/Tarifold[[#This Row],[Proj. de V. No prox. mes]],"Sem Projeção")</calculatedColumnFormula>
    </tableColumn>
    <tableColumn id="13" name="estoque 10 meses" dataDxfId="118">
      <calculatedColumnFormula>IF(OR(Tarifold[[#This Row],[Status]]="Em Linha",Tarifold[[#This Row],[Status]]="Componente",Tarifold[[#This Row],[Status]]="Materia Prima"),Tarifold[[#This Row],[Proj. de V. No prox. mes]]*10,"-")</calculatedColumnFormula>
    </tableColumn>
    <tableColumn id="14" name="Comprar" dataDxfId="117">
      <calculatedColumnFormula>IF(OR(Tarifold[[#This Row],[Status]]="Em Linha",Tarifold[[#This Row],[Status]]="Componente",Tarifold[[#This Row],[Status]]="Materia Prima"),Tarifold[[#This Row],[estoque 10 meses]]-Tarifold[[#This Row],[Estoque+Importação]],0)</calculatedColumnFormula>
    </tableColumn>
    <tableColumn id="27" name="Proj. de V. No prox. mes" dataDxfId="116">
      <calculatedColumnFormula>VLOOKUP(Tarifold[[#This Row],[Código]],Projeção[#All],15,FALSE)</calculatedColumnFormula>
    </tableColumn>
    <tableColumn id="15" name="Proj. de V. No mes" dataDxfId="115">
      <calculatedColumnFormula>VLOOKUP(Tarifold[[#This Row],[Código]],Projeção[#All],14,FALSE)</calculatedColumnFormula>
    </tableColumn>
    <tableColumn id="16" name="V. No mes" dataDxfId="114">
      <calculatedColumnFormula>IFERROR(VLOOKUP(Tarifold[[#This Row],[Código]],Venda_mes[],2,FALSE),0)</calculatedColumnFormula>
    </tableColumn>
    <tableColumn id="17" name="% de V. vs Proj. No mês" dataDxfId="113">
      <calculatedColumnFormula>IFERROR(Tarifold[[#This Row],[V. No mes]]/Tarifold[[#This Row],[Proj. de V. No mes]],"")</calculatedColumnFormula>
    </tableColumn>
    <tableColumn id="18" name="Proj. de V. 3 meses" dataDxfId="112">
      <calculatedColumnFormula>VLOOKUP(Tarifold[[#This Row],[Código]],Projeção[#All],14,FALSE)+VLOOKUP(Tarifold[[#This Row],[Código]],Projeção[#All],13,FALSE)+VLOOKUP(Tarifold[[#This Row],[Código]],Projeção[#All],12,FALSE)</calculatedColumnFormula>
    </tableColumn>
    <tableColumn id="19" name="V. 3 meses" dataDxfId="111">
      <calculatedColumnFormula>IFERROR(VLOOKUP(Tarifold[[#This Row],[Código]],Venda_3meses[],2,FALSE),0)</calculatedColumnFormula>
    </tableColumn>
    <tableColumn id="20" name="% de V. vs Proj. 3 meses" dataDxfId="110">
      <calculatedColumnFormula>IFERROR(Tarifold[[#This Row],[V. 3 meses]]/Tarifold[[#This Row],[Proj. de V. 3 meses]],"")</calculatedColumnFormula>
    </tableColumn>
    <tableColumn id="21" name="Proj. de V. 12 meses" dataDxfId="109">
      <calculatedColumnFormula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calculatedColumnFormula>
    </tableColumn>
    <tableColumn id="22" name="V. 12 meses" dataDxfId="108">
      <calculatedColumnFormula>IFERROR(VLOOKUP(Tarifold[[#This Row],[Código]],Venda_12meses[],2,FALSE),0)</calculatedColumnFormula>
    </tableColumn>
    <tableColumn id="23" name="% de V. vs Proj. 12 meses" dataDxfId="107">
      <calculatedColumnFormula>IFERROR(Tarifold[[#This Row],[V. 12 meses]]/Tarifold[[#This Row],[Proj. de V. 12 meses]],"")</calculatedColumnFormula>
    </tableColumn>
    <tableColumn id="24" name="Obs:" dataDxfId="106"/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19" name="JK_Haubold" displayName="JK_Haubold" ref="A6:AA74" totalsRowShown="0" headerRowDxfId="105" dataDxfId="104" tableBorderDxfId="103">
  <autoFilter ref="A6:AA74"/>
  <sortState ref="A7:AA74">
    <sortCondition ref="B7:B74"/>
    <sortCondition ref="A7:A74" customList="Em Linha,Materia Prima,Componente,Promocional,Fora de Linha"/>
    <sortCondition ref="N7:N74"/>
  </sortState>
  <tableColumns count="27">
    <tableColumn id="1" name="Status" dataDxfId="102">
      <calculatedColumnFormula>VLOOKUP(JK_Haubold[[#This Row],[Código]],BD_Produto[#All],7,FALSE)</calculatedColumnFormula>
    </tableColumn>
    <tableColumn id="2" name="ok" dataDxfId="101">
      <calculatedColumnFormula>IF(OR(JK_Haubold[[#This Row],[Status]]="Em linha",JK_Haubold[[#This Row],[Status]]="Materia Prima",JK_Haubold[[#This Row],[Status]]="Componente"),"ok",IF(JK_Haubold[[#This Row],[Estoque+Importação]]&lt;1,"Tirar","ok"))</calculatedColumnFormula>
    </tableColumn>
    <tableColumn id="3" name="Código" dataDxfId="100"/>
    <tableColumn id="4" name="Descrição PT" dataDxfId="99"/>
    <tableColumn id="5" name="Categoria 1" dataDxfId="98"/>
    <tableColumn id="6" name="Categoria 2" dataDxfId="97"/>
    <tableColumn id="7" name="Multiplo de Compra" dataDxfId="96"/>
    <tableColumn id="8" name="Preço FOB" dataDxfId="95"/>
    <tableColumn id="26" name="Origem" dataDxfId="94"/>
    <tableColumn id="25" name="Produção" dataDxfId="93"/>
    <tableColumn id="9" name="Importação" dataDxfId="92">
      <calculatedColumnFormula>IFERROR(VLOOKUP(JK_Haubold[[#This Row],[Código]],Importação!P:R,3,FALSE),"")</calculatedColumnFormula>
    </tableColumn>
    <tableColumn id="10" name="Estoque" dataDxfId="91">
      <calculatedColumnFormula>IFERROR(VLOOKUP(JK_Haubold[[#This Row],[Código]],Saldo[],3,FALSE),0)</calculatedColumnFormula>
    </tableColumn>
    <tableColumn id="11" name="Estoque+Importação" dataDxfId="90">
      <calculatedColumnFormula>SUM(JK_Haubold[[#This Row],[Produção]:[Estoque]])</calculatedColumnFormula>
    </tableColumn>
    <tableColumn id="12" name="Estoque para" dataDxfId="89">
      <calculatedColumnFormula>IFERROR(JK_Haubold[[#This Row],[Estoque+Importação]]/JK_Haubold[[#This Row],[Proj. de V. No prox. mes]],"Sem Projeção")</calculatedColumnFormula>
    </tableColumn>
    <tableColumn id="13" name="estoque 10 meses" dataDxfId="88">
      <calculatedColumnFormula>IF(OR(JK_Haubold[[#This Row],[Status]]="Em Linha",JK_Haubold[[#This Row],[Status]]="Componente",JK_Haubold[[#This Row],[Status]]="Materia Prima"),JK_Haubold[[#This Row],[Proj. de V. No prox. mes]]*10,"-")</calculatedColumnFormula>
    </tableColumn>
    <tableColumn id="14" name="Comprar" dataDxfId="87">
      <calculatedColumnFormula>IF(OR(JK_Haubold[[#This Row],[Status]]="Em Linha",JK_Haubold[[#This Row],[Status]]="Componente",JK_Haubold[[#This Row],[Status]]="Materia Prima"),JK_Haubold[[#This Row],[estoque 10 meses]]-JK_Haubold[[#This Row],[Estoque+Importação]],0)</calculatedColumnFormula>
    </tableColumn>
    <tableColumn id="27" name="Proj. de V. No prox. mes" dataDxfId="86">
      <calculatedColumnFormula>VLOOKUP(JK_Haubold[[#This Row],[Código]],Projeção[#All],15,FALSE)</calculatedColumnFormula>
    </tableColumn>
    <tableColumn id="15" name="Proj. de V. No mes" dataDxfId="85">
      <calculatedColumnFormula>VLOOKUP(JK_Haubold[[#This Row],[Código]],Projeção[#All],14,FALSE)</calculatedColumnFormula>
    </tableColumn>
    <tableColumn id="16" name="V. No mes" dataDxfId="84">
      <calculatedColumnFormula>IFERROR(VLOOKUP(JK_Haubold[[#This Row],[Código]],Venda_mes[],2,FALSE),0)</calculatedColumnFormula>
    </tableColumn>
    <tableColumn id="17" name="% de V. vs Proj. No mês" dataDxfId="83">
      <calculatedColumnFormula>IFERROR(JK_Haubold[[#This Row],[V. No mes]]/JK_Haubold[[#This Row],[Proj. de V. No mes]],"")</calculatedColumnFormula>
    </tableColumn>
    <tableColumn id="18" name="Proj. de V. 3 meses" dataDxfId="82">
      <calculatedColumnFormula>VLOOKUP(JK_Haubold[[#This Row],[Código]],Projeção[#All],14,FALSE)+VLOOKUP(JK_Haubold[[#This Row],[Código]],Projeção[#All],13,FALSE)+VLOOKUP(JK_Haubold[[#This Row],[Código]],Projeção[#All],12,FALSE)</calculatedColumnFormula>
    </tableColumn>
    <tableColumn id="19" name="V. 3 meses" dataDxfId="81">
      <calculatedColumnFormula>IFERROR(VLOOKUP(JK_Haubold[[#This Row],[Código]],Venda_3meses[],2,FALSE),0)</calculatedColumnFormula>
    </tableColumn>
    <tableColumn id="20" name="% de V. vs Proj. 3 meses" dataDxfId="80">
      <calculatedColumnFormula>IFERROR(JK_Haubold[[#This Row],[V. 3 meses]]/JK_Haubold[[#This Row],[Proj. de V. 3 meses]],"")</calculatedColumnFormula>
    </tableColumn>
    <tableColumn id="21" name="Proj. de V. 12 meses" dataDxfId="79">
      <calculatedColumnFormula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calculatedColumnFormula>
    </tableColumn>
    <tableColumn id="22" name="V. 12 meses" dataDxfId="78">
      <calculatedColumnFormula>IFERROR(VLOOKUP(JK_Haubold[[#This Row],[Código]],Venda_12meses[],2,FALSE),0)</calculatedColumnFormula>
    </tableColumn>
    <tableColumn id="23" name="% de V. vs Proj. 12 meses" dataDxfId="77">
      <calculatedColumnFormula>IFERROR(JK_Haubold[[#This Row],[V. 12 meses]]/JK_Haubold[[#This Row],[Proj. de V. 12 meses]],"")</calculatedColumnFormula>
    </tableColumn>
    <tableColumn id="24" name="Obs:" dataDxfId="76"/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2" name="Saldo" displayName="Saldo" ref="A1:D1090" insertRowShift="1" totalsRowShown="0" headerRowDxfId="75">
  <autoFilter ref="A1:D1090"/>
  <sortState ref="A2:D1070">
    <sortCondition ref="A1:A1070"/>
  </sortState>
  <tableColumns count="4">
    <tableColumn id="1" name="ITEM" dataDxfId="74"/>
    <tableColumn id="3" name="DESCRIÇÃO ITEM" dataDxfId="73"/>
    <tableColumn id="7" name="Saldo" dataDxfId="72"/>
    <tableColumn id="2" name="05/10/2017" dataDxfId="71"/>
  </tableColumns>
  <tableStyleInfo name="TableStyleMedium16" showFirstColumn="0" showLastColumn="0" showRowStripes="1" showColumnStripes="0"/>
</table>
</file>

<file path=xl/tables/table13.xml><?xml version="1.0" encoding="utf-8"?>
<table xmlns="http://schemas.openxmlformats.org/spreadsheetml/2006/main" id="6" name="Projeção" displayName="Projeção" ref="A3:O1325" totalsRowShown="0" headerRowDxfId="70" dataDxfId="68" headerRowBorderDxfId="69">
  <autoFilter ref="A3:O1325"/>
  <sortState ref="A4:O1307">
    <sortCondition ref="B3:B1307"/>
  </sortState>
  <tableColumns count="15">
    <tableColumn id="1" name="Código" dataDxfId="67" dataCellStyle="Vírgula 5 2"/>
    <tableColumn id="2" name="Descrição PT" dataDxfId="66">
      <calculatedColumnFormula>VLOOKUP(Projeção[[#This Row],[Código]],BD_Produto[#All],6,FALSE)</calculatedColumnFormula>
    </tableColumn>
    <tableColumn id="3" name="Mês 12" dataDxfId="65"/>
    <tableColumn id="4" name="Mês 11" dataDxfId="64"/>
    <tableColumn id="5" name="Mês 10" dataDxfId="63"/>
    <tableColumn id="6" name="Mês 9" dataDxfId="62"/>
    <tableColumn id="7" name="Mês 8" dataDxfId="61"/>
    <tableColumn id="8" name="Mês 7" dataDxfId="60"/>
    <tableColumn id="9" name="Mês 6" dataDxfId="59"/>
    <tableColumn id="10" name="Mês 5" dataDxfId="58"/>
    <tableColumn id="11" name="Mês 4" dataDxfId="57"/>
    <tableColumn id="12" name="Mês 3" dataDxfId="56"/>
    <tableColumn id="13" name="Mês 2" dataDxfId="55"/>
    <tableColumn id="14" name="Mês 1" dataDxfId="54"/>
    <tableColumn id="15" name="Formula Projeção" dataDxfId="53">
      <calculatedColumnFormula>((IFERROR(VLOOKUP(Projeção[[#This Row],[Código]],Venda_3meses[#All],2,FALSE)/3,0)+IFERROR(VLOOKUP(Projeção[[#This Row],[Código]],Venda_6meses[#All],2,FALSE)/6,0)+IFERROR(VLOOKUP(Projeção[[#This Row],[Código]],Venda_12meses[#All],2,FALSE)/12,0))/3)*1.2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" name="Venda_3meses" displayName="Venda_3meses" ref="D3:E637" totalsRowShown="0" headerRowDxfId="52" headerRowBorderDxfId="51">
  <autoFilter ref="D3:E637"/>
  <sortState ref="D4:E310">
    <sortCondition ref="D3:D310"/>
  </sortState>
  <tableColumns count="2">
    <tableColumn id="1" name="CÓDIGO" dataDxfId="50"/>
    <tableColumn id="2" name="Q" dataDxfId="4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4" name="Venda_6meses" displayName="Venda_6meses" ref="G3:H806" totalsRowShown="0" headerRowDxfId="48" headerRowBorderDxfId="47">
  <autoFilter ref="G3:H806"/>
  <sortState ref="G4:H420">
    <sortCondition ref="G3:G420"/>
  </sortState>
  <tableColumns count="2">
    <tableColumn id="1" name="CÓDIGO" dataDxfId="46"/>
    <tableColumn id="2" name="Q" dataDxfId="45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5" name="Venda_12meses" displayName="Venda_12meses" ref="J3:K915" totalsRowShown="0" headerRowDxfId="44" headerRowBorderDxfId="43">
  <autoFilter ref="J3:K915"/>
  <sortState ref="J4:K515">
    <sortCondition ref="J3:J515"/>
  </sortState>
  <tableColumns count="2">
    <tableColumn id="1" name="CÓDIGO" dataDxfId="42"/>
    <tableColumn id="2" name="Q" dataDxfId="4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6" name="Venda_mes" displayName="Venda_mes" ref="A3:B255" totalsRowShown="0" headerRowDxfId="40" dataDxfId="38" headerRowBorderDxfId="39" tableBorderDxfId="37" totalsRowBorderDxfId="36" headerRowCellStyle="Vírgula 5 2">
  <sortState ref="A4:B207">
    <sortCondition ref="A3:A207"/>
  </sortState>
  <tableColumns count="2">
    <tableColumn id="1" name="CÓDIGO" dataDxfId="35" dataCellStyle="Vírgula 5 2"/>
    <tableColumn id="2" name="Q" dataDxfId="34" dataCellStyle="Vírgula 5 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7" name="Importação" displayName="Importação" ref="A1:N64" totalsRowShown="0" headerRowDxfId="29" dataDxfId="28">
  <autoFilter ref="A1:N64"/>
  <sortState ref="A2:N61">
    <sortCondition ref="N1:N9"/>
  </sortState>
  <tableColumns count="14">
    <tableColumn id="1" name="Código" dataDxfId="27"/>
    <tableColumn id="2" name="Descrição PT" dataDxfId="26">
      <calculatedColumnFormula>VLOOKUP(Importação[[#This Row],[Código]],BD_Produto[#All],6,FALSE)</calculatedColumnFormula>
    </tableColumn>
    <tableColumn id="12" name="Marca" dataDxfId="25">
      <calculatedColumnFormula>VLOOKUP(Importação[[#This Row],[Código]],BD_Produto[#All],2,FALSE)</calculatedColumnFormula>
    </tableColumn>
    <tableColumn id="3" name="Categoria 1" dataDxfId="24">
      <calculatedColumnFormula>VLOOKUP(Importação[[#This Row],[Código]],BD_Produto[#All],3,FALSE)</calculatedColumnFormula>
    </tableColumn>
    <tableColumn id="4" name="Categoria 2" dataDxfId="23">
      <calculatedColumnFormula>VLOOKUP(Importação[[#This Row],[Código]],BD_Produto[#All],4,FALSE)</calculatedColumnFormula>
    </tableColumn>
    <tableColumn id="6" name="Quantidade" dataDxfId="22"/>
    <tableColumn id="13" name="Nº da Importação" dataDxfId="21"/>
    <tableColumn id="14" name="Origem" dataDxfId="20"/>
    <tableColumn id="7" name="Inicio do Pedido" dataDxfId="19"/>
    <tableColumn id="8" name="Status" dataDxfId="18"/>
    <tableColumn id="9" name="Data do Status" dataDxfId="17"/>
    <tableColumn id="5" name="Data de Aprovação" dataDxfId="16"/>
    <tableColumn id="10" name="Previsão de Embarque" dataDxfId="15"/>
    <tableColumn id="11" name="Previsão de Chegada" dataDxfId="14"/>
  </tableColumns>
  <tableStyleInfo name="TableStyleLight4" showFirstColumn="0" showLastColumn="0" showRowStripes="1" showColumnStripes="0"/>
</table>
</file>

<file path=xl/tables/table19.xml><?xml version="1.0" encoding="utf-8"?>
<table xmlns="http://schemas.openxmlformats.org/spreadsheetml/2006/main" id="20" name="BD_Produto" displayName="BD_Produto" ref="A1:H1848" tableType="queryTable" totalsRowShown="0" headerRowDxfId="13" dataDxfId="12">
  <autoFilter ref="A1:H1848"/>
  <sortState ref="A2:H1848">
    <sortCondition ref="A1:A1790"/>
  </sortState>
  <tableColumns count="8">
    <tableColumn id="121" uniqueName="121" name="Código EMS" queryTableFieldId="1" dataDxfId="11"/>
    <tableColumn id="122" uniqueName="122" name="Marca" queryTableFieldId="2" dataDxfId="10"/>
    <tableColumn id="123" uniqueName="123" name="Categoria 1" queryTableFieldId="3" dataDxfId="9"/>
    <tableColumn id="124" uniqueName="124" name="Categoria 2" queryTableFieldId="4" dataDxfId="8"/>
    <tableColumn id="125" uniqueName="125" name="Tipo de Material" queryTableFieldId="5" dataDxfId="7"/>
    <tableColumn id="126" uniqueName="126" name="Descrição PT" queryTableFieldId="6" dataDxfId="6"/>
    <tableColumn id="127" uniqueName="127" name="Status" queryTableFieldId="7" dataDxfId="5"/>
    <tableColumn id="1" uniqueName="1" name="Nome_Abreviado" queryTableFieldId="9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Olfa" displayName="Olfa" ref="A6:AF171" totalsRowShown="0" headerRowDxfId="383" dataDxfId="382" tableBorderDxfId="381">
  <autoFilter ref="A6:AF171">
    <filterColumn colId="11">
      <filters>
        <filter val="0"/>
        <filter val="10"/>
        <filter val="100"/>
        <filter val="107"/>
        <filter val="109"/>
        <filter val="11"/>
        <filter val="18"/>
        <filter val="20"/>
        <filter val="34"/>
        <filter val="48"/>
        <filter val="50"/>
        <filter val="58"/>
        <filter val="62"/>
        <filter val="83"/>
        <filter val="92"/>
        <filter val="98"/>
        <filter val="99"/>
      </filters>
    </filterColumn>
  </autoFilter>
  <sortState ref="A7:AD171">
    <sortCondition ref="B7:B171"/>
    <sortCondition ref="A7:A171" customList="Em Linha,Materia Prima,Componente,Promocional,Fora de Linha"/>
    <sortCondition ref="N7:N171"/>
  </sortState>
  <tableColumns count="32">
    <tableColumn id="1" name="Status" dataDxfId="380">
      <calculatedColumnFormula>VLOOKUP(Olfa[[#This Row],[Código]],BD_Produto[#All],7,FALSE)</calculatedColumnFormula>
    </tableColumn>
    <tableColumn id="2" name="ok" dataDxfId="379">
      <calculatedColumnFormula>IF(OR(Olfa[[#This Row],[Status]]="Em linha",Olfa[[#This Row],[Status]]="Materia Prima",Olfa[[#This Row],[Status]]="Componente"),"ok",IF(Olfa[[#This Row],[Estoque+Importação]]&lt;1,"Tirar","ok"))</calculatedColumnFormula>
    </tableColumn>
    <tableColumn id="3" name="Código" dataDxfId="378"/>
    <tableColumn id="4" name="Descrição PT" dataDxfId="377"/>
    <tableColumn id="5" name="Categoria 1" dataDxfId="376">
      <calculatedColumnFormula>VLOOKUP(Olfa[[#This Row],[Código]],BD_Produto[],3,FALSE)</calculatedColumnFormula>
    </tableColumn>
    <tableColumn id="6" name="Categoria 2" dataDxfId="375">
      <calculatedColumnFormula>VLOOKUP(Olfa[[#This Row],[Código]],BD_Produto[],4,FALSE)</calculatedColumnFormula>
    </tableColumn>
    <tableColumn id="7" name="Multiplo de Compra" dataDxfId="374"/>
    <tableColumn id="8" name="Preço FOB" dataDxfId="373"/>
    <tableColumn id="26" name="Origem" dataDxfId="372"/>
    <tableColumn id="25" name="Produção" dataDxfId="371"/>
    <tableColumn id="9" name="Importação" dataDxfId="370">
      <calculatedColumnFormula>IFERROR(VLOOKUP(Olfa[[#This Row],[Código]],Importação!P:R,3,FALSE),"")</calculatedColumnFormula>
    </tableColumn>
    <tableColumn id="10" name="Estoque" dataDxfId="369">
      <calculatedColumnFormula>IFERROR(VLOOKUP(Olfa[[#This Row],[Código]],Saldo[],3,FALSE),0)</calculatedColumnFormula>
    </tableColumn>
    <tableColumn id="11" name="Estoque+Importação" dataDxfId="368">
      <calculatedColumnFormula>SUM(Olfa[[#This Row],[Produção]:[Estoque]])</calculatedColumnFormula>
    </tableColumn>
    <tableColumn id="12" name="Estoque para" dataDxfId="367">
      <calculatedColumnFormula>IFERROR(Olfa[[#This Row],[Estoque+Importação]]/Olfa[[#This Row],[Proj. de V. No prox. mes]],"Sem Projeção")</calculatedColumnFormula>
    </tableColumn>
    <tableColumn id="13" name="estoque 10 meses" dataDxfId="366">
      <calculatedColumnFormula>IF(OR(Olfa[[#This Row],[Status]]="Em Linha",Olfa[[#This Row],[Status]]="Componente",Olfa[[#This Row],[Status]]="Materia Prima"),Olfa[[#This Row],[Proj. de V. No prox. mes]]*10,"-")</calculatedColumnFormula>
    </tableColumn>
    <tableColumn id="14" name="Comprar" dataDxfId="365">
      <calculatedColumnFormula>IF(OR(Olfa[[#This Row],[Status]]="Em Linha",Olfa[[#This Row],[Status]]="Componente",Olfa[[#This Row],[Status]]="Materia Prima"),Olfa[[#This Row],[estoque 10 meses]]-Olfa[[#This Row],[Estoque+Importação]],0)</calculatedColumnFormula>
    </tableColumn>
    <tableColumn id="27" name="Proj. de V. No prox. mes" dataDxfId="364">
      <calculatedColumnFormula>Olfa[[#This Row],[Colunas1]]+Olfa[[#This Row],[Colunas2]]</calculatedColumnFormula>
    </tableColumn>
    <tableColumn id="15" name="Proj. de V. No mes" dataDxfId="363">
      <calculatedColumnFormula>VLOOKUP(Olfa[[#This Row],[Código]],Projeção[#All],14,FALSE)</calculatedColumnFormula>
    </tableColumn>
    <tableColumn id="16" name="V. No mes" dataDxfId="362">
      <calculatedColumnFormula>IFERROR(VLOOKUP(Olfa[[#This Row],[Código]],Vendas!A3:B82,2,FALSE),0)</calculatedColumnFormula>
    </tableColumn>
    <tableColumn id="17" name="% de V. vs Proj. No mês" dataDxfId="361">
      <calculatedColumnFormula>IFERROR(Olfa[[#This Row],[V. No mes]]/Olfa[[#This Row],[Proj. de V. No mes]],"")</calculatedColumnFormula>
    </tableColumn>
    <tableColumn id="18" name="Proj. de V. 3 meses" dataDxfId="360">
      <calculatedColumnFormula>VLOOKUP(Olfa[[#This Row],[Código]],Projeção[#All],14,FALSE)+VLOOKUP(Olfa[[#This Row],[Código]],Projeção[#All],13,FALSE)+VLOOKUP(Olfa[[#This Row],[Código]],Projeção[#All],12,FALSE)</calculatedColumnFormula>
    </tableColumn>
    <tableColumn id="19" name="V. 3 meses" dataDxfId="359">
      <calculatedColumnFormula>IFERROR(VLOOKUP(Olfa[[#This Row],[Código]],Venda_3meses[],2,FALSE),0)</calculatedColumnFormula>
    </tableColumn>
    <tableColumn id="20" name="% de V. vs Proj. 3 meses" dataDxfId="358">
      <calculatedColumnFormula>IFERROR(Olfa[[#This Row],[V. 3 meses]]/Olfa[[#This Row],[Proj. de V. 3 meses]],"")</calculatedColumnFormula>
    </tableColumn>
    <tableColumn id="30" name="Proj. de V. 6 meses" dataDxfId="357">
      <calculatedColumnFormula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calculatedColumnFormula>
    </tableColumn>
    <tableColumn id="29" name="V. 6 meses" dataDxfId="356">
      <calculatedColumnFormula>IFERROR(VLOOKUP(Olfa[[#This Row],[Código]],Venda_6meses[],2,FALSE),0)</calculatedColumnFormula>
    </tableColumn>
    <tableColumn id="28" name="% de V. vs Proj. 6 meses" dataDxfId="355">
      <calculatedColumnFormula>IFERROR(Olfa[[#This Row],[V. 6 meses]]/Olfa[[#This Row],[Proj. de V. 6 meses]],"")</calculatedColumnFormula>
    </tableColumn>
    <tableColumn id="21" name="Proj. de V. 12 meses" dataDxfId="354">
      <calculatedColumnFormula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calculatedColumnFormula>
    </tableColumn>
    <tableColumn id="22" name="V. 12 meses" dataDxfId="353">
      <calculatedColumnFormula>IFERROR(VLOOKUP(Olfa[[#This Row],[Código]],Venda_12meses[],2,FALSE),0)</calculatedColumnFormula>
    </tableColumn>
    <tableColumn id="31" name="Colunas1" dataDxfId="352">
      <calculatedColumnFormula>Olfa[[#This Row],[V. 12 meses]]/6</calculatedColumnFormula>
    </tableColumn>
    <tableColumn id="32" name="Colunas2" dataDxfId="351">
      <calculatedColumnFormula>Olfa[[#This Row],[Colunas1]]*0.2</calculatedColumnFormula>
    </tableColumn>
    <tableColumn id="23" name="% de V. vs Proj. 12 meses" dataDxfId="350">
      <calculatedColumnFormula>IFERROR(Olfa[[#This Row],[V. 12 meses]]/Olfa[[#This Row],[Proj. de V. 12 meses]],"")</calculatedColumnFormula>
    </tableColumn>
    <tableColumn id="24" name="Obs:" dataDxfId="349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13" name="Fellowes" displayName="Fellowes" ref="A6:AD80" totalsRowShown="0" headerRowDxfId="348" dataDxfId="347" tableBorderDxfId="346">
  <autoFilter ref="A6:AD80">
    <filterColumn colId="0">
      <filters>
        <filter val="Em Linha"/>
        <filter val="Fora de linha"/>
      </filters>
    </filterColumn>
  </autoFilter>
  <sortState ref="A7:AD68">
    <sortCondition ref="B7:B80"/>
    <sortCondition ref="A7:A80" customList="Em Linha,Materia Prima,Componente,Promocional,Fora de Linha"/>
    <sortCondition ref="N7:N80"/>
  </sortState>
  <tableColumns count="30">
    <tableColumn id="1" name="Status" dataDxfId="345">
      <calculatedColumnFormula>VLOOKUP(Fellowes[[#This Row],[Código]],BD_Produto[#All],7,FALSE)</calculatedColumnFormula>
    </tableColumn>
    <tableColumn id="2" name="ok" dataDxfId="344">
      <calculatedColumnFormula>IF(OR(Fellowes[[#This Row],[Status]]="Em linha",Fellowes[[#This Row],[Status]]="Materia Prima",Fellowes[[#This Row],[Status]]="Componente"),"ok",IF(Fellowes[[#This Row],[Estoque+Importação]]&lt;1,"Tirar","ok"))</calculatedColumnFormula>
    </tableColumn>
    <tableColumn id="3" name="Código" dataDxfId="343"/>
    <tableColumn id="4" name="Descrição PT" dataDxfId="342"/>
    <tableColumn id="5" name="Categoria 1" dataDxfId="341">
      <calculatedColumnFormula>VLOOKUP(Fellowes[[#This Row],[Código]],BD_Produto[],3,FALSE)</calculatedColumnFormula>
    </tableColumn>
    <tableColumn id="6" name="Categoria 2" dataDxfId="340">
      <calculatedColumnFormula>VLOOKUP(Fellowes[[#This Row],[Código]],BD_Produto[],4,FALSE)</calculatedColumnFormula>
    </tableColumn>
    <tableColumn id="7" name="Multiplo de Compra" dataDxfId="339"/>
    <tableColumn id="8" name="Preço FOB" dataDxfId="338"/>
    <tableColumn id="26" name="Origem" dataDxfId="337"/>
    <tableColumn id="25" name="Produção" dataDxfId="336"/>
    <tableColumn id="9" name="Importação" dataDxfId="335">
      <calculatedColumnFormula>IFERROR(VLOOKUP(Fellowes[[#This Row],[Código]],Importação!P:R,3,FALSE),"")</calculatedColumnFormula>
    </tableColumn>
    <tableColumn id="10" name="Estoque" dataDxfId="334">
      <calculatedColumnFormula>IFERROR(VLOOKUP(Fellowes[[#This Row],[Código]],Saldo[],3,FALSE),0)</calculatedColumnFormula>
    </tableColumn>
    <tableColumn id="11" name="Estoque+Importação" dataDxfId="333">
      <calculatedColumnFormula>SUM(Fellowes[[#This Row],[Produção]:[Estoque]])</calculatedColumnFormula>
    </tableColumn>
    <tableColumn id="12" name="Estoque para" dataDxfId="332">
      <calculatedColumnFormula>IFERROR(Fellowes[[#This Row],[Estoque+Importação]]/Fellowes[[#This Row],[Proj. de V. No prox. mes]],"Sem Projeção")</calculatedColumnFormula>
    </tableColumn>
    <tableColumn id="13" name="estoque 10 meses" dataDxfId="331">
      <calculatedColumnFormula>IF(OR(Fellowes[[#This Row],[Status]]="Em Linha",Fellowes[[#This Row],[Status]]="Componente",Fellowes[[#This Row],[Status]]="Materia Prima"),Fellowes[[#This Row],[Proj. de V. No prox. mes]]*10,"-")</calculatedColumnFormula>
    </tableColumn>
    <tableColumn id="14" name="Comprar" dataDxfId="330">
      <calculatedColumnFormula>IF(OR(Fellowes[[#This Row],[Status]]="Em Linha",Fellowes[[#This Row],[Status]]="Componente",Fellowes[[#This Row],[Status]]="Materia Prima"),Fellowes[[#This Row],[estoque 10 meses]]-Fellowes[[#This Row],[Estoque+Importação]],0)</calculatedColumnFormula>
    </tableColumn>
    <tableColumn id="27" name="Proj. de V. No prox. mes" dataDxfId="329">
      <calculatedColumnFormula>VLOOKUP(Fellowes[[#This Row],[Código]],Projeção[#All],15,FALSE)</calculatedColumnFormula>
    </tableColumn>
    <tableColumn id="15" name="Proj. de V. No mes" dataDxfId="328">
      <calculatedColumnFormula>VLOOKUP(Fellowes[[#This Row],[Código]],Projeção[#All],14,FALSE)</calculatedColumnFormula>
    </tableColumn>
    <tableColumn id="16" name="V. No mes" dataDxfId="327">
      <calculatedColumnFormula>IFERROR(VLOOKUP(Fellowes[[#This Row],[Código]],Venda_mes[],2,FALSE),0)</calculatedColumnFormula>
    </tableColumn>
    <tableColumn id="17" name="% de V. vs Proj. No mês" dataDxfId="326">
      <calculatedColumnFormula>IFERROR(Fellowes[[#This Row],[V. No mes]]/Fellowes[[#This Row],[Proj. de V. No mes]],"")</calculatedColumnFormula>
    </tableColumn>
    <tableColumn id="18" name="Proj. de V. 3 meses" dataDxfId="325">
      <calculatedColumnFormula>VLOOKUP(Fellowes[[#This Row],[Código]],Projeção[#All],14,FALSE)+VLOOKUP(Fellowes[[#This Row],[Código]],Projeção[#All],13,FALSE)+VLOOKUP(Fellowes[[#This Row],[Código]],Projeção[#All],12,FALSE)</calculatedColumnFormula>
    </tableColumn>
    <tableColumn id="19" name="V. 3 meses" dataDxfId="324">
      <calculatedColumnFormula>IFERROR(VLOOKUP(Fellowes[[#This Row],[Código]],Venda_3meses[],2,FALSE),0)</calculatedColumnFormula>
    </tableColumn>
    <tableColumn id="20" name="% de V. vs Proj. 3 meses" dataDxfId="323">
      <calculatedColumnFormula>IFERROR(Fellowes[[#This Row],[V. 3 meses]]/Fellowes[[#This Row],[Proj. de V. 3 meses]],"")</calculatedColumnFormula>
    </tableColumn>
    <tableColumn id="30" name="Proj. de V. 6 meses" dataDxfId="322">
      <calculatedColumnFormula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calculatedColumnFormula>
    </tableColumn>
    <tableColumn id="29" name="V. 6 meses" dataDxfId="321">
      <calculatedColumnFormula>IFERROR(VLOOKUP(Fellowes[[#This Row],[Código]],Venda_6meses[],2,FALSE),0)</calculatedColumnFormula>
    </tableColumn>
    <tableColumn id="28" name="% de V. vs Proj. 6 meses" dataDxfId="320">
      <calculatedColumnFormula>IFERROR(Fellowes[[#This Row],[V. 6 meses]]/Fellowes[[#This Row],[Proj. de V. 6 meses]],"")</calculatedColumnFormula>
    </tableColumn>
    <tableColumn id="21" name="Proj. de V. 12 meses" dataDxfId="319">
      <calculatedColumnFormula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calculatedColumnFormula>
    </tableColumn>
    <tableColumn id="22" name="V. 12 meses" dataDxfId="318">
      <calculatedColumnFormula>IFERROR(VLOOKUP(Fellowes[[#This Row],[Código]],Venda_12meses[],2,FALSE),0)</calculatedColumnFormula>
    </tableColumn>
    <tableColumn id="23" name="% de V. vs Proj. 12 meses" dataDxfId="317">
      <calculatedColumnFormula>IFERROR(Fellowes[[#This Row],[V. 12 meses]]/Fellowes[[#This Row],[Proj. de V. 12 meses]],"")</calculatedColumnFormula>
    </tableColumn>
    <tableColumn id="24" name="Obs:" dataDxfId="316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14" name="Fellowes_Consumiveis" displayName="Fellowes_Consumiveis" ref="A6:AA66" totalsRowShown="0" headerRowDxfId="315" dataDxfId="314" tableBorderDxfId="313">
  <autoFilter ref="A6:AA66"/>
  <sortState ref="A7:AA66">
    <sortCondition ref="B7:B66"/>
    <sortCondition ref="A7:A66" customList="Em Linha,Materia Prima,Componente,Promocional,Fora de Linha"/>
    <sortCondition ref="N7:N66"/>
  </sortState>
  <tableColumns count="27">
    <tableColumn id="1" name="Status" dataDxfId="312">
      <calculatedColumnFormula>VLOOKUP(Fellowes_Consumiveis[[#This Row],[Código]],BD_Produto[#All],7,FALSE)</calculatedColumnFormula>
    </tableColumn>
    <tableColumn id="2" name="ok" dataDxfId="311">
      <calculatedColumnFormula>IF(OR(Fellowes_Consumiveis[[#This Row],[Status]]="Em linha",Fellowes_Consumiveis[[#This Row],[Status]]="Materia Prima",Fellowes_Consumiveis[[#This Row],[Status]]="Componente"),"ok",IF(Fellowes_Consumiveis[[#This Row],[Estoque+Importação]]&lt;1,"Tirar","ok"))</calculatedColumnFormula>
    </tableColumn>
    <tableColumn id="3" name="Código" dataDxfId="310"/>
    <tableColumn id="4" name="Descrição PT" dataDxfId="309"/>
    <tableColumn id="5" name="Categoria 1" dataDxfId="308">
      <calculatedColumnFormula>VLOOKUP(Fellowes_Consumiveis[[#This Row],[Código]],BD_Produto[],3,FALSE)</calculatedColumnFormula>
    </tableColumn>
    <tableColumn id="6" name="Categoria 2" dataDxfId="307">
      <calculatedColumnFormula>VLOOKUP(Fellowes_Consumiveis[[#This Row],[Código]],BD_Produto[],4,FALSE)</calculatedColumnFormula>
    </tableColumn>
    <tableColumn id="7" name="Multiplo de Compra" dataDxfId="306"/>
    <tableColumn id="8" name="Preço FOB" dataDxfId="305"/>
    <tableColumn id="26" name="Origem" dataDxfId="304"/>
    <tableColumn id="25" name="Produção" dataDxfId="303"/>
    <tableColumn id="9" name="Importação" dataDxfId="302">
      <calculatedColumnFormula>IFERROR(VLOOKUP(Fellowes_Consumiveis[[#This Row],[Código]],Importação!P:R,3,FALSE),"")</calculatedColumnFormula>
    </tableColumn>
    <tableColumn id="10" name="Estoque" dataDxfId="301">
      <calculatedColumnFormula>IFERROR(VLOOKUP(Fellowes_Consumiveis[[#This Row],[Código]],Saldo[],3,FALSE),0)</calculatedColumnFormula>
    </tableColumn>
    <tableColumn id="11" name="Estoque+Importação" dataDxfId="300">
      <calculatedColumnFormula>SUM(Fellowes_Consumiveis[[#This Row],[Produção]:[Estoque]])</calculatedColumnFormula>
    </tableColumn>
    <tableColumn id="12" name="Estoque para" dataDxfId="299">
      <calculatedColumnFormula>IFERROR(Fellowes_Consumiveis[[#This Row],[Estoque+Importação]]/Fellowes_Consumiveis[[#This Row],[Proj. de V. No prox. mes]],"Sem Projeção")</calculatedColumnFormula>
    </tableColumn>
    <tableColumn id="13" name="estoque 10 meses" dataDxfId="298">
      <calculatedColumnFormula>IF(OR(Fellowes_Consumiveis[[#This Row],[Status]]="Em Linha",Fellowes_Consumiveis[[#This Row],[Status]]="Componente",Fellowes_Consumiveis[[#This Row],[Status]]="Materia Prima"),Fellowes_Consumiveis[[#This Row],[Proj. de V. No prox. mes]]*10,"-")</calculatedColumnFormula>
    </tableColumn>
    <tableColumn id="14" name="Comprar" dataDxfId="297">
      <calculatedColumnFormula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calculatedColumnFormula>
    </tableColumn>
    <tableColumn id="27" name="Proj. de V. No prox. mes" dataDxfId="296">
      <calculatedColumnFormula>VLOOKUP(Fellowes_Consumiveis[[#This Row],[Código]],Projeção[#All],15,FALSE)</calculatedColumnFormula>
    </tableColumn>
    <tableColumn id="15" name="Proj. de V. No mes" dataDxfId="295">
      <calculatedColumnFormula>VLOOKUP(Fellowes_Consumiveis[[#This Row],[Código]],Projeção[#All],14,FALSE)</calculatedColumnFormula>
    </tableColumn>
    <tableColumn id="16" name="V. No mes" dataDxfId="294">
      <calculatedColumnFormula>IFERROR(VLOOKUP(Fellowes_Consumiveis[[#This Row],[Código]],Venda_mes[],2,FALSE),0)</calculatedColumnFormula>
    </tableColumn>
    <tableColumn id="17" name="% de V. vs Proj. No mês" dataDxfId="293">
      <calculatedColumnFormula>IFERROR(Fellowes_Consumiveis[[#This Row],[V. No mes]]/Fellowes_Consumiveis[[#This Row],[Proj. de V. No mes]],"")</calculatedColumnFormula>
    </tableColumn>
    <tableColumn id="18" name="Proj. de V. 3 meses" dataDxfId="292">
      <calculatedColumnFormula>VLOOKUP(Fellowes_Consumiveis[[#This Row],[Código]],Projeção[#All],14,FALSE)+VLOOKUP(Fellowes_Consumiveis[[#This Row],[Código]],Projeção[#All],13,FALSE)+VLOOKUP(Fellowes_Consumiveis[[#This Row],[Código]],Projeção[#All],12,FALSE)</calculatedColumnFormula>
    </tableColumn>
    <tableColumn id="19" name="V. 3 meses" dataDxfId="291">
      <calculatedColumnFormula>IFERROR(VLOOKUP(Fellowes_Consumiveis[[#This Row],[Código]],Venda_3meses[],2,FALSE),0)</calculatedColumnFormula>
    </tableColumn>
    <tableColumn id="20" name="% de V. vs Proj. 3 meses" dataDxfId="290">
      <calculatedColumnFormula>IFERROR(Fellowes_Consumiveis[[#This Row],[V. 3 meses]]/Fellowes_Consumiveis[[#This Row],[Proj. de V. 3 meses]],"")</calculatedColumnFormula>
    </tableColumn>
    <tableColumn id="21" name="Proj. de V. 12 meses" dataDxfId="289">
      <calculatedColumnFormula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calculatedColumnFormula>
    </tableColumn>
    <tableColumn id="22" name="V. 12 meses" dataDxfId="288">
      <calculatedColumnFormula>IFERROR(VLOOKUP(Fellowes_Consumiveis[[#This Row],[Código]],Venda_12meses[],2,FALSE),0)</calculatedColumnFormula>
    </tableColumn>
    <tableColumn id="23" name="% de V. vs Proj. 12 meses" dataDxfId="287">
      <calculatedColumnFormula>IFERROR(Fellowes_Consumiveis[[#This Row],[V. 12 meses]]/Fellowes_Consumiveis[[#This Row],[Proj. de V. 12 meses]],"")</calculatedColumnFormula>
    </tableColumn>
    <tableColumn id="24" name="Obs:" dataDxfId="286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8" name="Fellowes_Consumiveis9" displayName="Fellowes_Consumiveis9" ref="A6:AA112" totalsRowShown="0" headerRowDxfId="285" dataDxfId="284" tableBorderDxfId="283">
  <autoFilter ref="A6:AA112"/>
  <sortState ref="A7:AA101">
    <sortCondition ref="A7:A101" customList="Em Linha,Materia Prima,Componente,Promocional,Fora de Linha"/>
    <sortCondition ref="N7:N101"/>
  </sortState>
  <tableColumns count="27">
    <tableColumn id="1" name="Status" dataDxfId="282">
      <calculatedColumnFormula>VLOOKUP(Fellowes_Consumiveis9[[#This Row],[Código]],BD_Produto[#All],7,FALSE)</calculatedColumnFormula>
    </tableColumn>
    <tableColumn id="2" name="ok" dataDxfId="281">
      <calculatedColumnFormula>IF(OR(Fellowes_Consumiveis9[[#This Row],[Status]]="Em linha",Fellowes_Consumiveis9[[#This Row],[Status]]="Materia Prima",Fellowes_Consumiveis9[[#This Row],[Status]]="Componente"),"ok",IF(Fellowes_Consumiveis9[[#This Row],[Estoque+Importação]]&lt;1,"Tirar","ok"))</calculatedColumnFormula>
    </tableColumn>
    <tableColumn id="3" name="Código" dataDxfId="280"/>
    <tableColumn id="4" name="Descrição PT" dataDxfId="279"/>
    <tableColumn id="5" name="Categoria 1" dataDxfId="278">
      <calculatedColumnFormula>VLOOKUP(Fellowes_Consumiveis9[[#This Row],[Código]],BD_Produto[],3,FALSE)</calculatedColumnFormula>
    </tableColumn>
    <tableColumn id="6" name="Categoria 2" dataDxfId="277">
      <calculatedColumnFormula>VLOOKUP(Fellowes_Consumiveis9[[#This Row],[Código]],BD_Produto[],4,FALSE)</calculatedColumnFormula>
    </tableColumn>
    <tableColumn id="7" name="Multiplo de Compra" dataDxfId="276"/>
    <tableColumn id="8" name="Preço FOB" dataDxfId="275"/>
    <tableColumn id="26" name="Origem" dataDxfId="274"/>
    <tableColumn id="25" name="Produção" dataDxfId="273"/>
    <tableColumn id="9" name="Importação" dataDxfId="272">
      <calculatedColumnFormula>IFERROR(VLOOKUP(Fellowes_Consumiveis9[[#This Row],[Código]],Importação!P:R,3,FALSE),"")</calculatedColumnFormula>
    </tableColumn>
    <tableColumn id="10" name="Estoque" dataDxfId="271">
      <calculatedColumnFormula>IFERROR(VLOOKUP(Fellowes_Consumiveis9[[#This Row],[Código]],Saldo[],3,FALSE),0)</calculatedColumnFormula>
    </tableColumn>
    <tableColumn id="11" name="Estoque+Importação" dataDxfId="270">
      <calculatedColumnFormula>SUM(Fellowes_Consumiveis9[[#This Row],[Produção]:[Estoque]])</calculatedColumnFormula>
    </tableColumn>
    <tableColumn id="12" name="Estoque para" dataDxfId="269">
      <calculatedColumnFormula>IFERROR(Fellowes_Consumiveis9[[#This Row],[Estoque+Importação]]/Fellowes_Consumiveis9[[#This Row],[Proj. de V. No prox. mes]],"Sem Projeção")</calculatedColumnFormula>
    </tableColumn>
    <tableColumn id="13" name="estoque 10 meses" dataDxfId="268">
      <calculatedColumnFormula>IF(OR(Fellowes_Consumiveis9[[#This Row],[Status]]="Em Linha",Fellowes_Consumiveis9[[#This Row],[Status]]="Componente",Fellowes_Consumiveis9[[#This Row],[Status]]="Materia Prima"),Fellowes_Consumiveis9[[#This Row],[Proj. de V. No prox. mes]]*10,"-")</calculatedColumnFormula>
    </tableColumn>
    <tableColumn id="14" name="Comprar" dataDxfId="267">
      <calculatedColumnFormula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calculatedColumnFormula>
    </tableColumn>
    <tableColumn id="27" name="Proj. de V. No prox. mes" dataDxfId="266">
      <calculatedColumnFormula>VLOOKUP(Fellowes_Consumiveis9[[#This Row],[Código]],Projeção[#All],15,FALSE)</calculatedColumnFormula>
    </tableColumn>
    <tableColumn id="15" name="Proj. de V. No mes" dataDxfId="265">
      <calculatedColumnFormula>VLOOKUP(Fellowes_Consumiveis9[[#This Row],[Código]],Projeção[#All],14,FALSE)</calculatedColumnFormula>
    </tableColumn>
    <tableColumn id="16" name="V. No mes" dataDxfId="264">
      <calculatedColumnFormula>IFERROR(VLOOKUP(Fellowes_Consumiveis9[[#This Row],[Código]],Venda_mes[],2,FALSE),0)</calculatedColumnFormula>
    </tableColumn>
    <tableColumn id="17" name="% de V. vs Proj. No mês" dataDxfId="263">
      <calculatedColumnFormula>IFERROR(Fellowes_Consumiveis9[[#This Row],[V. No mes]]/Fellowes_Consumiveis9[[#This Row],[Proj. de V. No mes]],"")</calculatedColumnFormula>
    </tableColumn>
    <tableColumn id="18" name="Proj. de V. 3 meses" dataDxfId="262">
      <calculatedColumnFormula>VLOOKUP(Fellowes_Consumiveis9[[#This Row],[Código]],Projeção[#All],14,FALSE)+VLOOKUP(Fellowes_Consumiveis9[[#This Row],[Código]],Projeção[#All],13,FALSE)+VLOOKUP(Fellowes_Consumiveis9[[#This Row],[Código]],Projeção[#All],12,FALSE)</calculatedColumnFormula>
    </tableColumn>
    <tableColumn id="19" name="V. 3 meses" dataDxfId="261">
      <calculatedColumnFormula>IFERROR(VLOOKUP(Fellowes_Consumiveis9[[#This Row],[Código]],Venda_3meses[],2,FALSE),0)</calculatedColumnFormula>
    </tableColumn>
    <tableColumn id="20" name="% de V. vs Proj. 3 meses" dataDxfId="260">
      <calculatedColumnFormula>IFERROR(Fellowes_Consumiveis9[[#This Row],[V. 3 meses]]/Fellowes_Consumiveis9[[#This Row],[Proj. de V. 3 meses]],"")</calculatedColumnFormula>
    </tableColumn>
    <tableColumn id="21" name="Proj. de V. 12 meses" dataDxfId="259">
      <calculatedColumnFormula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calculatedColumnFormula>
    </tableColumn>
    <tableColumn id="22" name="V. 12 meses" dataDxfId="258">
      <calculatedColumnFormula>IFERROR(VLOOKUP(Fellowes_Consumiveis9[[#This Row],[Código]],Venda_12meses[],2,FALSE),0)</calculatedColumnFormula>
    </tableColumn>
    <tableColumn id="23" name="% de V. vs Proj. 12 meses" dataDxfId="257">
      <calculatedColumnFormula>IFERROR(Fellowes_Consumiveis9[[#This Row],[V. 12 meses]]/Fellowes_Consumiveis9[[#This Row],[Proj. de V. 12 meses]],"")</calculatedColumnFormula>
    </tableColumn>
    <tableColumn id="24" name="Obs:" dataDxfId="256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11" name="Rapid" displayName="Rapid" ref="A6:AA199" totalsRowShown="0" headerRowDxfId="255" dataDxfId="254" tableBorderDxfId="253">
  <autoFilter ref="A6:AA199"/>
  <sortState ref="A7:AA199">
    <sortCondition ref="B7:B199"/>
    <sortCondition ref="A7:A199" customList="Em Linha,Materia Prima,Componente,Promocional,Fora de Linha"/>
    <sortCondition ref="N7:N199"/>
  </sortState>
  <tableColumns count="27">
    <tableColumn id="1" name="Status" dataDxfId="252">
      <calculatedColumnFormula>VLOOKUP(Rapid[[#This Row],[Código]],BD_Produto[#All],7,FALSE)</calculatedColumnFormula>
    </tableColumn>
    <tableColumn id="2" name="ok" dataDxfId="251">
      <calculatedColumnFormula>IF(OR(Rapid[[#This Row],[Status]]="Em linha",Rapid[[#This Row],[Status]]="Materia Prima",Rapid[[#This Row],[Status]]="Componente"),"ok",IF(Rapid[[#This Row],[Estoque+Importação]]&lt;1,"Tirar","ok"))</calculatedColumnFormula>
    </tableColumn>
    <tableColumn id="3" name="Código" dataDxfId="250"/>
    <tableColumn id="4" name="Descrição PT" dataDxfId="249"/>
    <tableColumn id="5" name="Categoria 1" dataDxfId="248">
      <calculatedColumnFormula>VLOOKUP(Rapid[[#This Row],[Código]],BD_Produto[],3,FALSE)</calculatedColumnFormula>
    </tableColumn>
    <tableColumn id="6" name="Categoria 2" dataDxfId="247">
      <calculatedColumnFormula>VLOOKUP(Rapid[[#This Row],[Código]],BD_Produto[],4,FALSE)</calculatedColumnFormula>
    </tableColumn>
    <tableColumn id="7" name="Multiplo de Compra" dataDxfId="246"/>
    <tableColumn id="8" name="Preço FOB" dataDxfId="245"/>
    <tableColumn id="26" name="Origem" dataDxfId="244"/>
    <tableColumn id="25" name="Produção" dataDxfId="243"/>
    <tableColumn id="9" name="Importação" dataDxfId="242">
      <calculatedColumnFormula>IFERROR(VLOOKUP(Rapid[[#This Row],[Código]],Importação!P:R,3,FALSE),"")</calculatedColumnFormula>
    </tableColumn>
    <tableColumn id="10" name="Estoque" dataDxfId="241">
      <calculatedColumnFormula>IFERROR(VLOOKUP(Rapid[[#This Row],[Código]],Saldo[],3,FALSE),0)</calculatedColumnFormula>
    </tableColumn>
    <tableColumn id="11" name="Estoque+Importação" dataDxfId="240">
      <calculatedColumnFormula>SUM(Rapid[[#This Row],[Produção]:[Estoque]])</calculatedColumnFormula>
    </tableColumn>
    <tableColumn id="12" name="Estoque para" dataDxfId="239">
      <calculatedColumnFormula>IFERROR(Rapid[[#This Row],[Estoque+Importação]]/Rapid[[#This Row],[Proj. de V. No prox. mes]],"Sem Projeção")</calculatedColumnFormula>
    </tableColumn>
    <tableColumn id="13" name="estoque 10 meses" dataDxfId="238">
      <calculatedColumnFormula>IF(OR(Rapid[[#This Row],[Status]]="Em Linha",Rapid[[#This Row],[Status]]="Componente",Rapid[[#This Row],[Status]]="Materia Prima"),Rapid[[#This Row],[Proj. de V. No prox. mes]]*10,"-")</calculatedColumnFormula>
    </tableColumn>
    <tableColumn id="14" name="Comprar" dataDxfId="237">
      <calculatedColumnFormula>IF(OR(Rapid[[#This Row],[Status]]="Em Linha",Rapid[[#This Row],[Status]]="Componente",Rapid[[#This Row],[Status]]="Materia Prima"),Rapid[[#This Row],[estoque 10 meses]]-Rapid[[#This Row],[Estoque+Importação]],0)</calculatedColumnFormula>
    </tableColumn>
    <tableColumn id="27" name="Proj. de V. No prox. mes" dataDxfId="236">
      <calculatedColumnFormula>VLOOKUP(Rapid[[#This Row],[Código]],Projeção[#All],15,FALSE)</calculatedColumnFormula>
    </tableColumn>
    <tableColumn id="15" name="Proj. de V. No mes" dataDxfId="235">
      <calculatedColumnFormula>VLOOKUP(Rapid[[#This Row],[Código]],Projeção[#All],14,FALSE)</calculatedColumnFormula>
    </tableColumn>
    <tableColumn id="16" name="V. No mes" dataDxfId="234">
      <calculatedColumnFormula>IFERROR(VLOOKUP(Rapid[[#This Row],[Código]],Venda_mes[],2,FALSE),0)</calculatedColumnFormula>
    </tableColumn>
    <tableColumn id="17" name="% de V. vs Proj. No mês" dataDxfId="233">
      <calculatedColumnFormula>IFERROR(Rapid[[#This Row],[V. No mes]]/Rapid[[#This Row],[Proj. de V. No mes]],"")</calculatedColumnFormula>
    </tableColumn>
    <tableColumn id="18" name="Proj. de V. 3 meses" dataDxfId="232">
      <calculatedColumnFormula>VLOOKUP(Rapid[[#This Row],[Código]],Projeção[#All],14,FALSE)+VLOOKUP(Rapid[[#This Row],[Código]],Projeção[#All],13,FALSE)+VLOOKUP(Rapid[[#This Row],[Código]],Projeção[#All],12,FALSE)</calculatedColumnFormula>
    </tableColumn>
    <tableColumn id="19" name="V. 3 meses" dataDxfId="231">
      <calculatedColumnFormula>IFERROR(VLOOKUP(Rapid[[#This Row],[Código]],Venda_3meses[],2,FALSE),0)</calculatedColumnFormula>
    </tableColumn>
    <tableColumn id="20" name="% de V. vs Proj. 3 meses" dataDxfId="230">
      <calculatedColumnFormula>IFERROR(Rapid[[#This Row],[V. 3 meses]]/Rapid[[#This Row],[Proj. de V. 3 meses]],"")</calculatedColumnFormula>
    </tableColumn>
    <tableColumn id="21" name="Proj. de V. 12 meses" dataDxfId="229">
      <calculatedColumnFormula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calculatedColumnFormula>
    </tableColumn>
    <tableColumn id="22" name="V. 12 meses" dataDxfId="228">
      <calculatedColumnFormula>IFERROR(VLOOKUP(Rapid[[#This Row],[Código]],Venda_12meses[],2,FALSE),0)</calculatedColumnFormula>
    </tableColumn>
    <tableColumn id="23" name="% de V. vs Proj. 12 meses" dataDxfId="227">
      <calculatedColumnFormula>IFERROR(Rapid[[#This Row],[V. 12 meses]]/Rapid[[#This Row],[Proj. de V. 12 meses]],"")</calculatedColumnFormula>
    </tableColumn>
    <tableColumn id="24" name="Obs:" dataDxfId="226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12" name="Rapid_Componente" displayName="Rapid_Componente" ref="A6:AA110" totalsRowShown="0" headerRowDxfId="225" dataDxfId="224" tableBorderDxfId="223">
  <autoFilter ref="A6:AA110"/>
  <sortState ref="A7:AA110">
    <sortCondition ref="B7:B110"/>
    <sortCondition ref="A7:A110" customList="Em Linha,Materia Prima,Componente,Promocional,Fora de Linha"/>
    <sortCondition ref="N7:N110"/>
  </sortState>
  <tableColumns count="27">
    <tableColumn id="1" name="Status" dataDxfId="222">
      <calculatedColumnFormula>VLOOKUP(Rapid_Componente[[#This Row],[Código]],BD_Produto[#All],7,FALSE)</calculatedColumnFormula>
    </tableColumn>
    <tableColumn id="2" name="ok" dataDxfId="221">
      <calculatedColumnFormula>IF(OR(Rapid_Componente[[#This Row],[Status]]="Em linha",Rapid_Componente[[#This Row],[Status]]="Materia Prima",Rapid_Componente[[#This Row],[Status]]="Componente"),"ok",IF(Rapid_Componente[[#This Row],[Estoque+Importação]]&lt;1,"Tirar","ok"))</calculatedColumnFormula>
    </tableColumn>
    <tableColumn id="3" name="Código" dataDxfId="220"/>
    <tableColumn id="4" name="Descrição PT" dataDxfId="219"/>
    <tableColumn id="5" name="Categoria 1" dataDxfId="218">
      <calculatedColumnFormula>VLOOKUP(Rapid_Componente[[#This Row],[Código]],BD_Produto[],3,FALSE)</calculatedColumnFormula>
    </tableColumn>
    <tableColumn id="6" name="Categoria 2" dataDxfId="217">
      <calculatedColumnFormula>VLOOKUP(Rapid_Componente[[#This Row],[Código]],BD_Produto[],4,FALSE)</calculatedColumnFormula>
    </tableColumn>
    <tableColumn id="7" name="Multiplo de Compra" dataDxfId="216"/>
    <tableColumn id="8" name="Preço FOB" dataDxfId="215"/>
    <tableColumn id="26" name="Origem" dataDxfId="214"/>
    <tableColumn id="25" name="Produção" dataDxfId="213"/>
    <tableColumn id="9" name="Importação" dataDxfId="212">
      <calculatedColumnFormula>IFERROR(VLOOKUP(Rapid_Componente[[#This Row],[Código]],Importação!P:R,3,FALSE),"")</calculatedColumnFormula>
    </tableColumn>
    <tableColumn id="10" name="Estoque" dataDxfId="211">
      <calculatedColumnFormula>IFERROR(VLOOKUP(Rapid_Componente[[#This Row],[Código]],Saldo[],3,FALSE),0)</calculatedColumnFormula>
    </tableColumn>
    <tableColumn id="11" name="Estoque+Importação" dataDxfId="210">
      <calculatedColumnFormula>SUM(Rapid_Componente[[#This Row],[Produção]:[Estoque]])</calculatedColumnFormula>
    </tableColumn>
    <tableColumn id="12" name="Estoque para" dataDxfId="209">
      <calculatedColumnFormula>IFERROR(Rapid_Componente[[#This Row],[Estoque+Importação]]/Rapid_Componente[[#This Row],[Proj. de V. No prox. mes]],"Sem Projeção")</calculatedColumnFormula>
    </tableColumn>
    <tableColumn id="13" name="estoque 10 meses" dataDxfId="208">
      <calculatedColumnFormula>IF(OR(Rapid_Componente[[#This Row],[Status]]="Em Linha",Rapid_Componente[[#This Row],[Status]]="Componente",Rapid_Componente[[#This Row],[Status]]="Materia Prima"),Rapid_Componente[[#This Row],[Proj. de V. No prox. mes]]*10,"-")</calculatedColumnFormula>
    </tableColumn>
    <tableColumn id="14" name="Comprar" dataDxfId="207">
      <calculatedColumnFormula>IF(OR(Rapid_Componente[[#This Row],[Status]]="Em Linha",Rapid_Componente[[#This Row],[Status]]="Componente",Rapid_Componente[[#This Row],[Status]]="Materia Prima"),Rapid_Componente[[#This Row],[estoque 10 meses]]-Rapid_Componente[[#This Row],[Estoque+Importação]],0)</calculatedColumnFormula>
    </tableColumn>
    <tableColumn id="27" name="Proj. de V. No prox. mes" dataDxfId="206">
      <calculatedColumnFormula>VLOOKUP(Rapid_Componente[[#This Row],[Código]],Projeção[#All],15,FALSE)</calculatedColumnFormula>
    </tableColumn>
    <tableColumn id="15" name="Proj. de V. No mes" dataDxfId="205">
      <calculatedColumnFormula>VLOOKUP(Rapid_Componente[[#This Row],[Código]],Projeção[#All],14,FALSE)</calculatedColumnFormula>
    </tableColumn>
    <tableColumn id="16" name="V. No mes" dataDxfId="204">
      <calculatedColumnFormula>IFERROR(VLOOKUP(Rapid_Componente[[#This Row],[Código]],Venda_mes[],2,FALSE),0)</calculatedColumnFormula>
    </tableColumn>
    <tableColumn id="17" name="% de V. vs Proj. No mês" dataDxfId="203">
      <calculatedColumnFormula>IFERROR(Rapid_Componente[[#This Row],[V. No mes]]/Rapid_Componente[[#This Row],[Proj. de V. No mes]],"")</calculatedColumnFormula>
    </tableColumn>
    <tableColumn id="18" name="Proj. de V. 3 meses" dataDxfId="202">
      <calculatedColumnFormula>VLOOKUP(Rapid_Componente[[#This Row],[Código]],Projeção[#All],14,FALSE)+VLOOKUP(Rapid_Componente[[#This Row],[Código]],Projeção[#All],13,FALSE)+VLOOKUP(Rapid_Componente[[#This Row],[Código]],Projeção[#All],12,FALSE)</calculatedColumnFormula>
    </tableColumn>
    <tableColumn id="19" name="V. 3 meses" dataDxfId="201">
      <calculatedColumnFormula>IFERROR(VLOOKUP(Rapid_Componente[[#This Row],[Código]],Venda_3meses[],2,FALSE),0)</calculatedColumnFormula>
    </tableColumn>
    <tableColumn id="20" name="% de V. vs Proj. 3 meses" dataDxfId="200">
      <calculatedColumnFormula>IFERROR(Rapid_Componente[[#This Row],[V. 3 meses]]/Rapid_Componente[[#This Row],[Proj. de V. 3 meses]],"")</calculatedColumnFormula>
    </tableColumn>
    <tableColumn id="21" name="Proj. de V. 12 meses" dataDxfId="199">
      <calculatedColumnFormula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calculatedColumnFormula>
    </tableColumn>
    <tableColumn id="22" name="V. 12 meses" dataDxfId="198">
      <calculatedColumnFormula>IFERROR(VLOOKUP(Rapid_Componente[[#This Row],[Código]],Venda_12meses[],2,FALSE),0)</calculatedColumnFormula>
    </tableColumn>
    <tableColumn id="23" name="% de V. vs Proj. 12 meses" dataDxfId="197">
      <calculatedColumnFormula>IFERROR(Rapid_Componente[[#This Row],[V. 12 meses]]/Rapid_Componente[[#This Row],[Proj. de V. 12 meses]],"")</calculatedColumnFormula>
    </tableColumn>
    <tableColumn id="24" name="Obs:" dataDxfId="196"/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15" name="Esselte" displayName="Esselte" ref="A6:AA211" totalsRowShown="0" headerRowDxfId="195" dataDxfId="194" tableBorderDxfId="193">
  <autoFilter ref="A6:AA211"/>
  <sortState ref="A7:AA211">
    <sortCondition ref="B7:B211"/>
    <sortCondition ref="A7:A211" customList="Em Linha,Materia Prima,Componente,Promocional,Fora de Linha"/>
    <sortCondition ref="N7:N211"/>
  </sortState>
  <tableColumns count="27">
    <tableColumn id="1" name="Status" dataDxfId="192">
      <calculatedColumnFormula>VLOOKUP(Esselte[[#This Row],[Código]],BD_Produto[#All],7,FALSE)</calculatedColumnFormula>
    </tableColumn>
    <tableColumn id="2" name="ok" dataDxfId="191">
      <calculatedColumnFormula>IF(OR(Esselte[[#This Row],[Status]]="Em linha",Esselte[[#This Row],[Status]]="Materia Prima",Esselte[[#This Row],[Status]]="Componente"),"ok",IF(Esselte[[#This Row],[Estoque+Importação]]&lt;1,"Tirar","ok"))</calculatedColumnFormula>
    </tableColumn>
    <tableColumn id="3" name="Código" dataDxfId="190"/>
    <tableColumn id="4" name="Descrição PT" dataDxfId="189"/>
    <tableColumn id="5" name="Categoria 1" dataDxfId="188">
      <calculatedColumnFormula>VLOOKUP(Esselte[[#This Row],[Código]],BD_Produto[],3,FALSE)</calculatedColumnFormula>
    </tableColumn>
    <tableColumn id="6" name="Categoria 2" dataDxfId="187">
      <calculatedColumnFormula>VLOOKUP(Esselte[[#This Row],[Código]],BD_Produto[],4,FALSE)</calculatedColumnFormula>
    </tableColumn>
    <tableColumn id="7" name="Multiplo de Compra" dataDxfId="186"/>
    <tableColumn id="8" name="Preço FOB" dataDxfId="185"/>
    <tableColumn id="26" name="Origem" dataDxfId="184"/>
    <tableColumn id="25" name="Produção" dataDxfId="183"/>
    <tableColumn id="9" name="Importação" dataDxfId="182">
      <calculatedColumnFormula>IFERROR(VLOOKUP(Esselte[[#This Row],[Código]],Importação!P:R,3,FALSE),"")</calculatedColumnFormula>
    </tableColumn>
    <tableColumn id="10" name="Estoque" dataDxfId="181">
      <calculatedColumnFormula>IFERROR(VLOOKUP(Esselte[[#This Row],[Código]],Saldo[],3,FALSE),0)</calculatedColumnFormula>
    </tableColumn>
    <tableColumn id="11" name="Estoque+Importação" dataDxfId="180">
      <calculatedColumnFormula>SUM(Esselte[[#This Row],[Produção]:[Estoque]])</calculatedColumnFormula>
    </tableColumn>
    <tableColumn id="12" name="Estoque para" dataDxfId="179">
      <calculatedColumnFormula>IFERROR(Esselte[[#This Row],[Estoque+Importação]]/Esselte[[#This Row],[Proj. de V. No prox. mes]],"Sem Projeção")</calculatedColumnFormula>
    </tableColumn>
    <tableColumn id="13" name="estoque 10 meses" dataDxfId="178">
      <calculatedColumnFormula>IF(OR(Esselte[[#This Row],[Status]]="Em Linha",Esselte[[#This Row],[Status]]="Componente",Esselte[[#This Row],[Status]]="Materia Prima"),Esselte[[#This Row],[Proj. de V. No prox. mes]]*10,"-")</calculatedColumnFormula>
    </tableColumn>
    <tableColumn id="14" name="Comprar" dataDxfId="177">
      <calculatedColumnFormula>IF(OR(Esselte[[#This Row],[Status]]="Em Linha",Esselte[[#This Row],[Status]]="Componente",Esselte[[#This Row],[Status]]="Materia Prima"),Esselte[[#This Row],[estoque 10 meses]]-Esselte[[#This Row],[Estoque+Importação]],0)</calculatedColumnFormula>
    </tableColumn>
    <tableColumn id="27" name="Proj. de V. No prox. mes" dataDxfId="176">
      <calculatedColumnFormula>VLOOKUP(Esselte[[#This Row],[Código]],Projeção[#All],15,FALSE)</calculatedColumnFormula>
    </tableColumn>
    <tableColumn id="15" name="Proj. de V. No mes" dataDxfId="175">
      <calculatedColumnFormula>VLOOKUP(Esselte[[#This Row],[Código]],Projeção[#All],14,FALSE)</calculatedColumnFormula>
    </tableColumn>
    <tableColumn id="16" name="V. No mes" dataDxfId="174">
      <calculatedColumnFormula>IFERROR(VLOOKUP(Esselte[[#This Row],[Código]],Venda_mes[],2,FALSE),0)</calculatedColumnFormula>
    </tableColumn>
    <tableColumn id="17" name="% de V. vs Proj. No mês" dataDxfId="173">
      <calculatedColumnFormula>IFERROR(Esselte[[#This Row],[V. No mes]]/Esselte[[#This Row],[Proj. de V. No mes]],"")</calculatedColumnFormula>
    </tableColumn>
    <tableColumn id="18" name="Proj. de V. 3 meses" dataDxfId="172">
      <calculatedColumnFormula>VLOOKUP(Esselte[[#This Row],[Código]],Projeção[#All],14,FALSE)+VLOOKUP(Esselte[[#This Row],[Código]],Projeção[#All],13,FALSE)+VLOOKUP(Esselte[[#This Row],[Código]],Projeção[#All],12,FALSE)</calculatedColumnFormula>
    </tableColumn>
    <tableColumn id="19" name="V. 3 meses" dataDxfId="171">
      <calculatedColumnFormula>IFERROR(VLOOKUP(Esselte[[#This Row],[Código]],Venda_3meses[],2,FALSE),0)</calculatedColumnFormula>
    </tableColumn>
    <tableColumn id="20" name="% de V. vs Proj. 3 meses" dataDxfId="170">
      <calculatedColumnFormula>IFERROR(Esselte[[#This Row],[V. 3 meses]]/Esselte[[#This Row],[Proj. de V. 3 meses]],"")</calculatedColumnFormula>
    </tableColumn>
    <tableColumn id="21" name="Proj. de V. 12 meses" dataDxfId="169">
      <calculatedColumnFormula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calculatedColumnFormula>
    </tableColumn>
    <tableColumn id="22" name="V. 12 meses" dataDxfId="168">
      <calculatedColumnFormula>IFERROR(VLOOKUP(Esselte[[#This Row],[Código]],Venda_12meses[],2,FALSE),0)</calculatedColumnFormula>
    </tableColumn>
    <tableColumn id="23" name="% de V. vs Proj. 12 meses" dataDxfId="167">
      <calculatedColumnFormula>IFERROR(Esselte[[#This Row],[V. 12 meses]]/Esselte[[#This Row],[Proj. de V. 12 meses]],"")</calculatedColumnFormula>
    </tableColumn>
    <tableColumn id="24" name="Obs:" dataDxfId="166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id="17" name="Youts" displayName="Youts" ref="A6:AA181" totalsRowShown="0" headerRowDxfId="165" dataDxfId="164" tableBorderDxfId="163">
  <autoFilter ref="A6:AA181"/>
  <sortState ref="A7:AA181">
    <sortCondition ref="B7:B181"/>
    <sortCondition ref="A7:A181" customList="Em Linha,Materia Prima,Componente,Promocional,Fora de Linha"/>
    <sortCondition ref="N7:N181"/>
  </sortState>
  <tableColumns count="27">
    <tableColumn id="1" name="Status" dataDxfId="162">
      <calculatedColumnFormula>VLOOKUP(Youts[[#This Row],[Código]],BD_Produto[#All],7,FALSE)</calculatedColumnFormula>
    </tableColumn>
    <tableColumn id="2" name="ok" dataDxfId="161">
      <calculatedColumnFormula>IF(OR(Youts[[#This Row],[Status]]="Em linha",Youts[[#This Row],[Status]]="Materia Prima",Youts[[#This Row],[Status]]="Componente"),"ok",IF(Youts[[#This Row],[Estoque+Importação]]&lt;1,"Tirar","ok"))</calculatedColumnFormula>
    </tableColumn>
    <tableColumn id="3" name="Código" dataDxfId="160"/>
    <tableColumn id="4" name="Descrição PT" dataDxfId="159"/>
    <tableColumn id="5" name="Categoria 1" dataDxfId="158">
      <calculatedColumnFormula>VLOOKUP(Youts[[#This Row],[Código]],BD_Produto[],3,FALSE)</calculatedColumnFormula>
    </tableColumn>
    <tableColumn id="6" name="Categoria 2" dataDxfId="157">
      <calculatedColumnFormula>VLOOKUP(Youts[[#This Row],[Código]],BD_Produto[],4,FALSE)</calculatedColumnFormula>
    </tableColumn>
    <tableColumn id="7" name="Multiplo de Compra" dataDxfId="156"/>
    <tableColumn id="8" name="Preço FOB" dataDxfId="155"/>
    <tableColumn id="26" name="Origem" dataDxfId="154"/>
    <tableColumn id="25" name="Produção" dataDxfId="153"/>
    <tableColumn id="9" name="Importação" dataDxfId="152">
      <calculatedColumnFormula>IFERROR(VLOOKUP(Youts[[#This Row],[Código]],Importação!P:R,3,FALSE),"")</calculatedColumnFormula>
    </tableColumn>
    <tableColumn id="10" name="Estoque" dataDxfId="151">
      <calculatedColumnFormula>IFERROR(VLOOKUP(Youts[[#This Row],[Código]],Saldo[],3,FALSE),0)</calculatedColumnFormula>
    </tableColumn>
    <tableColumn id="11" name="Estoque+Importação" dataDxfId="150">
      <calculatedColumnFormula>SUM(Youts[[#This Row],[Produção]:[Estoque]])</calculatedColumnFormula>
    </tableColumn>
    <tableColumn id="12" name="Estoque para" dataDxfId="149">
      <calculatedColumnFormula>IFERROR(Youts[[#This Row],[Estoque+Importação]]/Youts[[#This Row],[Proj. de V. No prox. mes]],"Sem Projeção")</calculatedColumnFormula>
    </tableColumn>
    <tableColumn id="13" name="estoque 10 meses" dataDxfId="148">
      <calculatedColumnFormula>IF(OR(Youts[[#This Row],[Status]]="Em Linha",Youts[[#This Row],[Status]]="Componente",Youts[[#This Row],[Status]]="Materia Prima"),Youts[[#This Row],[Proj. de V. No prox. mes]]*10,"-")</calculatedColumnFormula>
    </tableColumn>
    <tableColumn id="14" name="Comprar" dataDxfId="147">
      <calculatedColumnFormula>IF(OR(Youts[[#This Row],[Status]]="Em Linha",Youts[[#This Row],[Status]]="Componente",Youts[[#This Row],[Status]]="Materia Prima"),Youts[[#This Row],[estoque 10 meses]]-Youts[[#This Row],[Estoque+Importação]],0)</calculatedColumnFormula>
    </tableColumn>
    <tableColumn id="27" name="Proj. de V. No prox. mes" dataDxfId="146">
      <calculatedColumnFormula>VLOOKUP(Youts[[#This Row],[Código]],Projeção[#All],15,FALSE)</calculatedColumnFormula>
    </tableColumn>
    <tableColumn id="15" name="Proj. de V. No mes" dataDxfId="145">
      <calculatedColumnFormula>VLOOKUP(Youts[[#This Row],[Código]],Projeção[#All],14,FALSE)</calculatedColumnFormula>
    </tableColumn>
    <tableColumn id="16" name="V. No mes" dataDxfId="144">
      <calculatedColumnFormula>IFERROR(VLOOKUP(Youts[[#This Row],[Código]],Venda_mes[],2,FALSE),0)</calculatedColumnFormula>
    </tableColumn>
    <tableColumn id="17" name="% de V. vs Proj. No mês" dataDxfId="143">
      <calculatedColumnFormula>IFERROR(Youts[[#This Row],[V. No mes]]/Youts[[#This Row],[Proj. de V. No mes]],"")</calculatedColumnFormula>
    </tableColumn>
    <tableColumn id="18" name="Proj. de V. 3 meses" dataDxfId="142">
      <calculatedColumnFormula>VLOOKUP(Youts[[#This Row],[Código]],Projeção[#All],14,FALSE)+VLOOKUP(Youts[[#This Row],[Código]],Projeção[#All],13,FALSE)+VLOOKUP(Youts[[#This Row],[Código]],Projeção[#All],12,FALSE)</calculatedColumnFormula>
    </tableColumn>
    <tableColumn id="19" name="V. 3 meses" dataDxfId="141">
      <calculatedColumnFormula>IFERROR(VLOOKUP(Youts[[#This Row],[Código]],Venda_3meses[],2,FALSE),0)</calculatedColumnFormula>
    </tableColumn>
    <tableColumn id="20" name="% de V. vs Proj. 3 meses" dataDxfId="140">
      <calculatedColumnFormula>IFERROR(Youts[[#This Row],[V. 3 meses]]/Youts[[#This Row],[Proj. de V. 3 meses]],"")</calculatedColumnFormula>
    </tableColumn>
    <tableColumn id="21" name="Proj. de V. 12 meses" dataDxfId="139">
      <calculatedColumnFormula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calculatedColumnFormula>
    </tableColumn>
    <tableColumn id="22" name="V. 12 meses" dataDxfId="138">
      <calculatedColumnFormula>IFERROR(VLOOKUP(Youts[[#This Row],[Código]],Venda_12meses[],2,FALSE),0)</calculatedColumnFormula>
    </tableColumn>
    <tableColumn id="23" name="% de V. vs Proj. 12 meses" dataDxfId="137">
      <calculatedColumnFormula>IFERROR(Youts[[#This Row],[V. 12 meses]]/Youts[[#This Row],[Proj. de V. 12 meses]],"")</calculatedColumnFormula>
    </tableColumn>
    <tableColumn id="24" name="Obs:" dataDxfId="136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table" Target="../tables/table1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A42"/>
  <sheetViews>
    <sheetView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D46" sqref="D46"/>
    </sheetView>
  </sheetViews>
  <sheetFormatPr defaultRowHeight="15" x14ac:dyDescent="0.25"/>
  <cols>
    <col min="1" max="1" width="14.28515625" bestFit="1" customWidth="1"/>
    <col min="2" max="2" width="4.5703125" customWidth="1"/>
    <col min="3" max="3" width="18.5703125" bestFit="1" customWidth="1"/>
    <col min="4" max="4" width="87.85546875" customWidth="1"/>
    <col min="5" max="5" width="15.7109375" bestFit="1" customWidth="1"/>
    <col min="6" max="6" width="21.42578125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5.7109375" bestFit="1" customWidth="1"/>
    <col min="11" max="11" width="16.85546875" bestFit="1" customWidth="1"/>
    <col min="12" max="12" width="14.7109375" customWidth="1"/>
    <col min="13" max="13" width="16.5703125" customWidth="1"/>
    <col min="14" max="14" width="15.42578125" customWidth="1"/>
    <col min="15" max="15" width="14.85546875" customWidth="1"/>
    <col min="16" max="16" width="14.85546875" bestFit="1" customWidth="1"/>
    <col min="17" max="17" width="9.28515625" customWidth="1"/>
    <col min="18" max="19" width="9.7109375" customWidth="1"/>
    <col min="20" max="20" width="11.28515625" customWidth="1"/>
    <col min="21" max="22" width="9.7109375" customWidth="1"/>
    <col min="23" max="23" width="11.28515625" customWidth="1"/>
    <col min="24" max="26" width="9.7109375" customWidth="1"/>
    <col min="27" max="27" width="15" bestFit="1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6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95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89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95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4" t="s">
        <v>20</v>
      </c>
      <c r="S3" s="194" t="s">
        <v>21</v>
      </c>
      <c r="T3" s="196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95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84"/>
      <c r="S4" s="184"/>
      <c r="T4" s="185"/>
      <c r="U4" s="184"/>
      <c r="V4" s="184"/>
      <c r="W4" s="184"/>
      <c r="X4" s="184"/>
      <c r="Y4" s="184"/>
      <c r="Z4" s="184"/>
      <c r="AA4" s="195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2820</v>
      </c>
      <c r="K5" s="2" t="s">
        <v>2819</v>
      </c>
      <c r="L5" s="184"/>
      <c r="M5" s="184"/>
      <c r="N5" s="184"/>
      <c r="O5" s="184"/>
      <c r="P5" s="185"/>
      <c r="Q5" s="194"/>
      <c r="R5" s="184"/>
      <c r="S5" s="184"/>
      <c r="T5" s="185"/>
      <c r="U5" s="184"/>
      <c r="V5" s="184"/>
      <c r="W5" s="184"/>
      <c r="X5" s="184"/>
      <c r="Y5" s="184"/>
      <c r="Z5" s="184"/>
      <c r="AA5" s="195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41" t="s">
        <v>23</v>
      </c>
      <c r="S6" s="37" t="s">
        <v>24</v>
      </c>
      <c r="T6" s="37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22" t="str">
        <f>VLOOKUP(Vegetal[[#This Row],[Código]],BD_Produto[#All],7,FALSE)</f>
        <v>Em Linha</v>
      </c>
      <c r="B7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7" s="23">
        <v>30061224600</v>
      </c>
      <c r="D7" s="22" t="s">
        <v>3051</v>
      </c>
      <c r="E7" s="22" t="str">
        <f>VLOOKUP(Vegetal[[#This Row],[Código]],BD_Produto[],3,FALSE)</f>
        <v>90-95 g/m²</v>
      </c>
      <c r="F7" s="22" t="str">
        <f>VLOOKUP(Vegetal[[#This Row],[Código]],BD_Produto[],4,FALSE)</f>
        <v>LEGAL 216 x 355 mm</v>
      </c>
      <c r="G7" s="24"/>
      <c r="H7" s="25"/>
      <c r="J7" s="24"/>
      <c r="K7" s="24" t="str">
        <f>IFERROR(VLOOKUP(Vegetal[[#This Row],[Código]],Importação!P:R,3,FALSE),"")</f>
        <v/>
      </c>
      <c r="L7" s="24">
        <f>IFERROR(VLOOKUP(Vegetal[[#This Row],[Código]],Saldo[],3,FALSE),0)</f>
        <v>296</v>
      </c>
      <c r="M7" s="24">
        <f>SUM(Vegetal[[#This Row],[Produção]:[Estoque]])</f>
        <v>296</v>
      </c>
      <c r="N7" s="24">
        <f>IFERROR(Vegetal[[#This Row],[Estoque+Importação]]/Vegetal[[#This Row],[Proj. de V. No prox. mes]],"Sem Projeção")</f>
        <v>1.1882778000802892</v>
      </c>
      <c r="O7" s="24">
        <f>IF(OR(Vegetal[[#This Row],[Status]]="Em Linha",Vegetal[[#This Row],[Status]]="Componente",Vegetal[[#This Row],[Status]]="Materia Prima"),Vegetal[[#This Row],[Proj. de V. No prox. mes]]*10,"-")</f>
        <v>2491</v>
      </c>
      <c r="P7" s="34">
        <f>IF(OR(Vegetal[[#This Row],[Status]]="Em Linha",Vegetal[[#This Row],[Status]]="Componente",Vegetal[[#This Row],[Status]]="Materia Prima"),Vegetal[[#This Row],[estoque 10 meses]]-Vegetal[[#This Row],[Estoque+Importação]],0)</f>
        <v>2195</v>
      </c>
      <c r="Q7" s="75">
        <f>VLOOKUP(Vegetal[[#This Row],[Código]],Projeção[#All],15,FALSE)</f>
        <v>249.1</v>
      </c>
      <c r="R7" s="43">
        <f>VLOOKUP(Vegetal[[#This Row],[Código]],Projeção[#All],14,FALSE)</f>
        <v>277.5</v>
      </c>
      <c r="S7" s="39">
        <f>IFERROR(VLOOKUP(Vegetal[[#This Row],[Código]],Venda_mes[],2,FALSE),0)</f>
        <v>220</v>
      </c>
      <c r="T7" s="45">
        <f>IFERROR(Vegetal[[#This Row],[V. No mes]]/Vegetal[[#This Row],[Proj. de V. No mes]],"")</f>
        <v>0.7927927927927928</v>
      </c>
      <c r="U7" s="43">
        <f>VLOOKUP(Vegetal[[#This Row],[Código]],Projeção[#All],14,FALSE)+VLOOKUP(Vegetal[[#This Row],[Código]],Projeção[#All],13,FALSE)+VLOOKUP(Vegetal[[#This Row],[Código]],Projeção[#All],12,FALSE)</f>
        <v>703.16666666666663</v>
      </c>
      <c r="V7" s="39">
        <f>IFERROR(VLOOKUP(Vegetal[[#This Row],[Código]],Venda_3meses[],2,FALSE),0)</f>
        <v>600</v>
      </c>
      <c r="W7" s="44">
        <f>IFERROR(Vegetal[[#This Row],[V. 3 meses]]/Vegetal[[#This Row],[Proj. de V. 3 meses]],"")</f>
        <v>0.85328276842853756</v>
      </c>
      <c r="X7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1877.333333333333</v>
      </c>
      <c r="Y7" s="39">
        <f>IFERROR(VLOOKUP(Vegetal[[#This Row],[Código]],Venda_12meses[],2,FALSE),0)</f>
        <v>2753</v>
      </c>
      <c r="Z7" s="44">
        <f>IFERROR(Vegetal[[#This Row],[V. 12 meses]]/Vegetal[[#This Row],[Proj. de V. 12 meses]],"")</f>
        <v>1.4664417613636367</v>
      </c>
      <c r="AA7" s="36"/>
    </row>
    <row r="8" spans="1:27" x14ac:dyDescent="0.25">
      <c r="A8" s="22" t="str">
        <f>VLOOKUP(Vegetal[[#This Row],[Código]],BD_Produto[#All],7,FALSE)</f>
        <v>Em Linha</v>
      </c>
      <c r="B8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8" s="23">
        <v>30061224414</v>
      </c>
      <c r="D8" s="22" t="s">
        <v>3049</v>
      </c>
      <c r="E8" s="22" t="str">
        <f>VLOOKUP(Vegetal[[#This Row],[Código]],BD_Produto[],3,FALSE)</f>
        <v>60-65 g/m²</v>
      </c>
      <c r="F8" s="22" t="str">
        <f>VLOOKUP(Vegetal[[#This Row],[Código]],BD_Produto[],4,FALSE)</f>
        <v>A4 210 x 297 mm</v>
      </c>
      <c r="G8" s="24"/>
      <c r="H8" s="25"/>
      <c r="I8" s="22"/>
      <c r="J8" s="24"/>
      <c r="K8" s="24" t="str">
        <f>IFERROR(VLOOKUP(Vegetal[[#This Row],[Código]],Importação!P:R,3,FALSE),"")</f>
        <v/>
      </c>
      <c r="L8" s="24">
        <f>IFERROR(VLOOKUP(Vegetal[[#This Row],[Código]],Saldo[],3,FALSE),0)</f>
        <v>141</v>
      </c>
      <c r="M8" s="24">
        <f>SUM(Vegetal[[#This Row],[Produção]:[Estoque]])</f>
        <v>141</v>
      </c>
      <c r="N8" s="24">
        <f>IFERROR(Vegetal[[#This Row],[Estoque+Importação]]/Vegetal[[#This Row],[Proj. de V. No prox. mes]],"Sem Projeção")</f>
        <v>0.13307326894642466</v>
      </c>
      <c r="O8" s="24">
        <f>IF(OR(Vegetal[[#This Row],[Status]]="Em Linha",Vegetal[[#This Row],[Status]]="Componente",Vegetal[[#This Row],[Status]]="Materia Prima"),Vegetal[[#This Row],[Proj. de V. No prox. mes]]*10,"-")</f>
        <v>10595.666666666666</v>
      </c>
      <c r="P8" s="34">
        <f>IF(OR(Vegetal[[#This Row],[Status]]="Em Linha",Vegetal[[#This Row],[Status]]="Componente",Vegetal[[#This Row],[Status]]="Materia Prima"),Vegetal[[#This Row],[estoque 10 meses]]-Vegetal[[#This Row],[Estoque+Importação]],0)</f>
        <v>10454.666666666666</v>
      </c>
      <c r="Q8" s="75">
        <f>VLOOKUP(Vegetal[[#This Row],[Código]],Projeção[#All],15,FALSE)</f>
        <v>1059.5666666666666</v>
      </c>
      <c r="R8" s="43">
        <f>VLOOKUP(Vegetal[[#This Row],[Código]],Projeção[#All],14,FALSE)</f>
        <v>856.99999999999989</v>
      </c>
      <c r="S8" s="39">
        <f>IFERROR(VLOOKUP(Vegetal[[#This Row],[Código]],Venda_mes[],2,FALSE),0)</f>
        <v>0</v>
      </c>
      <c r="T8" s="45">
        <f>IFERROR(Vegetal[[#This Row],[V. No mes]]/Vegetal[[#This Row],[Proj. de V. No mes]],"")</f>
        <v>0</v>
      </c>
      <c r="U8" s="43">
        <f>VLOOKUP(Vegetal[[#This Row],[Código]],Projeção[#All],14,FALSE)+VLOOKUP(Vegetal[[#This Row],[Código]],Projeção[#All],13,FALSE)+VLOOKUP(Vegetal[[#This Row],[Código]],Projeção[#All],12,FALSE)</f>
        <v>1784.1666666666665</v>
      </c>
      <c r="V8" s="39">
        <f>IFERROR(VLOOKUP(Vegetal[[#This Row],[Código]],Venda_3meses[],2,FALSE),0)</f>
        <v>1200</v>
      </c>
      <c r="W8" s="44">
        <f>IFERROR(Vegetal[[#This Row],[V. 3 meses]]/Vegetal[[#This Row],[Proj. de V. 3 meses]],"")</f>
        <v>0.67258290518449326</v>
      </c>
      <c r="X8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2941.9666666666667</v>
      </c>
      <c r="Y8" s="39">
        <f>IFERROR(VLOOKUP(Vegetal[[#This Row],[Código]],Venda_12meses[],2,FALSE),0)</f>
        <v>18549</v>
      </c>
      <c r="Z8" s="44">
        <f>IFERROR(Vegetal[[#This Row],[V. 12 meses]]/Vegetal[[#This Row],[Proj. de V. 12 meses]],"")</f>
        <v>6.3049660657836597</v>
      </c>
      <c r="AA8" s="36"/>
    </row>
    <row r="9" spans="1:27" x14ac:dyDescent="0.25">
      <c r="A9" s="92" t="str">
        <f>VLOOKUP(Vegetal[[#This Row],[Código]],BD_Produto[#All],7,FALSE)</f>
        <v>Em Linha</v>
      </c>
      <c r="B9" s="92" t="str">
        <f>IF(OR(Vegetal[[#This Row],[Status]]="Em linha",Vegetal[[#This Row],[Status]]="Materia Prima",Vegetal[[#This Row],[Status]]="Componente"),"ok",IF(Vegetal[[#This Row],[Estoque+Importação]]&lt;1,"Tirar","ok"))</f>
        <v>ok</v>
      </c>
      <c r="C9" s="23">
        <v>30061265232</v>
      </c>
      <c r="D9" s="92" t="s">
        <v>3053</v>
      </c>
      <c r="E9" s="92" t="str">
        <f>VLOOKUP(Vegetal[[#This Row],[Código]],BD_Produto[],3,FALSE)</f>
        <v>60-65 g/m²</v>
      </c>
      <c r="F9" s="92" t="str">
        <f>VLOOKUP(Vegetal[[#This Row],[Código]],BD_Produto[],4,FALSE)</f>
        <v>A3 297 x 420 mm</v>
      </c>
      <c r="G9" s="39"/>
      <c r="H9" s="93"/>
      <c r="I9" s="94"/>
      <c r="J9" s="39"/>
      <c r="K9" s="39" t="str">
        <f>IFERROR(VLOOKUP(Vegetal[[#This Row],[Código]],Importação!P:R,3,FALSE),"")</f>
        <v/>
      </c>
      <c r="L9" s="39">
        <f>IFERROR(VLOOKUP(Vegetal[[#This Row],[Código]],Saldo[],3,FALSE),0)</f>
        <v>808</v>
      </c>
      <c r="M9" s="39">
        <f>SUM(Vegetal[[#This Row],[Produção]:[Estoque]])</f>
        <v>808</v>
      </c>
      <c r="N9" s="39">
        <f>IFERROR(Vegetal[[#This Row],[Estoque+Importação]]/Vegetal[[#This Row],[Proj. de V. No prox. mes]],"Sem Projeção")</f>
        <v>6.519634211941904</v>
      </c>
      <c r="O9" s="39">
        <f>IF(OR(Vegetal[[#This Row],[Status]]="Em Linha",Vegetal[[#This Row],[Status]]="Componente",Vegetal[[#This Row],[Status]]="Materia Prima"),Vegetal[[#This Row],[Proj. de V. No prox. mes]]*10,"-")</f>
        <v>1239.3333333333335</v>
      </c>
      <c r="P9" s="39">
        <f>IF(OR(Vegetal[[#This Row],[Status]]="Em Linha",Vegetal[[#This Row],[Status]]="Componente",Vegetal[[#This Row],[Status]]="Materia Prima"),Vegetal[[#This Row],[estoque 10 meses]]-Vegetal[[#This Row],[Estoque+Importação]],0)</f>
        <v>431.33333333333348</v>
      </c>
      <c r="Q9" s="75">
        <f>VLOOKUP(Vegetal[[#This Row],[Código]],Projeção[#All],15,FALSE)</f>
        <v>123.93333333333334</v>
      </c>
      <c r="R9" s="43">
        <f>VLOOKUP(Vegetal[[#This Row],[Código]],Projeção[#All],14,FALSE)</f>
        <v>0</v>
      </c>
      <c r="S9" s="39">
        <f>IFERROR(VLOOKUP(Vegetal[[#This Row],[Código]],Venda_mes[],2,FALSE),0)</f>
        <v>100</v>
      </c>
      <c r="T9" s="45" t="str">
        <f>IFERROR(Vegetal[[#This Row],[V. No mes]]/Vegetal[[#This Row],[Proj. de V. No mes]],"")</f>
        <v/>
      </c>
      <c r="U9" s="43">
        <f>VLOOKUP(Vegetal[[#This Row],[Código]],Projeção[#All],14,FALSE)+VLOOKUP(Vegetal[[#This Row],[Código]],Projeção[#All],13,FALSE)+VLOOKUP(Vegetal[[#This Row],[Código]],Projeção[#All],12,FALSE)</f>
        <v>0</v>
      </c>
      <c r="V9" s="39">
        <f>IFERROR(VLOOKUP(Vegetal[[#This Row],[Código]],Venda_3meses[],2,FALSE),0)</f>
        <v>270</v>
      </c>
      <c r="W9" s="44" t="str">
        <f>IFERROR(Vegetal[[#This Row],[V. 3 meses]]/Vegetal[[#This Row],[Proj. de V. 3 meses]],"")</f>
        <v/>
      </c>
      <c r="X9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9" s="39">
        <f>IFERROR(VLOOKUP(Vegetal[[#This Row],[Código]],Venda_12meses[],2,FALSE),0)</f>
        <v>1750</v>
      </c>
      <c r="Z9" s="44" t="str">
        <f>IFERROR(Vegetal[[#This Row],[V. 12 meses]]/Vegetal[[#This Row],[Proj. de V. 12 meses]],"")</f>
        <v/>
      </c>
      <c r="AA9" s="94"/>
    </row>
    <row r="10" spans="1:27" x14ac:dyDescent="0.25">
      <c r="A10" s="92" t="str">
        <f>VLOOKUP(Vegetal[[#This Row],[Código]],BD_Produto[#All],7,FALSE)</f>
        <v>Em Linha</v>
      </c>
      <c r="B10" s="92" t="str">
        <f>IF(OR(Vegetal[[#This Row],[Status]]="Em linha",Vegetal[[#This Row],[Status]]="Materia Prima",Vegetal[[#This Row],[Status]]="Componente"),"ok",IF(Vegetal[[#This Row],[Estoque+Importação]]&lt;1,"Tirar","ok"))</f>
        <v>ok</v>
      </c>
      <c r="C10" s="23">
        <v>30061265264</v>
      </c>
      <c r="D10" s="92" t="s">
        <v>3039</v>
      </c>
      <c r="E10" s="92" t="str">
        <f>VLOOKUP(Vegetal[[#This Row],[Código]],BD_Produto[],3,FALSE)</f>
        <v>90-95 g/m²</v>
      </c>
      <c r="F10" s="92" t="str">
        <f>VLOOKUP(Vegetal[[#This Row],[Código]],BD_Produto[],4,FALSE)</f>
        <v>A3 297 x 420 mm</v>
      </c>
      <c r="G10" s="39"/>
      <c r="H10" s="93"/>
      <c r="I10" s="94"/>
      <c r="J10" s="39"/>
      <c r="K10" s="39" t="str">
        <f>IFERROR(VLOOKUP(Vegetal[[#This Row],[Código]],Importação!P:R,3,FALSE),"")</f>
        <v/>
      </c>
      <c r="L10" s="39">
        <f>IFERROR(VLOOKUP(Vegetal[[#This Row],[Código]],Saldo[],3,FALSE),0)</f>
        <v>1369</v>
      </c>
      <c r="M10" s="39">
        <f>SUM(Vegetal[[#This Row],[Produção]:[Estoque]])</f>
        <v>1369</v>
      </c>
      <c r="N10" s="39">
        <f>IFERROR(Vegetal[[#This Row],[Estoque+Importação]]/Vegetal[[#This Row],[Proj. de V. No prox. mes]],"Sem Projeção")</f>
        <v>256.6875</v>
      </c>
      <c r="O10" s="39">
        <f>IF(OR(Vegetal[[#This Row],[Status]]="Em Linha",Vegetal[[#This Row],[Status]]="Componente",Vegetal[[#This Row],[Status]]="Materia Prima"),Vegetal[[#This Row],[Proj. de V. No prox. mes]]*10,"-")</f>
        <v>53.333333333333329</v>
      </c>
      <c r="P10" s="39">
        <f>IF(OR(Vegetal[[#This Row],[Status]]="Em Linha",Vegetal[[#This Row],[Status]]="Componente",Vegetal[[#This Row],[Status]]="Materia Prima"),Vegetal[[#This Row],[estoque 10 meses]]-Vegetal[[#This Row],[Estoque+Importação]],0)</f>
        <v>-1315.6666666666667</v>
      </c>
      <c r="Q10" s="75">
        <f>VLOOKUP(Vegetal[[#This Row],[Código]],Projeção[#All],15,FALSE)</f>
        <v>5.333333333333333</v>
      </c>
      <c r="R10" s="43">
        <f>VLOOKUP(Vegetal[[#This Row],[Código]],Projeção[#All],14,FALSE)</f>
        <v>0</v>
      </c>
      <c r="S10" s="39">
        <f>IFERROR(VLOOKUP(Vegetal[[#This Row],[Código]],Venda_mes[],2,FALSE),0)</f>
        <v>0</v>
      </c>
      <c r="T10" s="45" t="str">
        <f>IFERROR(Vegetal[[#This Row],[V. No mes]]/Vegetal[[#This Row],[Proj. de V. No mes]],"")</f>
        <v/>
      </c>
      <c r="U10" s="43">
        <f>VLOOKUP(Vegetal[[#This Row],[Código]],Projeção[#All],14,FALSE)+VLOOKUP(Vegetal[[#This Row],[Código]],Projeção[#All],13,FALSE)+VLOOKUP(Vegetal[[#This Row],[Código]],Projeção[#All],12,FALSE)</f>
        <v>0</v>
      </c>
      <c r="V10" s="39">
        <f>IFERROR(VLOOKUP(Vegetal[[#This Row],[Código]],Venda_3meses[],2,FALSE),0)</f>
        <v>0</v>
      </c>
      <c r="W10" s="44" t="str">
        <f>IFERROR(Vegetal[[#This Row],[V. 3 meses]]/Vegetal[[#This Row],[Proj. de V. 3 meses]],"")</f>
        <v/>
      </c>
      <c r="X10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0" s="39">
        <f>IFERROR(VLOOKUP(Vegetal[[#This Row],[Código]],Venda_12meses[],2,FALSE),0)</f>
        <v>60</v>
      </c>
      <c r="Z10" s="44" t="str">
        <f>IFERROR(Vegetal[[#This Row],[V. 12 meses]]/Vegetal[[#This Row],[Proj. de V. 12 meses]],"")</f>
        <v/>
      </c>
      <c r="AA10" s="94"/>
    </row>
    <row r="11" spans="1:27" x14ac:dyDescent="0.25">
      <c r="A11" s="92" t="str">
        <f>VLOOKUP(Vegetal[[#This Row],[Código]],BD_Produto[#All],7,FALSE)</f>
        <v>Em Linha</v>
      </c>
      <c r="B11" s="92" t="str">
        <f>IF(OR(Vegetal[[#This Row],[Status]]="Em linha",Vegetal[[#This Row],[Status]]="Materia Prima",Vegetal[[#This Row],[Status]]="Componente"),"ok",IF(Vegetal[[#This Row],[Estoque+Importação]]&lt;1,"Tirar","ok"))</f>
        <v>ok</v>
      </c>
      <c r="C11" s="23">
        <v>30061265265</v>
      </c>
      <c r="D11" s="92" t="s">
        <v>3040</v>
      </c>
      <c r="E11" s="92" t="str">
        <f>VLOOKUP(Vegetal[[#This Row],[Código]],BD_Produto[],3,FALSE)</f>
        <v>90-95 g/m²</v>
      </c>
      <c r="F11" s="92" t="str">
        <f>VLOOKUP(Vegetal[[#This Row],[Código]],BD_Produto[],4,FALSE)</f>
        <v>A4 210 x 297 mm</v>
      </c>
      <c r="G11" s="39"/>
      <c r="H11" s="93"/>
      <c r="I11" s="94"/>
      <c r="J11" s="39"/>
      <c r="K11" s="39" t="str">
        <f>IFERROR(VLOOKUP(Vegetal[[#This Row],[Código]],Importação!P:R,3,FALSE),"")</f>
        <v/>
      </c>
      <c r="L11" s="39">
        <f>IFERROR(VLOOKUP(Vegetal[[#This Row],[Código]],Saldo[],3,FALSE),0)</f>
        <v>1824</v>
      </c>
      <c r="M11" s="39">
        <f>SUM(Vegetal[[#This Row],[Produção]:[Estoque]])</f>
        <v>1824</v>
      </c>
      <c r="N11" s="39">
        <f>IFERROR(Vegetal[[#This Row],[Estoque+Importação]]/Vegetal[[#This Row],[Proj. de V. No prox. mes]],"Sem Projeção")</f>
        <v>270.89108910891093</v>
      </c>
      <c r="O11" s="39">
        <f>IF(OR(Vegetal[[#This Row],[Status]]="Em Linha",Vegetal[[#This Row],[Status]]="Componente",Vegetal[[#This Row],[Status]]="Materia Prima"),Vegetal[[#This Row],[Proj. de V. No prox. mes]]*10,"-")</f>
        <v>67.333333333333329</v>
      </c>
      <c r="P11" s="39">
        <f>IF(OR(Vegetal[[#This Row],[Status]]="Em Linha",Vegetal[[#This Row],[Status]]="Componente",Vegetal[[#This Row],[Status]]="Materia Prima"),Vegetal[[#This Row],[estoque 10 meses]]-Vegetal[[#This Row],[Estoque+Importação]],0)</f>
        <v>-1756.6666666666667</v>
      </c>
      <c r="Q11" s="75">
        <f>VLOOKUP(Vegetal[[#This Row],[Código]],Projeção[#All],15,FALSE)</f>
        <v>6.7333333333333325</v>
      </c>
      <c r="R11" s="43">
        <f>VLOOKUP(Vegetal[[#This Row],[Código]],Projeção[#All],14,FALSE)</f>
        <v>0</v>
      </c>
      <c r="S11" s="39">
        <f>IFERROR(VLOOKUP(Vegetal[[#This Row],[Código]],Venda_mes[],2,FALSE),0)</f>
        <v>0</v>
      </c>
      <c r="T11" s="45" t="str">
        <f>IFERROR(Vegetal[[#This Row],[V. No mes]]/Vegetal[[#This Row],[Proj. de V. No mes]],"")</f>
        <v/>
      </c>
      <c r="U11" s="43">
        <f>VLOOKUP(Vegetal[[#This Row],[Código]],Projeção[#All],14,FALSE)+VLOOKUP(Vegetal[[#This Row],[Código]],Projeção[#All],13,FALSE)+VLOOKUP(Vegetal[[#This Row],[Código]],Projeção[#All],12,FALSE)</f>
        <v>0</v>
      </c>
      <c r="V11" s="39">
        <f>IFERROR(VLOOKUP(Vegetal[[#This Row],[Código]],Venda_3meses[],2,FALSE),0)</f>
        <v>0</v>
      </c>
      <c r="W11" s="44" t="str">
        <f>IFERROR(Vegetal[[#This Row],[V. 3 meses]]/Vegetal[[#This Row],[Proj. de V. 3 meses]],"")</f>
        <v/>
      </c>
      <c r="X11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1" s="39">
        <f>IFERROR(VLOOKUP(Vegetal[[#This Row],[Código]],Venda_12meses[],2,FALSE),0)</f>
        <v>74</v>
      </c>
      <c r="Z11" s="44" t="str">
        <f>IFERROR(Vegetal[[#This Row],[V. 12 meses]]/Vegetal[[#This Row],[Proj. de V. 12 meses]],"")</f>
        <v/>
      </c>
      <c r="AA11" s="94"/>
    </row>
    <row r="12" spans="1:27" x14ac:dyDescent="0.25">
      <c r="A12" s="92" t="str">
        <f>VLOOKUP(Vegetal[[#This Row],[Código]],BD_Produto[#All],7,FALSE)</f>
        <v>Em Linha</v>
      </c>
      <c r="B12" s="92" t="str">
        <f>IF(OR(Vegetal[[#This Row],[Status]]="Em linha",Vegetal[[#This Row],[Status]]="Materia Prima",Vegetal[[#This Row],[Status]]="Componente"),"ok",IF(Vegetal[[#This Row],[Estoque+Importação]]&lt;1,"Tirar","ok"))</f>
        <v>ok</v>
      </c>
      <c r="C12" s="23">
        <v>30061265266</v>
      </c>
      <c r="D12" s="92" t="s">
        <v>3038</v>
      </c>
      <c r="E12" s="92" t="str">
        <f>VLOOKUP(Vegetal[[#This Row],[Código]],BD_Produto[],3,FALSE)</f>
        <v>90-95 g/m²</v>
      </c>
      <c r="F12" s="92" t="str">
        <f>VLOOKUP(Vegetal[[#This Row],[Código]],BD_Produto[],4,FALSE)</f>
        <v>LEGAL 216 x 355 mm</v>
      </c>
      <c r="G12" s="39"/>
      <c r="H12" s="93"/>
      <c r="I12" s="94"/>
      <c r="J12" s="39"/>
      <c r="K12" s="39" t="str">
        <f>IFERROR(VLOOKUP(Vegetal[[#This Row],[Código]],Importação!P:R,3,FALSE),"")</f>
        <v/>
      </c>
      <c r="L12" s="39">
        <f>IFERROR(VLOOKUP(Vegetal[[#This Row],[Código]],Saldo[],3,FALSE),0)</f>
        <v>1340</v>
      </c>
      <c r="M12" s="39">
        <f>SUM(Vegetal[[#This Row],[Produção]:[Estoque]])</f>
        <v>1340</v>
      </c>
      <c r="N12" s="39">
        <f>IFERROR(Vegetal[[#This Row],[Estoque+Importação]]/Vegetal[[#This Row],[Proj. de V. No prox. mes]],"Sem Projeção")</f>
        <v>335</v>
      </c>
      <c r="O12" s="39">
        <f>IF(OR(Vegetal[[#This Row],[Status]]="Em Linha",Vegetal[[#This Row],[Status]]="Componente",Vegetal[[#This Row],[Status]]="Materia Prima"),Vegetal[[#This Row],[Proj. de V. No prox. mes]]*10,"-")</f>
        <v>40</v>
      </c>
      <c r="P12" s="39">
        <f>IF(OR(Vegetal[[#This Row],[Status]]="Em Linha",Vegetal[[#This Row],[Status]]="Componente",Vegetal[[#This Row],[Status]]="Materia Prima"),Vegetal[[#This Row],[estoque 10 meses]]-Vegetal[[#This Row],[Estoque+Importação]],0)</f>
        <v>-1300</v>
      </c>
      <c r="Q12" s="75">
        <f>VLOOKUP(Vegetal[[#This Row],[Código]],Projeção[#All],15,FALSE)</f>
        <v>4</v>
      </c>
      <c r="R12" s="43">
        <f>VLOOKUP(Vegetal[[#This Row],[Código]],Projeção[#All],14,FALSE)</f>
        <v>0</v>
      </c>
      <c r="S12" s="39">
        <f>IFERROR(VLOOKUP(Vegetal[[#This Row],[Código]],Venda_mes[],2,FALSE),0)</f>
        <v>0</v>
      </c>
      <c r="T12" s="45" t="str">
        <f>IFERROR(Vegetal[[#This Row],[V. No mes]]/Vegetal[[#This Row],[Proj. de V. No mes]],"")</f>
        <v/>
      </c>
      <c r="U12" s="43">
        <f>VLOOKUP(Vegetal[[#This Row],[Código]],Projeção[#All],14,FALSE)+VLOOKUP(Vegetal[[#This Row],[Código]],Projeção[#All],13,FALSE)+VLOOKUP(Vegetal[[#This Row],[Código]],Projeção[#All],12,FALSE)</f>
        <v>0</v>
      </c>
      <c r="V12" s="39">
        <f>IFERROR(VLOOKUP(Vegetal[[#This Row],[Código]],Venda_3meses[],2,FALSE),0)</f>
        <v>0</v>
      </c>
      <c r="W12" s="44" t="str">
        <f>IFERROR(Vegetal[[#This Row],[V. 3 meses]]/Vegetal[[#This Row],[Proj. de V. 3 meses]],"")</f>
        <v/>
      </c>
      <c r="X12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2" s="39">
        <f>IFERROR(VLOOKUP(Vegetal[[#This Row],[Código]],Venda_12meses[],2,FALSE),0)</f>
        <v>40</v>
      </c>
      <c r="Z12" s="44" t="str">
        <f>IFERROR(Vegetal[[#This Row],[V. 12 meses]]/Vegetal[[#This Row],[Proj. de V. 12 meses]],"")</f>
        <v/>
      </c>
      <c r="AA12" s="94"/>
    </row>
    <row r="13" spans="1:27" x14ac:dyDescent="0.25">
      <c r="A13" s="35" t="str">
        <f>VLOOKUP(Vegetal[[#This Row],[Código]],BD_Produto[#All],7,FALSE)</f>
        <v>Materia Prima</v>
      </c>
      <c r="B13" s="35" t="str">
        <f>IF(OR(Vegetal[[#This Row],[Status]]="Em linha",Vegetal[[#This Row],[Status]]="Materia Prima",Vegetal[[#This Row],[Status]]="Componente"),"ok",IF(Vegetal[[#This Row],[Estoque+Importação]]&lt;1,"Tirar","ok"))</f>
        <v>ok</v>
      </c>
      <c r="C13" s="36">
        <v>11061224035</v>
      </c>
      <c r="D13" s="35" t="s">
        <v>2830</v>
      </c>
      <c r="E13" s="35" t="str">
        <f>VLOOKUP(Vegetal[[#This Row],[Código]],BD_Produto[],3,FALSE)</f>
        <v>90-95 g/m²</v>
      </c>
      <c r="F13" s="35" t="str">
        <f>VLOOKUP(Vegetal[[#This Row],[Código]],BD_Produto[],4,FALSE)</f>
        <v>LEGAL 216 x 355 mm</v>
      </c>
      <c r="G13" s="24"/>
      <c r="H13" s="25"/>
      <c r="I13" s="22"/>
      <c r="J13" s="24"/>
      <c r="K13" s="69"/>
      <c r="L13" s="24">
        <f>IFERROR(VLOOKUP(Vegetal[[#This Row],[Código]],Saldo[],3,FALSE),0)</f>
        <v>482500</v>
      </c>
      <c r="M13" s="24">
        <f>SUM(Vegetal[[#This Row],[Produção]:[Estoque]])</f>
        <v>482500</v>
      </c>
      <c r="N13" s="24" t="str">
        <f>IFERROR(Vegetal[[#This Row],[Estoque+Importação]]/Vegetal[[#This Row],[Proj. de V. No prox. mes]],"Sem Projeção")</f>
        <v>Sem Projeção</v>
      </c>
      <c r="O13" s="24">
        <f>IF(OR(Vegetal[[#This Row],[Status]]="Em Linha",Vegetal[[#This Row],[Status]]="Componente",Vegetal[[#This Row],[Status]]="Materia Prima"),Vegetal[[#This Row],[Proj. de V. No prox. mes]]*10,"-")</f>
        <v>0</v>
      </c>
      <c r="P13" s="34">
        <f>IF(OR(Vegetal[[#This Row],[Status]]="Em Linha",Vegetal[[#This Row],[Status]]="Componente",Vegetal[[#This Row],[Status]]="Materia Prima"),Vegetal[[#This Row],[estoque 10 meses]]-Vegetal[[#This Row],[Estoque+Importação]],0)</f>
        <v>-482500</v>
      </c>
      <c r="Q13" s="75">
        <f>VLOOKUP(Vegetal[[#This Row],[Código]],Projeção[#All],15,FALSE)</f>
        <v>0</v>
      </c>
      <c r="R13" s="43">
        <f>VLOOKUP(Vegetal[[#This Row],[Código]],Projeção[#All],14,FALSE)</f>
        <v>0</v>
      </c>
      <c r="S13" s="39">
        <f>IFERROR(VLOOKUP(Vegetal[[#This Row],[Código]],Venda_mes[],2,FALSE),0)</f>
        <v>0</v>
      </c>
      <c r="T13" s="45" t="str">
        <f>IFERROR(Vegetal[[#This Row],[V. No mes]]/Vegetal[[#This Row],[Proj. de V. No mes]],"")</f>
        <v/>
      </c>
      <c r="U13" s="43">
        <f>VLOOKUP(Vegetal[[#This Row],[Código]],Projeção[#All],14,FALSE)+VLOOKUP(Vegetal[[#This Row],[Código]],Projeção[#All],13,FALSE)+VLOOKUP(Vegetal[[#This Row],[Código]],Projeção[#All],12,FALSE)</f>
        <v>0</v>
      </c>
      <c r="V13" s="39">
        <f>IFERROR(VLOOKUP(Vegetal[[#This Row],[Código]],Venda_3meses[],2,FALSE),0)</f>
        <v>0</v>
      </c>
      <c r="W13" s="44" t="str">
        <f>IFERROR(Vegetal[[#This Row],[V. 3 meses]]/Vegetal[[#This Row],[Proj. de V. 3 meses]],"")</f>
        <v/>
      </c>
      <c r="X13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3" s="39">
        <f>IFERROR(VLOOKUP(Vegetal[[#This Row],[Código]],Venda_12meses[],2,FALSE),0)</f>
        <v>0</v>
      </c>
      <c r="Z13" s="44" t="str">
        <f>IFERROR(Vegetal[[#This Row],[V. 12 meses]]/Vegetal[[#This Row],[Proj. de V. 12 meses]],"")</f>
        <v/>
      </c>
      <c r="AA13" s="27"/>
    </row>
    <row r="14" spans="1:27" x14ac:dyDescent="0.25">
      <c r="A14" s="35" t="str">
        <f>VLOOKUP(Vegetal[[#This Row],[Código]],BD_Produto[#All],7,FALSE)</f>
        <v>Materia Prima</v>
      </c>
      <c r="B14" s="35" t="str">
        <f>IF(OR(Vegetal[[#This Row],[Status]]="Em linha",Vegetal[[#This Row],[Status]]="Materia Prima",Vegetal[[#This Row],[Status]]="Componente"),"ok",IF(Vegetal[[#This Row],[Estoque+Importação]]&lt;1,"Tirar","ok"))</f>
        <v>ok</v>
      </c>
      <c r="C14" s="36">
        <v>11061224037</v>
      </c>
      <c r="D14" s="35" t="s">
        <v>44</v>
      </c>
      <c r="E14" s="35" t="str">
        <f>VLOOKUP(Vegetal[[#This Row],[Código]],BD_Produto[],3,FALSE)</f>
        <v>90-95 g/m²</v>
      </c>
      <c r="F14" s="35" t="str">
        <f>VLOOKUP(Vegetal[[#This Row],[Código]],BD_Produto[],4,FALSE)</f>
        <v>A3 297 x 420 mm</v>
      </c>
      <c r="G14" s="24"/>
      <c r="H14" s="25"/>
      <c r="I14" s="22"/>
      <c r="J14" s="24"/>
      <c r="K14" s="24"/>
      <c r="L14" s="24">
        <f>IFERROR(VLOOKUP(Vegetal[[#This Row],[Código]],Saldo[],3,FALSE),0)</f>
        <v>961760</v>
      </c>
      <c r="M14" s="24">
        <f>SUM(Vegetal[[#This Row],[Produção]:[Estoque]])</f>
        <v>961760</v>
      </c>
      <c r="N14" s="24" t="str">
        <f>IFERROR(Vegetal[[#This Row],[Estoque+Importação]]/Vegetal[[#This Row],[Proj. de V. No prox. mes]],"Sem Projeção")</f>
        <v>Sem Projeção</v>
      </c>
      <c r="O14" s="24">
        <f>IF(OR(Vegetal[[#This Row],[Status]]="Em Linha",Vegetal[[#This Row],[Status]]="Componente",Vegetal[[#This Row],[Status]]="Materia Prima"),Vegetal[[#This Row],[Proj. de V. No prox. mes]]*10,"-")</f>
        <v>0</v>
      </c>
      <c r="P14" s="34">
        <f>IF(OR(Vegetal[[#This Row],[Status]]="Em Linha",Vegetal[[#This Row],[Status]]="Componente",Vegetal[[#This Row],[Status]]="Materia Prima"),Vegetal[[#This Row],[estoque 10 meses]]-Vegetal[[#This Row],[Estoque+Importação]],0)</f>
        <v>-961760</v>
      </c>
      <c r="Q14" s="75">
        <f>VLOOKUP(Vegetal[[#This Row],[Código]],Projeção[#All],15,FALSE)</f>
        <v>0</v>
      </c>
      <c r="R14" s="43">
        <f>VLOOKUP(Vegetal[[#This Row],[Código]],Projeção[#All],14,FALSE)</f>
        <v>0</v>
      </c>
      <c r="S14" s="39">
        <f>IFERROR(VLOOKUP(Vegetal[[#This Row],[Código]],Venda_mes[],2,FALSE),0)</f>
        <v>0</v>
      </c>
      <c r="T14" s="45" t="str">
        <f>IFERROR(Vegetal[[#This Row],[V. No mes]]/Vegetal[[#This Row],[Proj. de V. No mes]],"")</f>
        <v/>
      </c>
      <c r="U14" s="43">
        <f>VLOOKUP(Vegetal[[#This Row],[Código]],Projeção[#All],14,FALSE)+VLOOKUP(Vegetal[[#This Row],[Código]],Projeção[#All],13,FALSE)+VLOOKUP(Vegetal[[#This Row],[Código]],Projeção[#All],12,FALSE)</f>
        <v>0</v>
      </c>
      <c r="V14" s="39">
        <f>IFERROR(VLOOKUP(Vegetal[[#This Row],[Código]],Venda_3meses[],2,FALSE),0)</f>
        <v>0</v>
      </c>
      <c r="W14" s="44" t="str">
        <f>IFERROR(Vegetal[[#This Row],[V. 3 meses]]/Vegetal[[#This Row],[Proj. de V. 3 meses]],"")</f>
        <v/>
      </c>
      <c r="X14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4" s="39">
        <f>IFERROR(VLOOKUP(Vegetal[[#This Row],[Código]],Venda_12meses[],2,FALSE),0)</f>
        <v>0</v>
      </c>
      <c r="Z14" s="44" t="str">
        <f>IFERROR(Vegetal[[#This Row],[V. 12 meses]]/Vegetal[[#This Row],[Proj. de V. 12 meses]],"")</f>
        <v/>
      </c>
      <c r="AA14" s="27"/>
    </row>
    <row r="15" spans="1:27" x14ac:dyDescent="0.25">
      <c r="A15" s="35" t="str">
        <f>VLOOKUP(Vegetal[[#This Row],[Código]],BD_Produto[#All],7,FALSE)</f>
        <v>Materia Prima</v>
      </c>
      <c r="B15" s="35" t="str">
        <f>IF(OR(Vegetal[[#This Row],[Status]]="Em linha",Vegetal[[#This Row],[Status]]="Materia Prima",Vegetal[[#This Row],[Status]]="Componente"),"ok",IF(Vegetal[[#This Row],[Estoque+Importação]]&lt;1,"Tirar","ok"))</f>
        <v>ok</v>
      </c>
      <c r="C15" s="36">
        <v>11061224044</v>
      </c>
      <c r="D15" s="35" t="s">
        <v>46</v>
      </c>
      <c r="E15" s="35" t="str">
        <f>VLOOKUP(Vegetal[[#This Row],[Código]],BD_Produto[],3,FALSE)</f>
        <v>60-65 g/m²</v>
      </c>
      <c r="F15" s="35" t="str">
        <f>VLOOKUP(Vegetal[[#This Row],[Código]],BD_Produto[],4,FALSE)</f>
        <v>A3 297 x 420 mm</v>
      </c>
      <c r="G15" s="24"/>
      <c r="H15" s="25"/>
      <c r="I15" s="22"/>
      <c r="J15" s="24"/>
      <c r="K15" s="24"/>
      <c r="L15" s="24">
        <f>IFERROR(VLOOKUP(Vegetal[[#This Row],[Código]],Saldo[],3,FALSE),0)</f>
        <v>1061350</v>
      </c>
      <c r="M15" s="24">
        <f>SUM(Vegetal[[#This Row],[Produção]:[Estoque]])</f>
        <v>1061350</v>
      </c>
      <c r="N15" s="24" t="str">
        <f>IFERROR(Vegetal[[#This Row],[Estoque+Importação]]/Vegetal[[#This Row],[Proj. de V. No prox. mes]],"Sem Projeção")</f>
        <v>Sem Projeção</v>
      </c>
      <c r="O15" s="24">
        <f>IF(OR(Vegetal[[#This Row],[Status]]="Em Linha",Vegetal[[#This Row],[Status]]="Componente",Vegetal[[#This Row],[Status]]="Materia Prima"),Vegetal[[#This Row],[Proj. de V. No prox. mes]]*10,"-")</f>
        <v>0</v>
      </c>
      <c r="P15" s="34">
        <f>IF(OR(Vegetal[[#This Row],[Status]]="Em Linha",Vegetal[[#This Row],[Status]]="Componente",Vegetal[[#This Row],[Status]]="Materia Prima"),Vegetal[[#This Row],[estoque 10 meses]]-Vegetal[[#This Row],[Estoque+Importação]],0)</f>
        <v>-1061350</v>
      </c>
      <c r="Q15" s="75">
        <f>VLOOKUP(Vegetal[[#This Row],[Código]],Projeção[#All],15,FALSE)</f>
        <v>0</v>
      </c>
      <c r="R15" s="43">
        <f>VLOOKUP(Vegetal[[#This Row],[Código]],Projeção[#All],14,FALSE)</f>
        <v>0</v>
      </c>
      <c r="S15" s="39">
        <f>IFERROR(VLOOKUP(Vegetal[[#This Row],[Código]],Venda_mes[],2,FALSE),0)</f>
        <v>0</v>
      </c>
      <c r="T15" s="45" t="str">
        <f>IFERROR(Vegetal[[#This Row],[V. No mes]]/Vegetal[[#This Row],[Proj. de V. No mes]],"")</f>
        <v/>
      </c>
      <c r="U15" s="43">
        <f>VLOOKUP(Vegetal[[#This Row],[Código]],Projeção[#All],14,FALSE)+VLOOKUP(Vegetal[[#This Row],[Código]],Projeção[#All],13,FALSE)+VLOOKUP(Vegetal[[#This Row],[Código]],Projeção[#All],12,FALSE)</f>
        <v>0</v>
      </c>
      <c r="V15" s="39">
        <f>IFERROR(VLOOKUP(Vegetal[[#This Row],[Código]],Venda_3meses[],2,FALSE),0)</f>
        <v>0</v>
      </c>
      <c r="W15" s="44" t="str">
        <f>IFERROR(Vegetal[[#This Row],[V. 3 meses]]/Vegetal[[#This Row],[Proj. de V. 3 meses]],"")</f>
        <v/>
      </c>
      <c r="X15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5" s="39">
        <f>IFERROR(VLOOKUP(Vegetal[[#This Row],[Código]],Venda_12meses[],2,FALSE),0)</f>
        <v>0</v>
      </c>
      <c r="Z15" s="44" t="str">
        <f>IFERROR(Vegetal[[#This Row],[V. 12 meses]]/Vegetal[[#This Row],[Proj. de V. 12 meses]],"")</f>
        <v/>
      </c>
      <c r="AA15" s="27"/>
    </row>
    <row r="16" spans="1:27" x14ac:dyDescent="0.25">
      <c r="A16" s="35" t="str">
        <f>VLOOKUP(Vegetal[[#This Row],[Código]],BD_Produto[#All],7,FALSE)</f>
        <v>Materia Prima</v>
      </c>
      <c r="B16" s="35" t="str">
        <f>IF(OR(Vegetal[[#This Row],[Status]]="Em linha",Vegetal[[#This Row],[Status]]="Materia Prima",Vegetal[[#This Row],[Status]]="Componente"),"ok",IF(Vegetal[[#This Row],[Estoque+Importação]]&lt;1,"Tirar","ok"))</f>
        <v>ok</v>
      </c>
      <c r="C16" s="36">
        <v>11061224034</v>
      </c>
      <c r="D16" s="35" t="s">
        <v>2829</v>
      </c>
      <c r="E16" s="35" t="str">
        <f>VLOOKUP(Vegetal[[#This Row],[Código]],BD_Produto[],3,FALSE)</f>
        <v>90-95 g/m²</v>
      </c>
      <c r="F16" s="35" t="str">
        <f>VLOOKUP(Vegetal[[#This Row],[Código]],BD_Produto[],4,FALSE)</f>
        <v>A4 210 x 297 mm</v>
      </c>
      <c r="G16" s="24"/>
      <c r="H16" s="25"/>
      <c r="I16" s="22"/>
      <c r="J16" s="24"/>
      <c r="K16" s="24"/>
      <c r="L16" s="24">
        <f>IFERROR(VLOOKUP(Vegetal[[#This Row],[Código]],Saldo[],3,FALSE),0)</f>
        <v>1818120</v>
      </c>
      <c r="M16" s="24">
        <f>SUM(Vegetal[[#This Row],[Produção]:[Estoque]])</f>
        <v>1818120</v>
      </c>
      <c r="N16" s="24" t="str">
        <f>IFERROR(Vegetal[[#This Row],[Estoque+Importação]]/Vegetal[[#This Row],[Proj. de V. No prox. mes]],"Sem Projeção")</f>
        <v>Sem Projeção</v>
      </c>
      <c r="O16" s="24">
        <f>IF(OR(Vegetal[[#This Row],[Status]]="Em Linha",Vegetal[[#This Row],[Status]]="Componente",Vegetal[[#This Row],[Status]]="Materia Prima"),Vegetal[[#This Row],[Proj. de V. No prox. mes]]*10,"-")</f>
        <v>0</v>
      </c>
      <c r="P16" s="34">
        <f>IF(OR(Vegetal[[#This Row],[Status]]="Em Linha",Vegetal[[#This Row],[Status]]="Componente",Vegetal[[#This Row],[Status]]="Materia Prima"),Vegetal[[#This Row],[estoque 10 meses]]-Vegetal[[#This Row],[Estoque+Importação]],0)</f>
        <v>-1818120</v>
      </c>
      <c r="Q16" s="75">
        <f>VLOOKUP(Vegetal[[#This Row],[Código]],Projeção[#All],15,FALSE)</f>
        <v>0</v>
      </c>
      <c r="R16" s="43">
        <f>VLOOKUP(Vegetal[[#This Row],[Código]],Projeção[#All],14,FALSE)</f>
        <v>0</v>
      </c>
      <c r="S16" s="39">
        <f>IFERROR(VLOOKUP(Vegetal[[#This Row],[Código]],Venda_mes[],2,FALSE),0)</f>
        <v>0</v>
      </c>
      <c r="T16" s="45" t="str">
        <f>IFERROR(Vegetal[[#This Row],[V. No mes]]/Vegetal[[#This Row],[Proj. de V. No mes]],"")</f>
        <v/>
      </c>
      <c r="U16" s="43">
        <f>VLOOKUP(Vegetal[[#This Row],[Código]],Projeção[#All],14,FALSE)+VLOOKUP(Vegetal[[#This Row],[Código]],Projeção[#All],13,FALSE)+VLOOKUP(Vegetal[[#This Row],[Código]],Projeção[#All],12,FALSE)</f>
        <v>0</v>
      </c>
      <c r="V16" s="39">
        <f>IFERROR(VLOOKUP(Vegetal[[#This Row],[Código]],Venda_3meses[],2,FALSE),0)</f>
        <v>0</v>
      </c>
      <c r="W16" s="44" t="str">
        <f>IFERROR(Vegetal[[#This Row],[V. 3 meses]]/Vegetal[[#This Row],[Proj. de V. 3 meses]],"")</f>
        <v/>
      </c>
      <c r="X16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6" s="39">
        <f>IFERROR(VLOOKUP(Vegetal[[#This Row],[Código]],Venda_12meses[],2,FALSE),0)</f>
        <v>0</v>
      </c>
      <c r="Z16" s="44" t="str">
        <f>IFERROR(Vegetal[[#This Row],[V. 12 meses]]/Vegetal[[#This Row],[Proj. de V. 12 meses]],"")</f>
        <v/>
      </c>
      <c r="AA16" s="27"/>
    </row>
    <row r="17" spans="1:27" x14ac:dyDescent="0.25">
      <c r="A17" s="35" t="str">
        <f>VLOOKUP(Vegetal[[#This Row],[Código]],BD_Produto[#All],7,FALSE)</f>
        <v>Materia Prima</v>
      </c>
      <c r="B17" s="35" t="str">
        <f>IF(OR(Vegetal[[#This Row],[Status]]="Em linha",Vegetal[[#This Row],[Status]]="Materia Prima",Vegetal[[#This Row],[Status]]="Componente"),"ok",IF(Vegetal[[#This Row],[Estoque+Importação]]&lt;1,"Tirar","ok"))</f>
        <v>ok</v>
      </c>
      <c r="C17" s="36">
        <v>11061224043</v>
      </c>
      <c r="D17" s="35" t="s">
        <v>2831</v>
      </c>
      <c r="E17" s="35" t="str">
        <f>VLOOKUP(Vegetal[[#This Row],[Código]],BD_Produto[],3,FALSE)</f>
        <v>60-65 g/m²</v>
      </c>
      <c r="F17" s="35" t="str">
        <f>VLOOKUP(Vegetal[[#This Row],[Código]],BD_Produto[],4,FALSE)</f>
        <v>A4 210 x 297 mm</v>
      </c>
      <c r="G17" s="24"/>
      <c r="H17" s="25"/>
      <c r="I17" s="22"/>
      <c r="J17" s="24"/>
      <c r="K17" s="24"/>
      <c r="L17" s="24">
        <f>IFERROR(VLOOKUP(Vegetal[[#This Row],[Código]],Saldo[],3,FALSE),0)</f>
        <v>1799100</v>
      </c>
      <c r="M17" s="24">
        <f>SUM(Vegetal[[#This Row],[Produção]:[Estoque]])</f>
        <v>1799100</v>
      </c>
      <c r="N17" s="24" t="str">
        <f>IFERROR(Vegetal[[#This Row],[Estoque+Importação]]/Vegetal[[#This Row],[Proj. de V. No prox. mes]],"Sem Projeção")</f>
        <v>Sem Projeção</v>
      </c>
      <c r="O17" s="24">
        <f>IF(OR(Vegetal[[#This Row],[Status]]="Em Linha",Vegetal[[#This Row],[Status]]="Componente",Vegetal[[#This Row],[Status]]="Materia Prima"),Vegetal[[#This Row],[Proj. de V. No prox. mes]]*10,"-")</f>
        <v>0</v>
      </c>
      <c r="P17" s="34">
        <f>IF(OR(Vegetal[[#This Row],[Status]]="Em Linha",Vegetal[[#This Row],[Status]]="Componente",Vegetal[[#This Row],[Status]]="Materia Prima"),Vegetal[[#This Row],[estoque 10 meses]]-Vegetal[[#This Row],[Estoque+Importação]],0)</f>
        <v>-1799100</v>
      </c>
      <c r="Q17" s="75">
        <f>VLOOKUP(Vegetal[[#This Row],[Código]],Projeção[#All],15,FALSE)</f>
        <v>0</v>
      </c>
      <c r="R17" s="43">
        <f>VLOOKUP(Vegetal[[#This Row],[Código]],Projeção[#All],14,FALSE)</f>
        <v>0</v>
      </c>
      <c r="S17" s="39">
        <f>IFERROR(VLOOKUP(Vegetal[[#This Row],[Código]],Venda_mes[],2,FALSE),0)</f>
        <v>0</v>
      </c>
      <c r="T17" s="45" t="str">
        <f>IFERROR(Vegetal[[#This Row],[V. No mes]]/Vegetal[[#This Row],[Proj. de V. No mes]],"")</f>
        <v/>
      </c>
      <c r="U17" s="43">
        <f>VLOOKUP(Vegetal[[#This Row],[Código]],Projeção[#All],14,FALSE)+VLOOKUP(Vegetal[[#This Row],[Código]],Projeção[#All],13,FALSE)+VLOOKUP(Vegetal[[#This Row],[Código]],Projeção[#All],12,FALSE)</f>
        <v>0</v>
      </c>
      <c r="V17" s="39">
        <f>IFERROR(VLOOKUP(Vegetal[[#This Row],[Código]],Venda_3meses[],2,FALSE),0)</f>
        <v>0</v>
      </c>
      <c r="W17" s="44" t="str">
        <f>IFERROR(Vegetal[[#This Row],[V. 3 meses]]/Vegetal[[#This Row],[Proj. de V. 3 meses]],"")</f>
        <v/>
      </c>
      <c r="X17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17" s="39">
        <f>IFERROR(VLOOKUP(Vegetal[[#This Row],[Código]],Venda_12meses[],2,FALSE),0)</f>
        <v>0</v>
      </c>
      <c r="Z17" s="44" t="str">
        <f>IFERROR(Vegetal[[#This Row],[V. 12 meses]]/Vegetal[[#This Row],[Proj. de V. 12 meses]],"")</f>
        <v/>
      </c>
      <c r="AA17" s="27"/>
    </row>
    <row r="18" spans="1:27" x14ac:dyDescent="0.25">
      <c r="A18" s="22" t="str">
        <f>VLOOKUP(Vegetal[[#This Row],[Código]],BD_Produto[#All],7,FALSE)</f>
        <v>Fora de Linha</v>
      </c>
      <c r="B18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18" s="23">
        <v>30061214978</v>
      </c>
      <c r="D18" s="22" t="s">
        <v>898</v>
      </c>
      <c r="E18" s="22" t="str">
        <f>VLOOKUP(Vegetal[[#This Row],[Código]],BD_Produto[],3,FALSE)</f>
        <v>60-65 g/m²</v>
      </c>
      <c r="F18" s="22" t="str">
        <f>VLOOKUP(Vegetal[[#This Row],[Código]],BD_Produto[],4,FALSE)</f>
        <v>A3 297 x 420 mm</v>
      </c>
      <c r="G18" s="24"/>
      <c r="H18" s="25"/>
      <c r="I18" s="22"/>
      <c r="J18" s="24"/>
      <c r="K18" s="24"/>
      <c r="L18" s="24">
        <f>IFERROR(VLOOKUP(Vegetal[[#This Row],[Código]],Saldo[],3,FALSE),0)</f>
        <v>3</v>
      </c>
      <c r="M18" s="24">
        <f>SUM(Vegetal[[#This Row],[Produção]:[Estoque]])</f>
        <v>3</v>
      </c>
      <c r="N18" s="24">
        <f>IFERROR(Vegetal[[#This Row],[Estoque+Importação]]/Vegetal[[#This Row],[Proj. de V. No prox. mes]],"Sem Projeção")</f>
        <v>9</v>
      </c>
      <c r="O18" s="24" t="str">
        <f>IF(OR(Vegetal[[#This Row],[Status]]="Em Linha",Vegetal[[#This Row],[Status]]="Componente",Vegetal[[#This Row],[Status]]="Materia Prima"),Vegetal[[#This Row],[Proj. de V. No prox. mes]]*10,"-")</f>
        <v>-</v>
      </c>
      <c r="P18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18" s="83">
        <f>VLOOKUP(Vegetal[[#This Row],[Código]],Projeção[#All],15,FALSE)</f>
        <v>0.33333333333333331</v>
      </c>
      <c r="R18" s="43">
        <f>VLOOKUP(Vegetal[[#This Row],[Código]],Projeção[#All],14,FALSE)</f>
        <v>2.8333333333333335</v>
      </c>
      <c r="S18" s="39">
        <f>IFERROR(VLOOKUP(Vegetal[[#This Row],[Código]],Venda_mes[],2,FALSE),0)</f>
        <v>0</v>
      </c>
      <c r="T18" s="45">
        <f>IFERROR(Vegetal[[#This Row],[V. No mes]]/Vegetal[[#This Row],[Proj. de V. No mes]],"")</f>
        <v>0</v>
      </c>
      <c r="U18" s="43">
        <f>VLOOKUP(Vegetal[[#This Row],[Código]],Projeção[#All],14,FALSE)+VLOOKUP(Vegetal[[#This Row],[Código]],Projeção[#All],13,FALSE)+VLOOKUP(Vegetal[[#This Row],[Código]],Projeção[#All],12,FALSE)</f>
        <v>9.1666666666666661</v>
      </c>
      <c r="V18" s="39">
        <f>IFERROR(VLOOKUP(Vegetal[[#This Row],[Código]],Venda_3meses[],2,FALSE),0)</f>
        <v>0</v>
      </c>
      <c r="W18" s="44">
        <f>IFERROR(Vegetal[[#This Row],[V. 3 meses]]/Vegetal[[#This Row],[Proj. de V. 3 meses]],"")</f>
        <v>0</v>
      </c>
      <c r="X18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78.5</v>
      </c>
      <c r="Y18" s="39">
        <f>IFERROR(VLOOKUP(Vegetal[[#This Row],[Código]],Venda_12meses[],2,FALSE),0)</f>
        <v>10</v>
      </c>
      <c r="Z18" s="44">
        <f>IFERROR(Vegetal[[#This Row],[V. 12 meses]]/Vegetal[[#This Row],[Proj. de V. 12 meses]],"")</f>
        <v>0.12738853503184713</v>
      </c>
      <c r="AA18" s="22"/>
    </row>
    <row r="19" spans="1:27" x14ac:dyDescent="0.25">
      <c r="A19" s="22" t="str">
        <f>VLOOKUP(Vegetal[[#This Row],[Código]],BD_Produto[#All],7,FALSE)</f>
        <v>Fora de Linha</v>
      </c>
      <c r="B19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19" s="23">
        <v>30061224018</v>
      </c>
      <c r="D19" s="22" t="s">
        <v>72</v>
      </c>
      <c r="E19" s="22" t="str">
        <f>VLOOKUP(Vegetal[[#This Row],[Código]],BD_Produto[],3,FALSE)</f>
        <v>100-105 g/m²</v>
      </c>
      <c r="F19" s="22" t="str">
        <f>VLOOKUP(Vegetal[[#This Row],[Código]],BD_Produto[],4,FALSE)</f>
        <v>660 x 960 mm</v>
      </c>
      <c r="G19" s="24"/>
      <c r="H19" s="25"/>
      <c r="I19" s="22"/>
      <c r="J19" s="24"/>
      <c r="K19" s="24"/>
      <c r="L19" s="24">
        <f>IFERROR(VLOOKUP(Vegetal[[#This Row],[Código]],Saldo[],3,FALSE),0)</f>
        <v>377</v>
      </c>
      <c r="M19" s="24">
        <f>SUM(Vegetal[[#This Row],[Produção]:[Estoque]])</f>
        <v>377</v>
      </c>
      <c r="N19" s="24">
        <f>IFERROR(Vegetal[[#This Row],[Estoque+Importação]]/Vegetal[[#This Row],[Proj. de V. No prox. mes]],"Sem Projeção")</f>
        <v>54.375000000000007</v>
      </c>
      <c r="O19" s="24" t="str">
        <f>IF(OR(Vegetal[[#This Row],[Status]]="Em Linha",Vegetal[[#This Row],[Status]]="Componente",Vegetal[[#This Row],[Status]]="Materia Prima"),Vegetal[[#This Row],[Proj. de V. No prox. mes]]*10,"-")</f>
        <v>-</v>
      </c>
      <c r="P19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19" s="83">
        <f>VLOOKUP(Vegetal[[#This Row],[Código]],Projeção[#All],15,FALSE)</f>
        <v>6.9333333333333327</v>
      </c>
      <c r="R19" s="43">
        <f>VLOOKUP(Vegetal[[#This Row],[Código]],Projeção[#All],14,FALSE)</f>
        <v>5.4999999999999991</v>
      </c>
      <c r="S19" s="39">
        <f>IFERROR(VLOOKUP(Vegetal[[#This Row],[Código]],Venda_mes[],2,FALSE),0)</f>
        <v>0</v>
      </c>
      <c r="T19" s="45">
        <f>IFERROR(Vegetal[[#This Row],[V. No mes]]/Vegetal[[#This Row],[Proj. de V. No mes]],"")</f>
        <v>0</v>
      </c>
      <c r="U19" s="43">
        <f>VLOOKUP(Vegetal[[#This Row],[Código]],Projeção[#All],14,FALSE)+VLOOKUP(Vegetal[[#This Row],[Código]],Projeção[#All],13,FALSE)+VLOOKUP(Vegetal[[#This Row],[Código]],Projeção[#All],12,FALSE)</f>
        <v>15.733333333333334</v>
      </c>
      <c r="V19" s="39">
        <f>IFERROR(VLOOKUP(Vegetal[[#This Row],[Código]],Venda_3meses[],2,FALSE),0)</f>
        <v>10</v>
      </c>
      <c r="W19" s="44">
        <f>IFERROR(Vegetal[[#This Row],[V. 3 meses]]/Vegetal[[#This Row],[Proj. de V. 3 meses]],"")</f>
        <v>0.63559322033898302</v>
      </c>
      <c r="X19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18</v>
      </c>
      <c r="Y19" s="39">
        <f>IFERROR(VLOOKUP(Vegetal[[#This Row],[Código]],Venda_12meses[],2,FALSE),0)</f>
        <v>104</v>
      </c>
      <c r="Z19" s="44">
        <f>IFERROR(Vegetal[[#This Row],[V. 12 meses]]/Vegetal[[#This Row],[Proj. de V. 12 meses]],"")</f>
        <v>5.7777777777777777</v>
      </c>
      <c r="AA19" s="22"/>
    </row>
    <row r="20" spans="1:27" x14ac:dyDescent="0.25">
      <c r="A20" s="22" t="str">
        <f>VLOOKUP(Vegetal[[#This Row],[Código]],BD_Produto[#All],7,FALSE)</f>
        <v>Fora de Linha</v>
      </c>
      <c r="B20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0" s="23">
        <v>30061224002</v>
      </c>
      <c r="D20" s="22" t="s">
        <v>69</v>
      </c>
      <c r="E20" s="22" t="str">
        <f>VLOOKUP(Vegetal[[#This Row],[Código]],BD_Produto[],3,FALSE)</f>
        <v>110-115 g/m²</v>
      </c>
      <c r="F20" s="22" t="str">
        <f>VLOOKUP(Vegetal[[#This Row],[Código]],BD_Produto[],4,FALSE)</f>
        <v>1,10 x 20 m</v>
      </c>
      <c r="G20" s="24"/>
      <c r="H20" s="25"/>
      <c r="I20" s="22"/>
      <c r="J20" s="24"/>
      <c r="K20" s="24" t="str">
        <f>IFERROR(VLOOKUP(Vegetal[[#This Row],[Código]],Importação!P:R,3,FALSE),"")</f>
        <v/>
      </c>
      <c r="L20" s="24">
        <f>IFERROR(VLOOKUP(Vegetal[[#This Row],[Código]],Saldo[],3,FALSE),0)</f>
        <v>38</v>
      </c>
      <c r="M20" s="24">
        <f>SUM(Vegetal[[#This Row],[Produção]:[Estoque]])</f>
        <v>38</v>
      </c>
      <c r="N20" s="24">
        <f>IFERROR(Vegetal[[#This Row],[Estoque+Importação]]/Vegetal[[#This Row],[Proj. de V. No prox. mes]],"Sem Projeção")</f>
        <v>4.5600000000000005</v>
      </c>
      <c r="O20" s="24" t="str">
        <f>IF(OR(Vegetal[[#This Row],[Status]]="Em Linha",Vegetal[[#This Row],[Status]]="Componente",Vegetal[[#This Row],[Status]]="Materia Prima"),Vegetal[[#This Row],[Proj. de V. No prox. mes]]*10,"-")</f>
        <v>-</v>
      </c>
      <c r="P20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0" s="75">
        <f>VLOOKUP(Vegetal[[#This Row],[Código]],Projeção[#All],15,FALSE)</f>
        <v>8.3333333333333321</v>
      </c>
      <c r="R20" s="43">
        <f>VLOOKUP(Vegetal[[#This Row],[Código]],Projeção[#All],14,FALSE)</f>
        <v>1.2</v>
      </c>
      <c r="S20" s="39">
        <f>IFERROR(VLOOKUP(Vegetal[[#This Row],[Código]],Venda_mes[],2,FALSE),0)</f>
        <v>0</v>
      </c>
      <c r="T20" s="45">
        <f>IFERROR(Vegetal[[#This Row],[V. No mes]]/Vegetal[[#This Row],[Proj. de V. No mes]],"")</f>
        <v>0</v>
      </c>
      <c r="U20" s="43">
        <f>VLOOKUP(Vegetal[[#This Row],[Código]],Projeção[#All],14,FALSE)+VLOOKUP(Vegetal[[#This Row],[Código]],Projeção[#All],13,FALSE)+VLOOKUP(Vegetal[[#This Row],[Código]],Projeção[#All],12,FALSE)</f>
        <v>4.8999999999999995</v>
      </c>
      <c r="V20" s="39">
        <f>IFERROR(VLOOKUP(Vegetal[[#This Row],[Código]],Venda_3meses[],2,FALSE),0)</f>
        <v>23</v>
      </c>
      <c r="W20" s="44">
        <f>IFERROR(Vegetal[[#This Row],[V. 3 meses]]/Vegetal[[#This Row],[Proj. de V. 3 meses]],"")</f>
        <v>4.6938775510204085</v>
      </c>
      <c r="X20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11.033333333333335</v>
      </c>
      <c r="Y20" s="39">
        <f>IFERROR(VLOOKUP(Vegetal[[#This Row],[Código]],Venda_12meses[],2,FALSE),0)</f>
        <v>60</v>
      </c>
      <c r="Z20" s="44">
        <f>IFERROR(Vegetal[[#This Row],[V. 12 meses]]/Vegetal[[#This Row],[Proj. de V. 12 meses]],"")</f>
        <v>5.4380664652567967</v>
      </c>
      <c r="AA20" s="22"/>
    </row>
    <row r="21" spans="1:27" x14ac:dyDescent="0.25">
      <c r="A21" s="22" t="str">
        <f>VLOOKUP(Vegetal[[#This Row],[Código]],BD_Produto[#All],7,FALSE)</f>
        <v>Fora de Linha</v>
      </c>
      <c r="B21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1" s="23">
        <v>30061224597</v>
      </c>
      <c r="D21" s="22" t="s">
        <v>3037</v>
      </c>
      <c r="E21" s="22" t="str">
        <f>VLOOKUP(Vegetal[[#This Row],[Código]],BD_Produto[],3,FALSE)</f>
        <v>90-95 g/m²</v>
      </c>
      <c r="F21" s="22" t="str">
        <f>VLOOKUP(Vegetal[[#This Row],[Código]],BD_Produto[],4,FALSE)</f>
        <v>A4 210 x 297 mm</v>
      </c>
      <c r="G21" s="24"/>
      <c r="H21" s="25"/>
      <c r="I21" s="22"/>
      <c r="J21" s="24"/>
      <c r="K21" s="24" t="str">
        <f>IFERROR(VLOOKUP(Vegetal[[#This Row],[Código]],Importação!P:R,3,FALSE),"")</f>
        <v/>
      </c>
      <c r="L21" s="24">
        <f>IFERROR(VLOOKUP(Vegetal[[#This Row],[Código]],Saldo[],3,FALSE),0)</f>
        <v>1592</v>
      </c>
      <c r="M21" s="24">
        <f>SUM(Vegetal[[#This Row],[Produção]:[Estoque]])</f>
        <v>1592</v>
      </c>
      <c r="N21" s="24">
        <f>IFERROR(Vegetal[[#This Row],[Estoque+Importação]]/Vegetal[[#This Row],[Proj. de V. No prox. mes]],"Sem Projeção")</f>
        <v>76.050955414012734</v>
      </c>
      <c r="O21" s="24" t="str">
        <f>IF(OR(Vegetal[[#This Row],[Status]]="Em Linha",Vegetal[[#This Row],[Status]]="Componente",Vegetal[[#This Row],[Status]]="Materia Prima"),Vegetal[[#This Row],[Proj. de V. No prox. mes]]*10,"-")</f>
        <v>-</v>
      </c>
      <c r="P21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1" s="75">
        <f>VLOOKUP(Vegetal[[#This Row],[Código]],Projeção[#All],15,FALSE)</f>
        <v>20.933333333333334</v>
      </c>
      <c r="R21" s="43">
        <f>VLOOKUP(Vegetal[[#This Row],[Código]],Projeção[#All],14,FALSE)</f>
        <v>22.166666666666668</v>
      </c>
      <c r="S21" s="39">
        <f>IFERROR(VLOOKUP(Vegetal[[#This Row],[Código]],Venda_mes[],2,FALSE),0)</f>
        <v>15</v>
      </c>
      <c r="T21" s="45">
        <f>IFERROR(Vegetal[[#This Row],[V. No mes]]/Vegetal[[#This Row],[Proj. de V. No mes]],"")</f>
        <v>0.67669172932330823</v>
      </c>
      <c r="U21" s="43">
        <f>VLOOKUP(Vegetal[[#This Row],[Código]],Projeção[#All],14,FALSE)+VLOOKUP(Vegetal[[#This Row],[Código]],Projeção[#All],13,FALSE)+VLOOKUP(Vegetal[[#This Row],[Código]],Projeção[#All],12,FALSE)</f>
        <v>120.53333333333333</v>
      </c>
      <c r="V21" s="39">
        <f>IFERROR(VLOOKUP(Vegetal[[#This Row],[Código]],Venda_3meses[],2,FALSE),0)</f>
        <v>60</v>
      </c>
      <c r="W21" s="44">
        <f>IFERROR(Vegetal[[#This Row],[V. 3 meses]]/Vegetal[[#This Row],[Proj. de V. 3 meses]],"")</f>
        <v>0.49778761061946902</v>
      </c>
      <c r="X21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1371.4666666666667</v>
      </c>
      <c r="Y21" s="39">
        <f>IFERROR(VLOOKUP(Vegetal[[#This Row],[Código]],Venda_12meses[],2,FALSE),0)</f>
        <v>188</v>
      </c>
      <c r="Z21" s="44">
        <f>IFERROR(Vegetal[[#This Row],[V. 12 meses]]/Vegetal[[#This Row],[Proj. de V. 12 meses]],"")</f>
        <v>0.13707952556873421</v>
      </c>
      <c r="AA21" s="36"/>
    </row>
    <row r="22" spans="1:27" x14ac:dyDescent="0.25">
      <c r="A22" s="22" t="str">
        <f>VLOOKUP(Vegetal[[#This Row],[Código]],BD_Produto[#All],7,FALSE)</f>
        <v>Fora de Linha</v>
      </c>
      <c r="B22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2" s="23">
        <v>30061224415</v>
      </c>
      <c r="D22" s="22" t="s">
        <v>3050</v>
      </c>
      <c r="E22" s="22" t="str">
        <f>VLOOKUP(Vegetal[[#This Row],[Código]],BD_Produto[],3,FALSE)</f>
        <v>60-65 g/m²</v>
      </c>
      <c r="F22" s="22" t="str">
        <f>VLOOKUP(Vegetal[[#This Row],[Código]],BD_Produto[],4,FALSE)</f>
        <v>A3 297 x 420 mm</v>
      </c>
      <c r="G22" s="24"/>
      <c r="H22" s="25"/>
      <c r="I22" s="22"/>
      <c r="J22" s="24"/>
      <c r="K22" s="24" t="str">
        <f>IFERROR(VLOOKUP(Vegetal[[#This Row],[Código]],Importação!P:R,3,FALSE),"")</f>
        <v/>
      </c>
      <c r="L22" s="24">
        <f>IFERROR(VLOOKUP(Vegetal[[#This Row],[Código]],Saldo[],3,FALSE),0)</f>
        <v>313</v>
      </c>
      <c r="M22" s="24">
        <f>SUM(Vegetal[[#This Row],[Produção]:[Estoque]])</f>
        <v>313</v>
      </c>
      <c r="N22" s="24">
        <f>IFERROR(Vegetal[[#This Row],[Estoque+Importação]]/Vegetal[[#This Row],[Proj. de V. No prox. mes]],"Sem Projeção")</f>
        <v>73.359375</v>
      </c>
      <c r="O22" s="24" t="str">
        <f>IF(OR(Vegetal[[#This Row],[Status]]="Em Linha",Vegetal[[#This Row],[Status]]="Componente",Vegetal[[#This Row],[Status]]="Materia Prima"),Vegetal[[#This Row],[Proj. de V. No prox. mes]]*10,"-")</f>
        <v>-</v>
      </c>
      <c r="P22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2" s="75">
        <f>VLOOKUP(Vegetal[[#This Row],[Código]],Projeção[#All],15,FALSE)</f>
        <v>4.2666666666666666</v>
      </c>
      <c r="R22" s="43">
        <f>VLOOKUP(Vegetal[[#This Row],[Código]],Projeção[#All],14,FALSE)</f>
        <v>12.666666666666666</v>
      </c>
      <c r="S22" s="39">
        <f>IFERROR(VLOOKUP(Vegetal[[#This Row],[Código]],Venda_mes[],2,FALSE),0)</f>
        <v>0</v>
      </c>
      <c r="T22" s="45">
        <f>IFERROR(Vegetal[[#This Row],[V. No mes]]/Vegetal[[#This Row],[Proj. de V. No mes]],"")</f>
        <v>0</v>
      </c>
      <c r="U22" s="43">
        <f>VLOOKUP(Vegetal[[#This Row],[Código]],Projeção[#All],14,FALSE)+VLOOKUP(Vegetal[[#This Row],[Código]],Projeção[#All],13,FALSE)+VLOOKUP(Vegetal[[#This Row],[Código]],Projeção[#All],12,FALSE)</f>
        <v>37.833333333333329</v>
      </c>
      <c r="V22" s="39">
        <f>IFERROR(VLOOKUP(Vegetal[[#This Row],[Código]],Venda_3meses[],2,FALSE),0)</f>
        <v>0</v>
      </c>
      <c r="W22" s="44">
        <f>IFERROR(Vegetal[[#This Row],[V. 3 meses]]/Vegetal[[#This Row],[Proj. de V. 3 meses]],"")</f>
        <v>0</v>
      </c>
      <c r="X22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87.13333333333334</v>
      </c>
      <c r="Y22" s="39">
        <f>IFERROR(VLOOKUP(Vegetal[[#This Row],[Código]],Venda_12meses[],2,FALSE),0)</f>
        <v>106</v>
      </c>
      <c r="Z22" s="44">
        <f>IFERROR(Vegetal[[#This Row],[V. 12 meses]]/Vegetal[[#This Row],[Proj. de V. 12 meses]],"")</f>
        <v>1.2165263963274673</v>
      </c>
      <c r="AA22" s="36"/>
    </row>
    <row r="23" spans="1:27" x14ac:dyDescent="0.25">
      <c r="A23" s="22" t="str">
        <f>VLOOKUP(Vegetal[[#This Row],[Código]],BD_Produto[#All],7,FALSE)</f>
        <v>Fora de Linha</v>
      </c>
      <c r="B23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3" s="23">
        <v>30061224032</v>
      </c>
      <c r="D23" s="22" t="s">
        <v>77</v>
      </c>
      <c r="E23" s="22" t="str">
        <f>VLOOKUP(Vegetal[[#This Row],[Código]],BD_Produto[],3,FALSE)</f>
        <v>90-95 g/m²</v>
      </c>
      <c r="F23" s="22" t="str">
        <f>VLOOKUP(Vegetal[[#This Row],[Código]],BD_Produto[],4,FALSE)</f>
        <v>660 x 960 mm</v>
      </c>
      <c r="G23" s="24"/>
      <c r="H23" s="25"/>
      <c r="I23" s="22"/>
      <c r="J23" s="24"/>
      <c r="K23" s="24" t="str">
        <f>IFERROR(VLOOKUP(Vegetal[[#This Row],[Código]],Importação!P:R,3,FALSE),"")</f>
        <v/>
      </c>
      <c r="L23" s="24">
        <f>IFERROR(VLOOKUP(Vegetal[[#This Row],[Código]],Saldo[],3,FALSE),0)</f>
        <v>267</v>
      </c>
      <c r="M23" s="24">
        <f>SUM(Vegetal[[#This Row],[Produção]:[Estoque]])</f>
        <v>267</v>
      </c>
      <c r="N23" s="24">
        <f>IFERROR(Vegetal[[#This Row],[Estoque+Importação]]/Vegetal[[#This Row],[Proj. de V. No prox. mes]],"Sem Projeção")</f>
        <v>24.646153846153844</v>
      </c>
      <c r="O23" s="24" t="str">
        <f>IF(OR(Vegetal[[#This Row],[Status]]="Em Linha",Vegetal[[#This Row],[Status]]="Componente",Vegetal[[#This Row],[Status]]="Materia Prima"),Vegetal[[#This Row],[Proj. de V. No prox. mes]]*10,"-")</f>
        <v>-</v>
      </c>
      <c r="P23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3" s="83">
        <f>VLOOKUP(Vegetal[[#This Row],[Código]],Projeção[#All],15,FALSE)</f>
        <v>10.833333333333334</v>
      </c>
      <c r="R23" s="43">
        <f>VLOOKUP(Vegetal[[#This Row],[Código]],Projeção[#All],14,FALSE)</f>
        <v>4.0999999999999996</v>
      </c>
      <c r="S23" s="39">
        <f>IFERROR(VLOOKUP(Vegetal[[#This Row],[Código]],Venda_mes[],2,FALSE),0)</f>
        <v>0</v>
      </c>
      <c r="T23" s="45">
        <f>IFERROR(Vegetal[[#This Row],[V. No mes]]/Vegetal[[#This Row],[Proj. de V. No mes]],"")</f>
        <v>0</v>
      </c>
      <c r="U23" s="43">
        <f>VLOOKUP(Vegetal[[#This Row],[Código]],Projeção[#All],14,FALSE)+VLOOKUP(Vegetal[[#This Row],[Código]],Projeção[#All],13,FALSE)+VLOOKUP(Vegetal[[#This Row],[Código]],Projeção[#All],12,FALSE)</f>
        <v>11.733333333333333</v>
      </c>
      <c r="V23" s="39">
        <f>IFERROR(VLOOKUP(Vegetal[[#This Row],[Código]],Venda_3meses[],2,FALSE),0)</f>
        <v>30</v>
      </c>
      <c r="W23" s="44">
        <f>IFERROR(Vegetal[[#This Row],[V. 3 meses]]/Vegetal[[#This Row],[Proj. de V. 3 meses]],"")</f>
        <v>2.5568181818181821</v>
      </c>
      <c r="X23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101.3</v>
      </c>
      <c r="Y23" s="39">
        <f>IFERROR(VLOOKUP(Vegetal[[#This Row],[Código]],Venda_12meses[],2,FALSE),0)</f>
        <v>75</v>
      </c>
      <c r="Z23" s="44">
        <f>IFERROR(Vegetal[[#This Row],[V. 12 meses]]/Vegetal[[#This Row],[Proj. de V. 12 meses]],"")</f>
        <v>0.74037512339585387</v>
      </c>
      <c r="AA23" s="22"/>
    </row>
    <row r="24" spans="1:27" x14ac:dyDescent="0.25">
      <c r="A24" s="22" t="str">
        <f>VLOOKUP(Vegetal[[#This Row],[Código]],BD_Produto[#All],7,FALSE)</f>
        <v>Fora de Linha</v>
      </c>
      <c r="B24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4" s="23">
        <v>30061224386</v>
      </c>
      <c r="D24" s="22" t="s">
        <v>988</v>
      </c>
      <c r="E24" s="22" t="str">
        <f>VLOOKUP(Vegetal[[#This Row],[Código]],BD_Produto[],3,FALSE)</f>
        <v>180-190 g/m²</v>
      </c>
      <c r="F24" s="22" t="str">
        <f>VLOOKUP(Vegetal[[#This Row],[Código]],BD_Produto[],4,FALSE)</f>
        <v>660 x 960 mm</v>
      </c>
      <c r="G24" s="24"/>
      <c r="H24" s="25"/>
      <c r="I24" s="22"/>
      <c r="J24" s="24"/>
      <c r="K24" s="24" t="str">
        <f>IFERROR(VLOOKUP(Vegetal[[#This Row],[Código]],Importação!P:R,3,FALSE),"")</f>
        <v/>
      </c>
      <c r="L24" s="24">
        <f>IFERROR(VLOOKUP(Vegetal[[#This Row],[Código]],Saldo[],3,FALSE),0)</f>
        <v>112</v>
      </c>
      <c r="M24" s="24">
        <f>SUM(Vegetal[[#This Row],[Produção]:[Estoque]])</f>
        <v>112</v>
      </c>
      <c r="N24" s="24">
        <f>IFERROR(Vegetal[[#This Row],[Estoque+Importação]]/Vegetal[[#This Row],[Proj. de V. No prox. mes]],"Sem Projeção")</f>
        <v>1120</v>
      </c>
      <c r="O24" s="24" t="str">
        <f>IF(OR(Vegetal[[#This Row],[Status]]="Em Linha",Vegetal[[#This Row],[Status]]="Componente",Vegetal[[#This Row],[Status]]="Materia Prima"),Vegetal[[#This Row],[Proj. de V. No prox. mes]]*10,"-")</f>
        <v>-</v>
      </c>
      <c r="P24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4" s="75">
        <f>VLOOKUP(Vegetal[[#This Row],[Código]],Projeção[#All],15,FALSE)</f>
        <v>9.9999999999999992E-2</v>
      </c>
      <c r="R24" s="43">
        <f>VLOOKUP(Vegetal[[#This Row],[Código]],Projeção[#All],14,FALSE)</f>
        <v>0.6</v>
      </c>
      <c r="S24" s="39">
        <f>IFERROR(VLOOKUP(Vegetal[[#This Row],[Código]],Venda_mes[],2,FALSE),0)</f>
        <v>0</v>
      </c>
      <c r="T24" s="45">
        <f>IFERROR(Vegetal[[#This Row],[V. No mes]]/Vegetal[[#This Row],[Proj. de V. No mes]],"")</f>
        <v>0</v>
      </c>
      <c r="U24" s="43">
        <f>VLOOKUP(Vegetal[[#This Row],[Código]],Projeção[#All],14,FALSE)+VLOOKUP(Vegetal[[#This Row],[Código]],Projeção[#All],13,FALSE)+VLOOKUP(Vegetal[[#This Row],[Código]],Projeção[#All],12,FALSE)</f>
        <v>1.8333333333333333</v>
      </c>
      <c r="V24" s="39">
        <f>IFERROR(VLOOKUP(Vegetal[[#This Row],[Código]],Venda_3meses[],2,FALSE),0)</f>
        <v>0</v>
      </c>
      <c r="W24" s="44">
        <f>IFERROR(Vegetal[[#This Row],[V. 3 meses]]/Vegetal[[#This Row],[Proj. de V. 3 meses]],"")</f>
        <v>0</v>
      </c>
      <c r="X24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7.1333333333333337</v>
      </c>
      <c r="Y24" s="39">
        <f>IFERROR(VLOOKUP(Vegetal[[#This Row],[Código]],Venda_12meses[],2,FALSE),0)</f>
        <v>3</v>
      </c>
      <c r="Z24" s="44">
        <f>IFERROR(Vegetal[[#This Row],[V. 12 meses]]/Vegetal[[#This Row],[Proj. de V. 12 meses]],"")</f>
        <v>0.42056074766355139</v>
      </c>
      <c r="AA24" s="22"/>
    </row>
    <row r="25" spans="1:27" x14ac:dyDescent="0.25">
      <c r="A25" s="22" t="str">
        <f>VLOOKUP(Vegetal[[#This Row],[Código]],BD_Produto[#All],7,FALSE)</f>
        <v>Fora de Linha</v>
      </c>
      <c r="B25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5" s="23">
        <v>30061224601</v>
      </c>
      <c r="D25" s="22" t="s">
        <v>3052</v>
      </c>
      <c r="E25" s="22" t="str">
        <f>VLOOKUP(Vegetal[[#This Row],[Código]],BD_Produto[],3,FALSE)</f>
        <v>90-95 g/m²</v>
      </c>
      <c r="F25" s="22" t="str">
        <f>VLOOKUP(Vegetal[[#This Row],[Código]],BD_Produto[],4,FALSE)</f>
        <v>A3 297 x 420 mm</v>
      </c>
      <c r="G25" s="24"/>
      <c r="H25" s="25"/>
      <c r="I25" s="22"/>
      <c r="J25" s="24"/>
      <c r="K25" s="24" t="str">
        <f>IFERROR(VLOOKUP(Vegetal[[#This Row],[Código]],Importação!P:R,3,FALSE),"")</f>
        <v/>
      </c>
      <c r="L25" s="24">
        <f>IFERROR(VLOOKUP(Vegetal[[#This Row],[Código]],Saldo[],3,FALSE),0)</f>
        <v>482</v>
      </c>
      <c r="M25" s="24">
        <f>SUM(Vegetal[[#This Row],[Produção]:[Estoque]])</f>
        <v>482</v>
      </c>
      <c r="N25" s="24">
        <f>IFERROR(Vegetal[[#This Row],[Estoque+Importação]]/Vegetal[[#This Row],[Proj. de V. No prox. mes]],"Sem Projeção")</f>
        <v>688.57142857142856</v>
      </c>
      <c r="O25" s="24" t="str">
        <f>IF(OR(Vegetal[[#This Row],[Status]]="Em Linha",Vegetal[[#This Row],[Status]]="Componente",Vegetal[[#This Row],[Status]]="Materia Prima"),Vegetal[[#This Row],[Proj. de V. No prox. mes]]*10,"-")</f>
        <v>-</v>
      </c>
      <c r="P25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5" s="83">
        <f>VLOOKUP(Vegetal[[#This Row],[Código]],Projeção[#All],15,FALSE)</f>
        <v>0.70000000000000007</v>
      </c>
      <c r="R25" s="43">
        <f>VLOOKUP(Vegetal[[#This Row],[Código]],Projeção[#All],14,FALSE)</f>
        <v>1.3666666666666665</v>
      </c>
      <c r="S25" s="39">
        <f>IFERROR(VLOOKUP(Vegetal[[#This Row],[Código]],Venda_mes[],2,FALSE),0)</f>
        <v>0</v>
      </c>
      <c r="T25" s="45">
        <f>IFERROR(Vegetal[[#This Row],[V. No mes]]/Vegetal[[#This Row],[Proj. de V. No mes]],"")</f>
        <v>0</v>
      </c>
      <c r="U25" s="43">
        <f>VLOOKUP(Vegetal[[#This Row],[Código]],Projeção[#All],14,FALSE)+VLOOKUP(Vegetal[[#This Row],[Código]],Projeção[#All],13,FALSE)+VLOOKUP(Vegetal[[#This Row],[Código]],Projeção[#All],12,FALSE)</f>
        <v>3.1333333333333329</v>
      </c>
      <c r="V25" s="39">
        <f>IFERROR(VLOOKUP(Vegetal[[#This Row],[Código]],Venda_3meses[],2,FALSE),0)</f>
        <v>0</v>
      </c>
      <c r="W25" s="44">
        <f>IFERROR(Vegetal[[#This Row],[V. 3 meses]]/Vegetal[[#This Row],[Proj. de V. 3 meses]],"")</f>
        <v>0</v>
      </c>
      <c r="X25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11.5</v>
      </c>
      <c r="Y25" s="39">
        <f>IFERROR(VLOOKUP(Vegetal[[#This Row],[Código]],Venda_12meses[],2,FALSE),0)</f>
        <v>11</v>
      </c>
      <c r="Z25" s="44">
        <f>IFERROR(Vegetal[[#This Row],[V. 12 meses]]/Vegetal[[#This Row],[Proj. de V. 12 meses]],"")</f>
        <v>0.95652173913043481</v>
      </c>
      <c r="AA25" s="36"/>
    </row>
    <row r="26" spans="1:27" x14ac:dyDescent="0.25">
      <c r="A26" s="22" t="str">
        <f>VLOOKUP(Vegetal[[#This Row],[Código]],BD_Produto[#All],7,FALSE)</f>
        <v>Fora de Linha</v>
      </c>
      <c r="B26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6" s="23">
        <v>30061224020</v>
      </c>
      <c r="D26" s="22" t="s">
        <v>73</v>
      </c>
      <c r="E26" s="22" t="str">
        <f>VLOOKUP(Vegetal[[#This Row],[Código]],BD_Produto[],3,FALSE)</f>
        <v>110-115 g/m²</v>
      </c>
      <c r="F26" s="22" t="str">
        <f>VLOOKUP(Vegetal[[#This Row],[Código]],BD_Produto[],4,FALSE)</f>
        <v>660 x 960 mm</v>
      </c>
      <c r="G26" s="24"/>
      <c r="H26" s="25"/>
      <c r="I26" s="22"/>
      <c r="J26" s="24"/>
      <c r="K26" s="24" t="str">
        <f>IFERROR(VLOOKUP(Vegetal[[#This Row],[Código]],Importação!P:R,3,FALSE),"")</f>
        <v/>
      </c>
      <c r="L26" s="24">
        <f>IFERROR(VLOOKUP(Vegetal[[#This Row],[Código]],Saldo[],3,FALSE),0)</f>
        <v>129</v>
      </c>
      <c r="M26" s="24">
        <f>SUM(Vegetal[[#This Row],[Produção]:[Estoque]])</f>
        <v>129</v>
      </c>
      <c r="N26" s="24">
        <f>IFERROR(Vegetal[[#This Row],[Estoque+Importação]]/Vegetal[[#This Row],[Proj. de V. No prox. mes]],"Sem Projeção")</f>
        <v>387.00000000000011</v>
      </c>
      <c r="O26" s="24" t="str">
        <f>IF(OR(Vegetal[[#This Row],[Status]]="Em Linha",Vegetal[[#This Row],[Status]]="Componente",Vegetal[[#This Row],[Status]]="Materia Prima"),Vegetal[[#This Row],[Proj. de V. No prox. mes]]*10,"-")</f>
        <v>-</v>
      </c>
      <c r="P26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6" s="75">
        <f>VLOOKUP(Vegetal[[#This Row],[Código]],Projeção[#All],15,FALSE)</f>
        <v>0.33333333333333326</v>
      </c>
      <c r="R26" s="43">
        <f>VLOOKUP(Vegetal[[#This Row],[Código]],Projeção[#All],14,FALSE)</f>
        <v>0.19999999999999998</v>
      </c>
      <c r="S26" s="39">
        <f>IFERROR(VLOOKUP(Vegetal[[#This Row],[Código]],Venda_mes[],2,FALSE),0)</f>
        <v>0</v>
      </c>
      <c r="T26" s="45">
        <f>IFERROR(Vegetal[[#This Row],[V. No mes]]/Vegetal[[#This Row],[Proj. de V. No mes]],"")</f>
        <v>0</v>
      </c>
      <c r="U26" s="43">
        <f>VLOOKUP(Vegetal[[#This Row],[Código]],Projeção[#All],14,FALSE)+VLOOKUP(Vegetal[[#This Row],[Código]],Projeção[#All],13,FALSE)+VLOOKUP(Vegetal[[#This Row],[Código]],Projeção[#All],12,FALSE)</f>
        <v>0.73333333333333317</v>
      </c>
      <c r="V26" s="39">
        <f>IFERROR(VLOOKUP(Vegetal[[#This Row],[Código]],Venda_3meses[],2,FALSE),0)</f>
        <v>0</v>
      </c>
      <c r="W26" s="44">
        <f>IFERROR(Vegetal[[#This Row],[V. 3 meses]]/Vegetal[[#This Row],[Proj. de V. 3 meses]],"")</f>
        <v>0</v>
      </c>
      <c r="X26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1.2000000000000002</v>
      </c>
      <c r="Y26" s="39">
        <f>IFERROR(VLOOKUP(Vegetal[[#This Row],[Código]],Venda_12meses[],2,FALSE),0)</f>
        <v>6</v>
      </c>
      <c r="Z26" s="44">
        <f>IFERROR(Vegetal[[#This Row],[V. 12 meses]]/Vegetal[[#This Row],[Proj. de V. 12 meses]],"")</f>
        <v>4.9999999999999991</v>
      </c>
      <c r="AA26" s="22"/>
    </row>
    <row r="27" spans="1:27" x14ac:dyDescent="0.25">
      <c r="A27" s="22" t="str">
        <f>VLOOKUP(Vegetal[[#This Row],[Código]],BD_Produto[#All],7,FALSE)</f>
        <v>Fora de Linha</v>
      </c>
      <c r="B27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7" s="23">
        <v>30061224030</v>
      </c>
      <c r="D27" s="22" t="s">
        <v>75</v>
      </c>
      <c r="E27" s="22" t="str">
        <f>VLOOKUP(Vegetal[[#This Row],[Código]],BD_Produto[],3,FALSE)</f>
        <v>80-85 g/m²</v>
      </c>
      <c r="F27" s="22" t="str">
        <f>VLOOKUP(Vegetal[[#This Row],[Código]],BD_Produto[],4,FALSE)</f>
        <v>660 x 960 mm</v>
      </c>
      <c r="G27" s="24"/>
      <c r="H27" s="25"/>
      <c r="I27" s="22"/>
      <c r="J27" s="24"/>
      <c r="K27" s="24" t="str">
        <f>IFERROR(VLOOKUP(Vegetal[[#This Row],[Código]],Importação!P:R,3,FALSE),"")</f>
        <v/>
      </c>
      <c r="L27" s="24">
        <f>IFERROR(VLOOKUP(Vegetal[[#This Row],[Código]],Saldo[],3,FALSE),0)</f>
        <v>581</v>
      </c>
      <c r="M27" s="24">
        <f>SUM(Vegetal[[#This Row],[Produção]:[Estoque]])</f>
        <v>581</v>
      </c>
      <c r="N27" s="24" t="str">
        <f>IFERROR(Vegetal[[#This Row],[Estoque+Importação]]/Vegetal[[#This Row],[Proj. de V. No prox. mes]],"Sem Projeção")</f>
        <v>Sem Projeção</v>
      </c>
      <c r="O27" s="24" t="str">
        <f>IF(OR(Vegetal[[#This Row],[Status]]="Em Linha",Vegetal[[#This Row],[Status]]="Componente",Vegetal[[#This Row],[Status]]="Materia Prima"),Vegetal[[#This Row],[Proj. de V. No prox. mes]]*10,"-")</f>
        <v>-</v>
      </c>
      <c r="P27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7" s="75">
        <f>VLOOKUP(Vegetal[[#This Row],[Código]],Projeção[#All],15,FALSE)</f>
        <v>0</v>
      </c>
      <c r="R27" s="43">
        <f>VLOOKUP(Vegetal[[#This Row],[Código]],Projeção[#All],14,FALSE)</f>
        <v>1.6666666666666667</v>
      </c>
      <c r="S27" s="39">
        <f>IFERROR(VLOOKUP(Vegetal[[#This Row],[Código]],Venda_mes[],2,FALSE),0)</f>
        <v>0</v>
      </c>
      <c r="T27" s="45">
        <f>IFERROR(Vegetal[[#This Row],[V. No mes]]/Vegetal[[#This Row],[Proj. de V. No mes]],"")</f>
        <v>0</v>
      </c>
      <c r="U27" s="43">
        <f>VLOOKUP(Vegetal[[#This Row],[Código]],Projeção[#All],14,FALSE)+VLOOKUP(Vegetal[[#This Row],[Código]],Projeção[#All],13,FALSE)+VLOOKUP(Vegetal[[#This Row],[Código]],Projeção[#All],12,FALSE)</f>
        <v>5.0333333333333332</v>
      </c>
      <c r="V27" s="39">
        <f>IFERROR(VLOOKUP(Vegetal[[#This Row],[Código]],Venda_3meses[],2,FALSE),0)</f>
        <v>0</v>
      </c>
      <c r="W27" s="44">
        <f>IFERROR(Vegetal[[#This Row],[V. 3 meses]]/Vegetal[[#This Row],[Proj. de V. 3 meses]],"")</f>
        <v>0</v>
      </c>
      <c r="X27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34.199999999999996</v>
      </c>
      <c r="Y27" s="39">
        <f>IFERROR(VLOOKUP(Vegetal[[#This Row],[Código]],Venda_12meses[],2,FALSE),0)</f>
        <v>0</v>
      </c>
      <c r="Z27" s="44">
        <f>IFERROR(Vegetal[[#This Row],[V. 12 meses]]/Vegetal[[#This Row],[Proj. de V. 12 meses]],"")</f>
        <v>0</v>
      </c>
      <c r="AA27" s="22"/>
    </row>
    <row r="28" spans="1:27" x14ac:dyDescent="0.25">
      <c r="A28" s="22" t="str">
        <f>VLOOKUP(Vegetal[[#This Row],[Código]],BD_Produto[#All],7,FALSE)</f>
        <v>Fora de Linha</v>
      </c>
      <c r="B28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8" s="23">
        <v>30061214973</v>
      </c>
      <c r="D28" s="22" t="s">
        <v>67</v>
      </c>
      <c r="E28" s="22" t="str">
        <f>VLOOKUP(Vegetal[[#This Row],[Código]],BD_Produto[],3,FALSE)</f>
        <v>80-85 g/m²</v>
      </c>
      <c r="F28" s="22" t="str">
        <f>VLOOKUP(Vegetal[[#This Row],[Código]],BD_Produto[],4,FALSE)</f>
        <v>660 x 960 mm</v>
      </c>
      <c r="G28" s="24"/>
      <c r="H28" s="25"/>
      <c r="I28" s="22"/>
      <c r="J28" s="24"/>
      <c r="K28" s="24" t="str">
        <f>IFERROR(VLOOKUP(Vegetal[[#This Row],[Código]],Importação!P:R,3,FALSE),"")</f>
        <v/>
      </c>
      <c r="L28" s="24">
        <f>IFERROR(VLOOKUP(Vegetal[[#This Row],[Código]],Saldo[],3,FALSE),0)</f>
        <v>321</v>
      </c>
      <c r="M28" s="24">
        <f>SUM(Vegetal[[#This Row],[Produção]:[Estoque]])</f>
        <v>321</v>
      </c>
      <c r="N28" s="24" t="str">
        <f>IFERROR(Vegetal[[#This Row],[Estoque+Importação]]/Vegetal[[#This Row],[Proj. de V. No prox. mes]],"Sem Projeção")</f>
        <v>Sem Projeção</v>
      </c>
      <c r="O28" s="24" t="str">
        <f>IF(OR(Vegetal[[#This Row],[Status]]="Em Linha",Vegetal[[#This Row],[Status]]="Componente",Vegetal[[#This Row],[Status]]="Materia Prima"),Vegetal[[#This Row],[Proj. de V. No prox. mes]]*10,"-")</f>
        <v>-</v>
      </c>
      <c r="P28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8" s="75">
        <f>VLOOKUP(Vegetal[[#This Row],[Código]],Projeção[#All],15,FALSE)</f>
        <v>0</v>
      </c>
      <c r="R28" s="43">
        <f>VLOOKUP(Vegetal[[#This Row],[Código]],Projeção[#All],14,FALSE)</f>
        <v>0</v>
      </c>
      <c r="S28" s="39">
        <f>IFERROR(VLOOKUP(Vegetal[[#This Row],[Código]],Venda_mes[],2,FALSE),0)</f>
        <v>0</v>
      </c>
      <c r="T28" s="45" t="str">
        <f>IFERROR(Vegetal[[#This Row],[V. No mes]]/Vegetal[[#This Row],[Proj. de V. No mes]],"")</f>
        <v/>
      </c>
      <c r="U28" s="43">
        <f>VLOOKUP(Vegetal[[#This Row],[Código]],Projeção[#All],14,FALSE)+VLOOKUP(Vegetal[[#This Row],[Código]],Projeção[#All],13,FALSE)+VLOOKUP(Vegetal[[#This Row],[Código]],Projeção[#All],12,FALSE)</f>
        <v>0</v>
      </c>
      <c r="V28" s="39">
        <f>IFERROR(VLOOKUP(Vegetal[[#This Row],[Código]],Venda_3meses[],2,FALSE),0)</f>
        <v>0</v>
      </c>
      <c r="W28" s="44" t="str">
        <f>IFERROR(Vegetal[[#This Row],[V. 3 meses]]/Vegetal[[#This Row],[Proj. de V. 3 meses]],"")</f>
        <v/>
      </c>
      <c r="X28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5.333333333333333</v>
      </c>
      <c r="Y28" s="39">
        <f>IFERROR(VLOOKUP(Vegetal[[#This Row],[Código]],Venda_12meses[],2,FALSE),0)</f>
        <v>0</v>
      </c>
      <c r="Z28" s="44">
        <f>IFERROR(Vegetal[[#This Row],[V. 12 meses]]/Vegetal[[#This Row],[Proj. de V. 12 meses]],"")</f>
        <v>0</v>
      </c>
      <c r="AA28" s="22"/>
    </row>
    <row r="29" spans="1:27" x14ac:dyDescent="0.25">
      <c r="A29" s="22" t="str">
        <f>VLOOKUP(Vegetal[[#This Row],[Código]],BD_Produto[#All],7,FALSE)</f>
        <v>Fora de Linha</v>
      </c>
      <c r="B29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29" s="23">
        <v>11061260273</v>
      </c>
      <c r="D29" s="22" t="s">
        <v>48</v>
      </c>
      <c r="E29" s="22" t="str">
        <f>VLOOKUP(Vegetal[[#This Row],[Código]],BD_Produto[],3,FALSE)</f>
        <v>180-190 g/m²</v>
      </c>
      <c r="F29" s="22" t="str">
        <f>VLOOKUP(Vegetal[[#This Row],[Código]],BD_Produto[],4,FALSE)</f>
        <v>660 x 960 mm</v>
      </c>
      <c r="G29" s="24"/>
      <c r="H29" s="25"/>
      <c r="I29" s="22"/>
      <c r="J29" s="24"/>
      <c r="K29" s="24" t="str">
        <f>IFERROR(VLOOKUP(Vegetal[[#This Row],[Código]],Importação!P:R,3,FALSE),"")</f>
        <v/>
      </c>
      <c r="L29" s="24">
        <f>IFERROR(VLOOKUP(Vegetal[[#This Row],[Código]],Saldo[],3,FALSE),0)</f>
        <v>15800</v>
      </c>
      <c r="M29" s="24">
        <f>SUM(Vegetal[[#This Row],[Produção]:[Estoque]])</f>
        <v>15800</v>
      </c>
      <c r="N29" s="24" t="str">
        <f>IFERROR(Vegetal[[#This Row],[Estoque+Importação]]/Vegetal[[#This Row],[Proj. de V. No prox. mes]],"Sem Projeção")</f>
        <v>Sem Projeção</v>
      </c>
      <c r="O29" s="24" t="str">
        <f>IF(OR(Vegetal[[#This Row],[Status]]="Em Linha",Vegetal[[#This Row],[Status]]="Componente",Vegetal[[#This Row],[Status]]="Materia Prima"),Vegetal[[#This Row],[Proj. de V. No prox. mes]]*10,"-")</f>
        <v>-</v>
      </c>
      <c r="P29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29" s="75">
        <f>VLOOKUP(Vegetal[[#This Row],[Código]],Projeção[#All],15,FALSE)</f>
        <v>0</v>
      </c>
      <c r="R29" s="43">
        <f>VLOOKUP(Vegetal[[#This Row],[Código]],Projeção[#All],14,FALSE)</f>
        <v>0</v>
      </c>
      <c r="S29" s="39">
        <f>IFERROR(VLOOKUP(Vegetal[[#This Row],[Código]],Venda_mes[],2,FALSE),0)</f>
        <v>0</v>
      </c>
      <c r="T29" s="45" t="str">
        <f>IFERROR(Vegetal[[#This Row],[V. No mes]]/Vegetal[[#This Row],[Proj. de V. No mes]],"")</f>
        <v/>
      </c>
      <c r="U29" s="43">
        <f>VLOOKUP(Vegetal[[#This Row],[Código]],Projeção[#All],14,FALSE)+VLOOKUP(Vegetal[[#This Row],[Código]],Projeção[#All],13,FALSE)+VLOOKUP(Vegetal[[#This Row],[Código]],Projeção[#All],12,FALSE)</f>
        <v>0</v>
      </c>
      <c r="V29" s="39">
        <f>IFERROR(VLOOKUP(Vegetal[[#This Row],[Código]],Venda_3meses[],2,FALSE),0)</f>
        <v>0</v>
      </c>
      <c r="W29" s="44" t="str">
        <f>IFERROR(Vegetal[[#This Row],[V. 3 meses]]/Vegetal[[#This Row],[Proj. de V. 3 meses]],"")</f>
        <v/>
      </c>
      <c r="X29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29" s="39">
        <f>IFERROR(VLOOKUP(Vegetal[[#This Row],[Código]],Venda_12meses[],2,FALSE),0)</f>
        <v>0</v>
      </c>
      <c r="Z29" s="44" t="str">
        <f>IFERROR(Vegetal[[#This Row],[V. 12 meses]]/Vegetal[[#This Row],[Proj. de V. 12 meses]],"")</f>
        <v/>
      </c>
      <c r="AA29" s="36"/>
    </row>
    <row r="30" spans="1:27" x14ac:dyDescent="0.25">
      <c r="A30" s="22" t="str">
        <f>VLOOKUP(Vegetal[[#This Row],[Código]],BD_Produto[#All],7,FALSE)</f>
        <v>Fora de Linha</v>
      </c>
      <c r="B30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0" s="23">
        <v>30061224022</v>
      </c>
      <c r="D30" s="22" t="s">
        <v>74</v>
      </c>
      <c r="E30" s="22" t="str">
        <f>VLOOKUP(Vegetal[[#This Row],[Código]],BD_Produto[],3,FALSE)</f>
        <v>145-155 g/m²</v>
      </c>
      <c r="F30" s="22" t="str">
        <f>VLOOKUP(Vegetal[[#This Row],[Código]],BD_Produto[],4,FALSE)</f>
        <v>660 x 960 mm</v>
      </c>
      <c r="G30" s="24"/>
      <c r="H30" s="25"/>
      <c r="I30" s="22"/>
      <c r="J30" s="24"/>
      <c r="K30" s="24" t="str">
        <f>IFERROR(VLOOKUP(Vegetal[[#This Row],[Código]],Importação!P:R,3,FALSE),"")</f>
        <v/>
      </c>
      <c r="L30" s="24">
        <f>IFERROR(VLOOKUP(Vegetal[[#This Row],[Código]],Saldo[],3,FALSE),0)</f>
        <v>261</v>
      </c>
      <c r="M30" s="24">
        <f>SUM(Vegetal[[#This Row],[Produção]:[Estoque]])</f>
        <v>261</v>
      </c>
      <c r="N30" s="24">
        <f>IFERROR(Vegetal[[#This Row],[Estoque+Importação]]/Vegetal[[#This Row],[Proj. de V. No prox. mes]],"Sem Projeção")</f>
        <v>1118.5714285714284</v>
      </c>
      <c r="O30" s="24" t="str">
        <f>IF(OR(Vegetal[[#This Row],[Status]]="Em Linha",Vegetal[[#This Row],[Status]]="Componente",Vegetal[[#This Row],[Status]]="Materia Prima"),Vegetal[[#This Row],[Proj. de V. No prox. mes]]*10,"-")</f>
        <v>-</v>
      </c>
      <c r="P30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0" s="75">
        <f>VLOOKUP(Vegetal[[#This Row],[Código]],Projeção[#All],15,FALSE)</f>
        <v>0.23333333333333334</v>
      </c>
      <c r="R30" s="43">
        <f>VLOOKUP(Vegetal[[#This Row],[Código]],Projeção[#All],14,FALSE)</f>
        <v>0</v>
      </c>
      <c r="S30" s="39">
        <f>IFERROR(VLOOKUP(Vegetal[[#This Row],[Código]],Venda_mes[],2,FALSE),0)</f>
        <v>0</v>
      </c>
      <c r="T30" s="45" t="str">
        <f>IFERROR(Vegetal[[#This Row],[V. No mes]]/Vegetal[[#This Row],[Proj. de V. No mes]],"")</f>
        <v/>
      </c>
      <c r="U30" s="43">
        <f>VLOOKUP(Vegetal[[#This Row],[Código]],Projeção[#All],14,FALSE)+VLOOKUP(Vegetal[[#This Row],[Código]],Projeção[#All],13,FALSE)+VLOOKUP(Vegetal[[#This Row],[Código]],Projeção[#All],12,FALSE)</f>
        <v>0</v>
      </c>
      <c r="V30" s="39">
        <f>IFERROR(VLOOKUP(Vegetal[[#This Row],[Código]],Venda_3meses[],2,FALSE),0)</f>
        <v>1</v>
      </c>
      <c r="W30" s="44" t="str">
        <f>IFERROR(Vegetal[[#This Row],[V. 3 meses]]/Vegetal[[#This Row],[Proj. de V. 3 meses]],"")</f>
        <v/>
      </c>
      <c r="X30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0" s="39">
        <f>IFERROR(VLOOKUP(Vegetal[[#This Row],[Código]],Venda_12meses[],2,FALSE),0)</f>
        <v>1</v>
      </c>
      <c r="Z30" s="44" t="str">
        <f>IFERROR(Vegetal[[#This Row],[V. 12 meses]]/Vegetal[[#This Row],[Proj. de V. 12 meses]],"")</f>
        <v/>
      </c>
      <c r="AA30" s="22"/>
    </row>
    <row r="31" spans="1:27" x14ac:dyDescent="0.25">
      <c r="A31" s="22" t="str">
        <f>VLOOKUP(Vegetal[[#This Row],[Código]],BD_Produto[#All],7,FALSE)</f>
        <v>Fora de Linha</v>
      </c>
      <c r="B31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1" s="23">
        <v>30061224049</v>
      </c>
      <c r="D31" s="22" t="s">
        <v>1246</v>
      </c>
      <c r="E31" s="22" t="str">
        <f>VLOOKUP(Vegetal[[#This Row],[Código]],BD_Produto[],3,FALSE)</f>
        <v>80-85 g/m²</v>
      </c>
      <c r="F31" s="22" t="str">
        <f>VLOOKUP(Vegetal[[#This Row],[Código]],BD_Produto[],4,FALSE)</f>
        <v>Ofício 216 x 330 mm</v>
      </c>
      <c r="G31" s="24"/>
      <c r="H31" s="25"/>
      <c r="I31" s="22"/>
      <c r="J31" s="24"/>
      <c r="K31" s="24" t="str">
        <f>IFERROR(VLOOKUP(Vegetal[[#This Row],[Código]],Importação!P:R,3,FALSE),"")</f>
        <v/>
      </c>
      <c r="L31" s="24">
        <f>IFERROR(VLOOKUP(Vegetal[[#This Row],[Código]],Saldo[],3,FALSE),0)</f>
        <v>10</v>
      </c>
      <c r="M31" s="24">
        <f>SUM(Vegetal[[#This Row],[Produção]:[Estoque]])</f>
        <v>10</v>
      </c>
      <c r="N31" s="24" t="str">
        <f>IFERROR(Vegetal[[#This Row],[Estoque+Importação]]/Vegetal[[#This Row],[Proj. de V. No prox. mes]],"Sem Projeção")</f>
        <v>Sem Projeção</v>
      </c>
      <c r="O31" s="24" t="str">
        <f>IF(OR(Vegetal[[#This Row],[Status]]="Em Linha",Vegetal[[#This Row],[Status]]="Componente",Vegetal[[#This Row],[Status]]="Materia Prima"),Vegetal[[#This Row],[Proj. de V. No prox. mes]]*10,"-")</f>
        <v>-</v>
      </c>
      <c r="P31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1" s="75">
        <f>VLOOKUP(Vegetal[[#This Row],[Código]],Projeção[#All],15,FALSE)</f>
        <v>0</v>
      </c>
      <c r="R31" s="43">
        <f>VLOOKUP(Vegetal[[#This Row],[Código]],Projeção[#All],14,FALSE)</f>
        <v>0</v>
      </c>
      <c r="S31" s="39">
        <f>IFERROR(VLOOKUP(Vegetal[[#This Row],[Código]],Venda_mes[],2,FALSE),0)</f>
        <v>0</v>
      </c>
      <c r="T31" s="45" t="str">
        <f>IFERROR(Vegetal[[#This Row],[V. No mes]]/Vegetal[[#This Row],[Proj. de V. No mes]],"")</f>
        <v/>
      </c>
      <c r="U31" s="43">
        <f>VLOOKUP(Vegetal[[#This Row],[Código]],Projeção[#All],14,FALSE)+VLOOKUP(Vegetal[[#This Row],[Código]],Projeção[#All],13,FALSE)+VLOOKUP(Vegetal[[#This Row],[Código]],Projeção[#All],12,FALSE)</f>
        <v>0</v>
      </c>
      <c r="V31" s="39">
        <f>IFERROR(VLOOKUP(Vegetal[[#This Row],[Código]],Venda_3meses[],2,FALSE),0)</f>
        <v>0</v>
      </c>
      <c r="W31" s="44" t="str">
        <f>IFERROR(Vegetal[[#This Row],[V. 3 meses]]/Vegetal[[#This Row],[Proj. de V. 3 meses]],"")</f>
        <v/>
      </c>
      <c r="X31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1" s="39">
        <f>IFERROR(VLOOKUP(Vegetal[[#This Row],[Código]],Venda_12meses[],2,FALSE),0)</f>
        <v>0</v>
      </c>
      <c r="Z31" s="44" t="str">
        <f>IFERROR(Vegetal[[#This Row],[V. 12 meses]]/Vegetal[[#This Row],[Proj. de V. 12 meses]],"")</f>
        <v/>
      </c>
      <c r="AA31" s="22"/>
    </row>
    <row r="32" spans="1:27" x14ac:dyDescent="0.25">
      <c r="A32" s="22" t="str">
        <f>VLOOKUP(Vegetal[[#This Row],[Código]],BD_Produto[#All],7,FALSE)</f>
        <v>Fora de Linha</v>
      </c>
      <c r="B32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2" s="23">
        <v>30061224050</v>
      </c>
      <c r="D32" s="22" t="s">
        <v>1247</v>
      </c>
      <c r="E32" s="22" t="str">
        <f>VLOOKUP(Vegetal[[#This Row],[Código]],BD_Produto[],3,FALSE)</f>
        <v>80-85 g/m²</v>
      </c>
      <c r="F32" s="22" t="str">
        <f>VLOOKUP(Vegetal[[#This Row],[Código]],BD_Produto[],4,FALSE)</f>
        <v>Letter 216 x 280 mm</v>
      </c>
      <c r="G32" s="24"/>
      <c r="H32" s="25"/>
      <c r="I32" s="22"/>
      <c r="J32" s="24"/>
      <c r="K32" s="24" t="str">
        <f>IFERROR(VLOOKUP(Vegetal[[#This Row],[Código]],Importação!P:R,3,FALSE),"")</f>
        <v/>
      </c>
      <c r="L32" s="24">
        <f>IFERROR(VLOOKUP(Vegetal[[#This Row],[Código]],Saldo[],3,FALSE),0)</f>
        <v>39</v>
      </c>
      <c r="M32" s="24">
        <f>SUM(Vegetal[[#This Row],[Produção]:[Estoque]])</f>
        <v>39</v>
      </c>
      <c r="N32" s="24" t="str">
        <f>IFERROR(Vegetal[[#This Row],[Estoque+Importação]]/Vegetal[[#This Row],[Proj. de V. No prox. mes]],"Sem Projeção")</f>
        <v>Sem Projeção</v>
      </c>
      <c r="O32" s="24" t="str">
        <f>IF(OR(Vegetal[[#This Row],[Status]]="Em Linha",Vegetal[[#This Row],[Status]]="Componente",Vegetal[[#This Row],[Status]]="Materia Prima"),Vegetal[[#This Row],[Proj. de V. No prox. mes]]*10,"-")</f>
        <v>-</v>
      </c>
      <c r="P32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2" s="75">
        <f>VLOOKUP(Vegetal[[#This Row],[Código]],Projeção[#All],15,FALSE)</f>
        <v>0</v>
      </c>
      <c r="R32" s="43">
        <f>VLOOKUP(Vegetal[[#This Row],[Código]],Projeção[#All],14,FALSE)</f>
        <v>0</v>
      </c>
      <c r="S32" s="39">
        <f>IFERROR(VLOOKUP(Vegetal[[#This Row],[Código]],Venda_mes[],2,FALSE),0)</f>
        <v>0</v>
      </c>
      <c r="T32" s="45" t="str">
        <f>IFERROR(Vegetal[[#This Row],[V. No mes]]/Vegetal[[#This Row],[Proj. de V. No mes]],"")</f>
        <v/>
      </c>
      <c r="U32" s="43">
        <f>VLOOKUP(Vegetal[[#This Row],[Código]],Projeção[#All],14,FALSE)+VLOOKUP(Vegetal[[#This Row],[Código]],Projeção[#All],13,FALSE)+VLOOKUP(Vegetal[[#This Row],[Código]],Projeção[#All],12,FALSE)</f>
        <v>0</v>
      </c>
      <c r="V32" s="39">
        <f>IFERROR(VLOOKUP(Vegetal[[#This Row],[Código]],Venda_3meses[],2,FALSE),0)</f>
        <v>0</v>
      </c>
      <c r="W32" s="44" t="str">
        <f>IFERROR(Vegetal[[#This Row],[V. 3 meses]]/Vegetal[[#This Row],[Proj. de V. 3 meses]],"")</f>
        <v/>
      </c>
      <c r="X32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2" s="39">
        <f>IFERROR(VLOOKUP(Vegetal[[#This Row],[Código]],Venda_12meses[],2,FALSE),0)</f>
        <v>0</v>
      </c>
      <c r="Z32" s="44" t="str">
        <f>IFERROR(Vegetal[[#This Row],[V. 12 meses]]/Vegetal[[#This Row],[Proj. de V. 12 meses]],"")</f>
        <v/>
      </c>
      <c r="AA32" s="22"/>
    </row>
    <row r="33" spans="1:27" x14ac:dyDescent="0.25">
      <c r="A33" s="22" t="str">
        <f>VLOOKUP(Vegetal[[#This Row],[Código]],BD_Produto[#All],7,FALSE)</f>
        <v>Fora de Linha</v>
      </c>
      <c r="B33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3" s="23">
        <v>30061224606</v>
      </c>
      <c r="D33" s="22" t="s">
        <v>1248</v>
      </c>
      <c r="E33" s="22" t="str">
        <f>VLOOKUP(Vegetal[[#This Row],[Código]],BD_Produto[],3,FALSE)</f>
        <v>100-105 g/m²</v>
      </c>
      <c r="F33" s="22" t="str">
        <f>VLOOKUP(Vegetal[[#This Row],[Código]],BD_Produto[],4,FALSE)</f>
        <v>Ofício 216 x 330 mm</v>
      </c>
      <c r="G33" s="24"/>
      <c r="H33" s="25"/>
      <c r="I33" s="22"/>
      <c r="J33" s="24"/>
      <c r="K33" s="24" t="str">
        <f>IFERROR(VLOOKUP(Vegetal[[#This Row],[Código]],Importação!P:R,3,FALSE),"")</f>
        <v/>
      </c>
      <c r="L33" s="24">
        <f>IFERROR(VLOOKUP(Vegetal[[#This Row],[Código]],Saldo[],3,FALSE),0)</f>
        <v>6</v>
      </c>
      <c r="M33" s="24">
        <f>SUM(Vegetal[[#This Row],[Produção]:[Estoque]])</f>
        <v>6</v>
      </c>
      <c r="N33" s="24" t="str">
        <f>IFERROR(Vegetal[[#This Row],[Estoque+Importação]]/Vegetal[[#This Row],[Proj. de V. No prox. mes]],"Sem Projeção")</f>
        <v>Sem Projeção</v>
      </c>
      <c r="O33" s="24" t="str">
        <f>IF(OR(Vegetal[[#This Row],[Status]]="Em Linha",Vegetal[[#This Row],[Status]]="Componente",Vegetal[[#This Row],[Status]]="Materia Prima"),Vegetal[[#This Row],[Proj. de V. No prox. mes]]*10,"-")</f>
        <v>-</v>
      </c>
      <c r="P33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3" s="75">
        <f>VLOOKUP(Vegetal[[#This Row],[Código]],Projeção[#All],15,FALSE)</f>
        <v>0</v>
      </c>
      <c r="R33" s="43">
        <f>VLOOKUP(Vegetal[[#This Row],[Código]],Projeção[#All],14,FALSE)</f>
        <v>0</v>
      </c>
      <c r="S33" s="39">
        <f>IFERROR(VLOOKUP(Vegetal[[#This Row],[Código]],Venda_mes[],2,FALSE),0)</f>
        <v>0</v>
      </c>
      <c r="T33" s="45" t="str">
        <f>IFERROR(Vegetal[[#This Row],[V. No mes]]/Vegetal[[#This Row],[Proj. de V. No mes]],"")</f>
        <v/>
      </c>
      <c r="U33" s="43">
        <f>VLOOKUP(Vegetal[[#This Row],[Código]],Projeção[#All],14,FALSE)+VLOOKUP(Vegetal[[#This Row],[Código]],Projeção[#All],13,FALSE)+VLOOKUP(Vegetal[[#This Row],[Código]],Projeção[#All],12,FALSE)</f>
        <v>0</v>
      </c>
      <c r="V33" s="39">
        <f>IFERROR(VLOOKUP(Vegetal[[#This Row],[Código]],Venda_3meses[],2,FALSE),0)</f>
        <v>0</v>
      </c>
      <c r="W33" s="44" t="str">
        <f>IFERROR(Vegetal[[#This Row],[V. 3 meses]]/Vegetal[[#This Row],[Proj. de V. 3 meses]],"")</f>
        <v/>
      </c>
      <c r="X33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3" s="39">
        <f>IFERROR(VLOOKUP(Vegetal[[#This Row],[Código]],Venda_12meses[],2,FALSE),0)</f>
        <v>0</v>
      </c>
      <c r="Z33" s="44" t="str">
        <f>IFERROR(Vegetal[[#This Row],[V. 12 meses]]/Vegetal[[#This Row],[Proj. de V. 12 meses]],"")</f>
        <v/>
      </c>
      <c r="AA33" s="22"/>
    </row>
    <row r="34" spans="1:27" x14ac:dyDescent="0.25">
      <c r="A34" s="22" t="str">
        <f>VLOOKUP(Vegetal[[#This Row],[Código]],BD_Produto[#All],7,FALSE)</f>
        <v>Fora de Linha</v>
      </c>
      <c r="B34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4" s="23">
        <v>11061224654</v>
      </c>
      <c r="D34" s="22" t="s">
        <v>47</v>
      </c>
      <c r="E34" s="22" t="str">
        <f>VLOOKUP(Vegetal[[#This Row],[Código]],BD_Produto[],3,FALSE)</f>
        <v>50-55 g/m²</v>
      </c>
      <c r="F34" s="22" t="str">
        <f>VLOOKUP(Vegetal[[#This Row],[Código]],BD_Produto[],4,FALSE)</f>
        <v>1,02 m x 20 m</v>
      </c>
      <c r="G34" s="24"/>
      <c r="H34" s="25"/>
      <c r="I34" s="22"/>
      <c r="J34" s="24"/>
      <c r="K34" s="24" t="str">
        <f>IFERROR(VLOOKUP(Vegetal[[#This Row],[Código]],Importação!P:R,3,FALSE),"")</f>
        <v/>
      </c>
      <c r="L34" s="24">
        <f>IFERROR(VLOOKUP(Vegetal[[#This Row],[Código]],Saldo[],3,FALSE),0)</f>
        <v>2392</v>
      </c>
      <c r="M34" s="24">
        <f>SUM(Vegetal[[#This Row],[Produção]:[Estoque]])</f>
        <v>2392</v>
      </c>
      <c r="N34" s="24" t="str">
        <f>IFERROR(Vegetal[[#This Row],[Estoque+Importação]]/Vegetal[[#This Row],[Proj. de V. No prox. mes]],"Sem Projeção")</f>
        <v>Sem Projeção</v>
      </c>
      <c r="O34" s="24" t="str">
        <f>IF(OR(Vegetal[[#This Row],[Status]]="Em Linha",Vegetal[[#This Row],[Status]]="Componente",Vegetal[[#This Row],[Status]]="Materia Prima"),Vegetal[[#This Row],[Proj. de V. No prox. mes]]*10,"-")</f>
        <v>-</v>
      </c>
      <c r="P34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4" s="75">
        <f>VLOOKUP(Vegetal[[#This Row],[Código]],Projeção[#All],15,FALSE)</f>
        <v>0</v>
      </c>
      <c r="R34" s="43">
        <f>VLOOKUP(Vegetal[[#This Row],[Código]],Projeção[#All],14,FALSE)</f>
        <v>0</v>
      </c>
      <c r="S34" s="39">
        <f>IFERROR(VLOOKUP(Vegetal[[#This Row],[Código]],Venda_mes[],2,FALSE),0)</f>
        <v>0</v>
      </c>
      <c r="T34" s="45" t="str">
        <f>IFERROR(Vegetal[[#This Row],[V. No mes]]/Vegetal[[#This Row],[Proj. de V. No mes]],"")</f>
        <v/>
      </c>
      <c r="U34" s="43">
        <f>VLOOKUP(Vegetal[[#This Row],[Código]],Projeção[#All],14,FALSE)+VLOOKUP(Vegetal[[#This Row],[Código]],Projeção[#All],13,FALSE)+VLOOKUP(Vegetal[[#This Row],[Código]],Projeção[#All],12,FALSE)</f>
        <v>0</v>
      </c>
      <c r="V34" s="39">
        <f>IFERROR(VLOOKUP(Vegetal[[#This Row],[Código]],Venda_3meses[],2,FALSE),0)</f>
        <v>0</v>
      </c>
      <c r="W34" s="44" t="str">
        <f>IFERROR(Vegetal[[#This Row],[V. 3 meses]]/Vegetal[[#This Row],[Proj. de V. 3 meses]],"")</f>
        <v/>
      </c>
      <c r="X34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4" s="39">
        <f>IFERROR(VLOOKUP(Vegetal[[#This Row],[Código]],Venda_12meses[],2,FALSE),0)</f>
        <v>0</v>
      </c>
      <c r="Z34" s="44" t="str">
        <f>IFERROR(Vegetal[[#This Row],[V. 12 meses]]/Vegetal[[#This Row],[Proj. de V. 12 meses]],"")</f>
        <v/>
      </c>
      <c r="AA34" s="22"/>
    </row>
    <row r="35" spans="1:27" x14ac:dyDescent="0.25">
      <c r="A35" s="22" t="str">
        <f>VLOOKUP(Vegetal[[#This Row],[Código]],BD_Produto[#All],7,FALSE)</f>
        <v>Fora de Linha</v>
      </c>
      <c r="B35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5" s="23">
        <v>11061260274</v>
      </c>
      <c r="D35" s="22" t="s">
        <v>49</v>
      </c>
      <c r="E35" s="22" t="str">
        <f>VLOOKUP(Vegetal[[#This Row],[Código]],BD_Produto[],3,FALSE)</f>
        <v>110-115 g/m²</v>
      </c>
      <c r="F35" s="22" t="str">
        <f>VLOOKUP(Vegetal[[#This Row],[Código]],BD_Produto[],4,FALSE)</f>
        <v>660 x 960 mm</v>
      </c>
      <c r="G35" s="24"/>
      <c r="H35" s="25"/>
      <c r="I35" s="22"/>
      <c r="J35" s="24"/>
      <c r="K35" s="24" t="str">
        <f>IFERROR(VLOOKUP(Vegetal[[#This Row],[Código]],Importação!P:R,3,FALSE),"")</f>
        <v/>
      </c>
      <c r="L35" s="24">
        <f>IFERROR(VLOOKUP(Vegetal[[#This Row],[Código]],Saldo[],3,FALSE),0)</f>
        <v>15200</v>
      </c>
      <c r="M35" s="24">
        <f>SUM(Vegetal[[#This Row],[Produção]:[Estoque]])</f>
        <v>15200</v>
      </c>
      <c r="N35" s="24" t="str">
        <f>IFERROR(Vegetal[[#This Row],[Estoque+Importação]]/Vegetal[[#This Row],[Proj. de V. No prox. mes]],"Sem Projeção")</f>
        <v>Sem Projeção</v>
      </c>
      <c r="O35" s="24" t="str">
        <f>IF(OR(Vegetal[[#This Row],[Status]]="Em Linha",Vegetal[[#This Row],[Status]]="Componente",Vegetal[[#This Row],[Status]]="Materia Prima"),Vegetal[[#This Row],[Proj. de V. No prox. mes]]*10,"-")</f>
        <v>-</v>
      </c>
      <c r="P35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5" s="75">
        <f>VLOOKUP(Vegetal[[#This Row],[Código]],Projeção[#All],15,FALSE)</f>
        <v>0</v>
      </c>
      <c r="R35" s="43">
        <f>VLOOKUP(Vegetal[[#This Row],[Código]],Projeção[#All],14,FALSE)</f>
        <v>0</v>
      </c>
      <c r="S35" s="39">
        <f>IFERROR(VLOOKUP(Vegetal[[#This Row],[Código]],Venda_mes[],2,FALSE),0)</f>
        <v>0</v>
      </c>
      <c r="T35" s="45" t="str">
        <f>IFERROR(Vegetal[[#This Row],[V. No mes]]/Vegetal[[#This Row],[Proj. de V. No mes]],"")</f>
        <v/>
      </c>
      <c r="U35" s="43">
        <f>VLOOKUP(Vegetal[[#This Row],[Código]],Projeção[#All],14,FALSE)+VLOOKUP(Vegetal[[#This Row],[Código]],Projeção[#All],13,FALSE)+VLOOKUP(Vegetal[[#This Row],[Código]],Projeção[#All],12,FALSE)</f>
        <v>0</v>
      </c>
      <c r="V35" s="39">
        <f>IFERROR(VLOOKUP(Vegetal[[#This Row],[Código]],Venda_3meses[],2,FALSE),0)</f>
        <v>0</v>
      </c>
      <c r="W35" s="44" t="str">
        <f>IFERROR(Vegetal[[#This Row],[V. 3 meses]]/Vegetal[[#This Row],[Proj. de V. 3 meses]],"")</f>
        <v/>
      </c>
      <c r="X35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5" s="39">
        <f>IFERROR(VLOOKUP(Vegetal[[#This Row],[Código]],Venda_12meses[],2,FALSE),0)</f>
        <v>0</v>
      </c>
      <c r="Z35" s="44" t="str">
        <f>IFERROR(Vegetal[[#This Row],[V. 12 meses]]/Vegetal[[#This Row],[Proj. de V. 12 meses]],"")</f>
        <v/>
      </c>
      <c r="AA35" s="22"/>
    </row>
    <row r="36" spans="1:27" x14ac:dyDescent="0.25">
      <c r="A36" s="22" t="str">
        <f>VLOOKUP(Vegetal[[#This Row],[Código]],BD_Produto[#All],7,FALSE)</f>
        <v>Fora de Linha</v>
      </c>
      <c r="B36" s="22" t="str">
        <f>IF(OR(Vegetal[[#This Row],[Status]]="Em linha",Vegetal[[#This Row],[Status]]="Materia Prima",Vegetal[[#This Row],[Status]]="Componente"),"ok",IF(Vegetal[[#This Row],[Estoque+Importação]]&lt;1,"Tirar","ok"))</f>
        <v>ok</v>
      </c>
      <c r="C36" s="99">
        <v>11061224036</v>
      </c>
      <c r="D36" s="22" t="s">
        <v>43</v>
      </c>
      <c r="E36" s="22" t="str">
        <f>VLOOKUP(Vegetal[[#This Row],[Código]],BD_Produto[],3,FALSE)</f>
        <v>90-95 g/m²</v>
      </c>
      <c r="F36" s="22" t="str">
        <f>VLOOKUP(Vegetal[[#This Row],[Código]],BD_Produto[],4,FALSE)</f>
        <v>Ofício 216 x 330 mm</v>
      </c>
      <c r="G36" s="24"/>
      <c r="H36" s="25"/>
      <c r="I36" s="22"/>
      <c r="J36" s="24"/>
      <c r="K36" s="24" t="str">
        <f>IFERROR(VLOOKUP(Vegetal[[#This Row],[Código]],Importação!P:R,3,FALSE),"")</f>
        <v/>
      </c>
      <c r="L36" s="24">
        <f>IFERROR(VLOOKUP(Vegetal[[#This Row],[Código]],Saldo[],3,FALSE),0)</f>
        <v>27500</v>
      </c>
      <c r="M36" s="24">
        <f>SUM(Vegetal[[#This Row],[Produção]:[Estoque]])</f>
        <v>27500</v>
      </c>
      <c r="N36" s="24" t="str">
        <f>IFERROR(Vegetal[[#This Row],[Estoque+Importação]]/Vegetal[[#This Row],[Proj. de V. No prox. mes]],"Sem Projeção")</f>
        <v>Sem Projeção</v>
      </c>
      <c r="O36" s="24" t="str">
        <f>IF(OR(Vegetal[[#This Row],[Status]]="Em Linha",Vegetal[[#This Row],[Status]]="Componente",Vegetal[[#This Row],[Status]]="Materia Prima"),Vegetal[[#This Row],[Proj. de V. No prox. mes]]*10,"-")</f>
        <v>-</v>
      </c>
      <c r="P36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6" s="75">
        <f>VLOOKUP(Vegetal[[#This Row],[Código]],Projeção[#All],15,FALSE)</f>
        <v>0</v>
      </c>
      <c r="R36" s="43">
        <f>VLOOKUP(Vegetal[[#This Row],[Código]],Projeção[#All],14,FALSE)</f>
        <v>0</v>
      </c>
      <c r="S36" s="39">
        <f>IFERROR(VLOOKUP(Vegetal[[#This Row],[Código]],Venda_mes[],2,FALSE),0)</f>
        <v>0</v>
      </c>
      <c r="T36" s="45" t="str">
        <f>IFERROR(Vegetal[[#This Row],[V. No mes]]/Vegetal[[#This Row],[Proj. de V. No mes]],"")</f>
        <v/>
      </c>
      <c r="U36" s="43">
        <f>VLOOKUP(Vegetal[[#This Row],[Código]],Projeção[#All],14,FALSE)+VLOOKUP(Vegetal[[#This Row],[Código]],Projeção[#All],13,FALSE)+VLOOKUP(Vegetal[[#This Row],[Código]],Projeção[#All],12,FALSE)</f>
        <v>0</v>
      </c>
      <c r="V36" s="39">
        <f>IFERROR(VLOOKUP(Vegetal[[#This Row],[Código]],Venda_3meses[],2,FALSE),0)</f>
        <v>0</v>
      </c>
      <c r="W36" s="44" t="str">
        <f>IFERROR(Vegetal[[#This Row],[V. 3 meses]]/Vegetal[[#This Row],[Proj. de V. 3 meses]],"")</f>
        <v/>
      </c>
      <c r="X36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36" s="39">
        <f>IFERROR(VLOOKUP(Vegetal[[#This Row],[Código]],Venda_12meses[],2,FALSE),0)</f>
        <v>0</v>
      </c>
      <c r="Z36" s="44" t="str">
        <f>IFERROR(Vegetal[[#This Row],[V. 12 meses]]/Vegetal[[#This Row],[Proj. de V. 12 meses]],"")</f>
        <v/>
      </c>
      <c r="AA36" s="22"/>
    </row>
    <row r="37" spans="1:27" x14ac:dyDescent="0.25">
      <c r="A37" s="22" t="str">
        <f>VLOOKUP(Vegetal[[#This Row],[Código]],BD_Produto[#All],7,FALSE)</f>
        <v>Fora de Linha</v>
      </c>
      <c r="B37" s="22" t="str">
        <f>IF(OR(Vegetal[[#This Row],[Status]]="Em linha",Vegetal[[#This Row],[Status]]="Materia Prima",Vegetal[[#This Row],[Status]]="Componente"),"ok",IF(Vegetal[[#This Row],[Estoque+Importação]]&lt;1,"Tirar","ok"))</f>
        <v>Tirar</v>
      </c>
      <c r="C37" s="23">
        <v>30061214974</v>
      </c>
      <c r="D37" s="22" t="s">
        <v>1190</v>
      </c>
      <c r="E37" s="22" t="str">
        <f>VLOOKUP(Vegetal[[#This Row],[Código]],BD_Produto[],3,FALSE)</f>
        <v>100-105 g/m²</v>
      </c>
      <c r="F37" s="22" t="str">
        <f>VLOOKUP(Vegetal[[#This Row],[Código]],BD_Produto[],4,FALSE)</f>
        <v>660 x 960 mm</v>
      </c>
      <c r="G37" s="24"/>
      <c r="H37" s="25"/>
      <c r="I37" s="22"/>
      <c r="J37" s="24"/>
      <c r="K37" s="24" t="str">
        <f>IFERROR(VLOOKUP(Vegetal[[#This Row],[Código]],Importação!P:R,3,FALSE),"")</f>
        <v/>
      </c>
      <c r="L37" s="24">
        <f>IFERROR(VLOOKUP(Vegetal[[#This Row],[Código]],Saldo[],3,FALSE),0)</f>
        <v>0</v>
      </c>
      <c r="M37" s="24">
        <f>SUM(Vegetal[[#This Row],[Produção]:[Estoque]])</f>
        <v>0</v>
      </c>
      <c r="N37" s="24" t="str">
        <f>IFERROR(Vegetal[[#This Row],[Estoque+Importação]]/Vegetal[[#This Row],[Proj. de V. No prox. mes]],"Sem Projeção")</f>
        <v>Sem Projeção</v>
      </c>
      <c r="O37" s="24" t="str">
        <f>IF(OR(Vegetal[[#This Row],[Status]]="Em Linha",Vegetal[[#This Row],[Status]]="Componente",Vegetal[[#This Row],[Status]]="Materia Prima"),Vegetal[[#This Row],[Proj. de V. No prox. mes]]*10,"-")</f>
        <v>-</v>
      </c>
      <c r="P37" s="3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7" s="75">
        <f>VLOOKUP(Vegetal[[#This Row],[Código]],Projeção[#All],15,FALSE)</f>
        <v>0</v>
      </c>
      <c r="R37" s="43">
        <f>VLOOKUP(Vegetal[[#This Row],[Código]],Projeção[#All],14,FALSE)</f>
        <v>2.7666666666666671</v>
      </c>
      <c r="S37" s="39">
        <f>IFERROR(VLOOKUP(Vegetal[[#This Row],[Código]],Venda_mes[],2,FALSE),0)</f>
        <v>0</v>
      </c>
      <c r="T37" s="45">
        <f>IFERROR(Vegetal[[#This Row],[V. No mes]]/Vegetal[[#This Row],[Proj. de V. No mes]],"")</f>
        <v>0</v>
      </c>
      <c r="U37" s="43">
        <f>VLOOKUP(Vegetal[[#This Row],[Código]],Projeção[#All],14,FALSE)+VLOOKUP(Vegetal[[#This Row],[Código]],Projeção[#All],13,FALSE)+VLOOKUP(Vegetal[[#This Row],[Código]],Projeção[#All],12,FALSE)</f>
        <v>9.0666666666666664</v>
      </c>
      <c r="V37" s="39">
        <f>IFERROR(VLOOKUP(Vegetal[[#This Row],[Código]],Venda_3meses[],2,FALSE),0)</f>
        <v>0</v>
      </c>
      <c r="W37" s="44">
        <f>IFERROR(Vegetal[[#This Row],[V. 3 meses]]/Vegetal[[#This Row],[Proj. de V. 3 meses]],"")</f>
        <v>0</v>
      </c>
      <c r="X37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94.566666666666663</v>
      </c>
      <c r="Y37" s="39">
        <f>IFERROR(VLOOKUP(Vegetal[[#This Row],[Código]],Venda_12meses[],2,FALSE),0)</f>
        <v>0</v>
      </c>
      <c r="Z37" s="44">
        <f>IFERROR(Vegetal[[#This Row],[V. 12 meses]]/Vegetal[[#This Row],[Proj. de V. 12 meses]],"")</f>
        <v>0</v>
      </c>
      <c r="AA37" s="22"/>
    </row>
    <row r="38" spans="1:27" x14ac:dyDescent="0.25">
      <c r="A38" s="22" t="str">
        <f>VLOOKUP(Vegetal[[#This Row],[Código]],BD_Produto[#All],7,FALSE)</f>
        <v>Fora de Linha</v>
      </c>
      <c r="B38" s="22" t="str">
        <f>IF(OR(Vegetal[[#This Row],[Status]]="Em linha",Vegetal[[#This Row],[Status]]="Materia Prima",Vegetal[[#This Row],[Status]]="Componente"),"ok",IF(Vegetal[[#This Row],[Estoque+Importação]]&lt;1,"Tirar","ok"))</f>
        <v>Tirar</v>
      </c>
      <c r="C38" s="23">
        <v>30061224007</v>
      </c>
      <c r="D38" s="22" t="s">
        <v>70</v>
      </c>
      <c r="E38" s="22" t="str">
        <f>VLOOKUP(Vegetal[[#This Row],[Código]],BD_Produto[],3,FALSE)</f>
        <v>80-85 g/m²</v>
      </c>
      <c r="F38" s="22" t="str">
        <f>VLOOKUP(Vegetal[[#This Row],[Código]],BD_Produto[],4,FALSE)</f>
        <v>1,10 x 20 m</v>
      </c>
      <c r="G38" s="24"/>
      <c r="H38" s="25"/>
      <c r="I38" s="22"/>
      <c r="J38" s="24"/>
      <c r="K38" s="24" t="str">
        <f>IFERROR(VLOOKUP(Vegetal[[#This Row],[Código]],Importação!P:R,3,FALSE),"")</f>
        <v/>
      </c>
      <c r="L38" s="24">
        <f>IFERROR(VLOOKUP(Vegetal[[#This Row],[Código]],Saldo[],3,FALSE),0)</f>
        <v>0</v>
      </c>
      <c r="M38" s="24">
        <f>SUM(Vegetal[[#This Row],[Produção]:[Estoque]])</f>
        <v>0</v>
      </c>
      <c r="N38" s="24" t="str">
        <f>IFERROR(Vegetal[[#This Row],[Estoque+Importação]]/Vegetal[[#This Row],[Proj. de V. No prox. mes]],"Sem Projeção")</f>
        <v>Sem Projeção</v>
      </c>
      <c r="O38" s="24" t="str">
        <f>IF(OR(Vegetal[[#This Row],[Status]]="Em Linha",Vegetal[[#This Row],[Status]]="Componente",Vegetal[[#This Row],[Status]]="Materia Prima"),Vegetal[[#This Row],[Proj. de V. No prox. mes]]*10,"-")</f>
        <v>-</v>
      </c>
      <c r="P38" s="2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8" s="100">
        <f>VLOOKUP(Vegetal[[#This Row],[Código]],Projeção[#All],15,FALSE)</f>
        <v>0</v>
      </c>
      <c r="R38" s="43">
        <f>VLOOKUP(Vegetal[[#This Row],[Código]],Projeção[#All],14,FALSE)</f>
        <v>0.53333333333333333</v>
      </c>
      <c r="S38" s="39">
        <f>IFERROR(VLOOKUP(Vegetal[[#This Row],[Código]],Venda_mes[],2,FALSE),0)</f>
        <v>0</v>
      </c>
      <c r="T38" s="45">
        <f>IFERROR(Vegetal[[#This Row],[V. No mes]]/Vegetal[[#This Row],[Proj. de V. No mes]],"")</f>
        <v>0</v>
      </c>
      <c r="U38" s="43">
        <f>VLOOKUP(Vegetal[[#This Row],[Código]],Projeção[#All],14,FALSE)+VLOOKUP(Vegetal[[#This Row],[Código]],Projeção[#All],13,FALSE)+VLOOKUP(Vegetal[[#This Row],[Código]],Projeção[#All],12,FALSE)</f>
        <v>2.8</v>
      </c>
      <c r="V38" s="39">
        <f>IFERROR(VLOOKUP(Vegetal[[#This Row],[Código]],Venda_3meses[],2,FALSE),0)</f>
        <v>0</v>
      </c>
      <c r="W38" s="44">
        <f>IFERROR(Vegetal[[#This Row],[V. 3 meses]]/Vegetal[[#This Row],[Proj. de V. 3 meses]],"")</f>
        <v>0</v>
      </c>
      <c r="X38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33.266666666666666</v>
      </c>
      <c r="Y38" s="39">
        <f>IFERROR(VLOOKUP(Vegetal[[#This Row],[Código]],Venda_12meses[],2,FALSE),0)</f>
        <v>0</v>
      </c>
      <c r="Z38" s="44">
        <f>IFERROR(Vegetal[[#This Row],[V. 12 meses]]/Vegetal[[#This Row],[Proj. de V. 12 meses]],"")</f>
        <v>0</v>
      </c>
      <c r="AA38" s="22"/>
    </row>
    <row r="39" spans="1:27" x14ac:dyDescent="0.25">
      <c r="A39" s="22" t="str">
        <f>VLOOKUP(Vegetal[[#This Row],[Código]],BD_Produto[#All],7,FALSE)</f>
        <v>Fora de Linha</v>
      </c>
      <c r="B39" s="22" t="str">
        <f>IF(OR(Vegetal[[#This Row],[Status]]="Em linha",Vegetal[[#This Row],[Status]]="Materia Prima",Vegetal[[#This Row],[Status]]="Componente"),"ok",IF(Vegetal[[#This Row],[Estoque+Importação]]&lt;1,"Tirar","ok"))</f>
        <v>Tirar</v>
      </c>
      <c r="C39" s="23">
        <v>30061224031</v>
      </c>
      <c r="D39" s="22" t="s">
        <v>76</v>
      </c>
      <c r="E39" s="22" t="str">
        <f>VLOOKUP(Vegetal[[#This Row],[Código]],BD_Produto[],3,FALSE)</f>
        <v>80-85 g/m²</v>
      </c>
      <c r="F39" s="22" t="str">
        <f>VLOOKUP(Vegetal[[#This Row],[Código]],BD_Produto[],4,FALSE)</f>
        <v>660 x 960 mm</v>
      </c>
      <c r="G39" s="24"/>
      <c r="H39" s="25"/>
      <c r="I39" s="22"/>
      <c r="J39" s="24"/>
      <c r="K39" s="24" t="str">
        <f>IFERROR(VLOOKUP(Vegetal[[#This Row],[Código]],Importação!P:R,3,FALSE),"")</f>
        <v/>
      </c>
      <c r="L39" s="24">
        <f>IFERROR(VLOOKUP(Vegetal[[#This Row],[Código]],Saldo[],3,FALSE),0)</f>
        <v>0</v>
      </c>
      <c r="M39" s="24">
        <f>SUM(Vegetal[[#This Row],[Produção]:[Estoque]])</f>
        <v>0</v>
      </c>
      <c r="N39" s="24" t="str">
        <f>IFERROR(Vegetal[[#This Row],[Estoque+Importação]]/Vegetal[[#This Row],[Proj. de V. No prox. mes]],"Sem Projeção")</f>
        <v>Sem Projeção</v>
      </c>
      <c r="O39" s="24" t="str">
        <f>IF(OR(Vegetal[[#This Row],[Status]]="Em Linha",Vegetal[[#This Row],[Status]]="Componente",Vegetal[[#This Row],[Status]]="Materia Prima"),Vegetal[[#This Row],[Proj. de V. No prox. mes]]*10,"-")</f>
        <v>-</v>
      </c>
      <c r="P39" s="2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39" s="100">
        <f>VLOOKUP(Vegetal[[#This Row],[Código]],Projeção[#All],15,FALSE)</f>
        <v>0</v>
      </c>
      <c r="R39" s="43">
        <f>VLOOKUP(Vegetal[[#This Row],[Código]],Projeção[#All],14,FALSE)</f>
        <v>0</v>
      </c>
      <c r="S39" s="39">
        <f>IFERROR(VLOOKUP(Vegetal[[#This Row],[Código]],Venda_mes[],2,FALSE),0)</f>
        <v>0</v>
      </c>
      <c r="T39" s="44" t="str">
        <f>IFERROR(Vegetal[[#This Row],[V. No mes]]/Vegetal[[#This Row],[Proj. de V. No mes]],"")</f>
        <v/>
      </c>
      <c r="U39" s="43">
        <f>VLOOKUP(Vegetal[[#This Row],[Código]],Projeção[#All],14,FALSE)+VLOOKUP(Vegetal[[#This Row],[Código]],Projeção[#All],13,FALSE)+VLOOKUP(Vegetal[[#This Row],[Código]],Projeção[#All],12,FALSE)</f>
        <v>0.53333333333333333</v>
      </c>
      <c r="V39" s="39">
        <f>IFERROR(VLOOKUP(Vegetal[[#This Row],[Código]],Venda_3meses[],2,FALSE),0)</f>
        <v>0</v>
      </c>
      <c r="W39" s="44">
        <f>IFERROR(Vegetal[[#This Row],[V. 3 meses]]/Vegetal[[#This Row],[Proj. de V. 3 meses]],"")</f>
        <v>0</v>
      </c>
      <c r="X39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4.1666666666666661</v>
      </c>
      <c r="Y39" s="39">
        <f>IFERROR(VLOOKUP(Vegetal[[#This Row],[Código]],Venda_12meses[],2,FALSE),0)</f>
        <v>0</v>
      </c>
      <c r="Z39" s="44">
        <f>IFERROR(Vegetal[[#This Row],[V. 12 meses]]/Vegetal[[#This Row],[Proj. de V. 12 meses]],"")</f>
        <v>0</v>
      </c>
      <c r="AA39" s="22"/>
    </row>
    <row r="40" spans="1:27" x14ac:dyDescent="0.25">
      <c r="A40" s="22" t="str">
        <f>VLOOKUP(Vegetal[[#This Row],[Código]],BD_Produto[#All],7,FALSE)</f>
        <v>Fora de Linha</v>
      </c>
      <c r="B40" s="22" t="str">
        <f>IF(OR(Vegetal[[#This Row],[Status]]="Em linha",Vegetal[[#This Row],[Status]]="Materia Prima",Vegetal[[#This Row],[Status]]="Componente"),"ok",IF(Vegetal[[#This Row],[Estoque+Importação]]&lt;1,"Tirar","ok"))</f>
        <v>Tirar</v>
      </c>
      <c r="C40" s="23">
        <v>30061224008</v>
      </c>
      <c r="D40" s="22" t="s">
        <v>71</v>
      </c>
      <c r="E40" s="22" t="str">
        <f>VLOOKUP(Vegetal[[#This Row],[Código]],BD_Produto[],3,FALSE)</f>
        <v>90-95 g/m²</v>
      </c>
      <c r="F40" s="22" t="str">
        <f>VLOOKUP(Vegetal[[#This Row],[Código]],BD_Produto[],4,FALSE)</f>
        <v>1,10 x 20 m</v>
      </c>
      <c r="G40" s="24"/>
      <c r="H40" s="25"/>
      <c r="I40" s="22"/>
      <c r="J40" s="24"/>
      <c r="K40" s="24" t="str">
        <f>IFERROR(VLOOKUP(Vegetal[[#This Row],[Código]],Importação!P:R,3,FALSE),"")</f>
        <v/>
      </c>
      <c r="L40" s="24">
        <f>IFERROR(VLOOKUP(Vegetal[[#This Row],[Código]],Saldo[],3,FALSE),0)</f>
        <v>0</v>
      </c>
      <c r="M40" s="24">
        <f>SUM(Vegetal[[#This Row],[Produção]:[Estoque]])</f>
        <v>0</v>
      </c>
      <c r="N40" s="24" t="str">
        <f>IFERROR(Vegetal[[#This Row],[Estoque+Importação]]/Vegetal[[#This Row],[Proj. de V. No prox. mes]],"Sem Projeção")</f>
        <v>Sem Projeção</v>
      </c>
      <c r="O40" s="24" t="str">
        <f>IF(OR(Vegetal[[#This Row],[Status]]="Em Linha",Vegetal[[#This Row],[Status]]="Componente",Vegetal[[#This Row],[Status]]="Materia Prima"),Vegetal[[#This Row],[Proj. de V. No prox. mes]]*10,"-")</f>
        <v>-</v>
      </c>
      <c r="P40" s="2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40" s="100">
        <f>VLOOKUP(Vegetal[[#This Row],[Código]],Projeção[#All],15,FALSE)</f>
        <v>0</v>
      </c>
      <c r="R40" s="43">
        <f>VLOOKUP(Vegetal[[#This Row],[Código]],Projeção[#All],14,FALSE)</f>
        <v>0</v>
      </c>
      <c r="S40" s="39">
        <f>IFERROR(VLOOKUP(Vegetal[[#This Row],[Código]],Venda_mes[],2,FALSE),0)</f>
        <v>0</v>
      </c>
      <c r="T40" s="44" t="str">
        <f>IFERROR(Vegetal[[#This Row],[V. No mes]]/Vegetal[[#This Row],[Proj. de V. No mes]],"")</f>
        <v/>
      </c>
      <c r="U40" s="43">
        <f>VLOOKUP(Vegetal[[#This Row],[Código]],Projeção[#All],14,FALSE)+VLOOKUP(Vegetal[[#This Row],[Código]],Projeção[#All],13,FALSE)+VLOOKUP(Vegetal[[#This Row],[Código]],Projeção[#All],12,FALSE)</f>
        <v>0</v>
      </c>
      <c r="V40" s="39">
        <f>IFERROR(VLOOKUP(Vegetal[[#This Row],[Código]],Venda_3meses[],2,FALSE),0)</f>
        <v>0</v>
      </c>
      <c r="W40" s="44" t="str">
        <f>IFERROR(Vegetal[[#This Row],[V. 3 meses]]/Vegetal[[#This Row],[Proj. de V. 3 meses]],"")</f>
        <v/>
      </c>
      <c r="X40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8.6333333333333329</v>
      </c>
      <c r="Y40" s="39">
        <f>IFERROR(VLOOKUP(Vegetal[[#This Row],[Código]],Venda_12meses[],2,FALSE),0)</f>
        <v>0</v>
      </c>
      <c r="Z40" s="44">
        <f>IFERROR(Vegetal[[#This Row],[V. 12 meses]]/Vegetal[[#This Row],[Proj. de V. 12 meses]],"")</f>
        <v>0</v>
      </c>
      <c r="AA40" s="22"/>
    </row>
    <row r="41" spans="1:27" s="84" customFormat="1" x14ac:dyDescent="0.25">
      <c r="A41" s="22" t="str">
        <f>VLOOKUP(Vegetal[[#This Row],[Código]],BD_Produto[#All],7,FALSE)</f>
        <v>Fora de Linha</v>
      </c>
      <c r="B41" s="22" t="str">
        <f>IF(OR(Vegetal[[#This Row],[Status]]="Em linha",Vegetal[[#This Row],[Status]]="Materia Prima",Vegetal[[#This Row],[Status]]="Componente"),"ok",IF(Vegetal[[#This Row],[Estoque+Importação]]&lt;1,"Tirar","ok"))</f>
        <v>Tirar</v>
      </c>
      <c r="C41" s="23">
        <v>11061224013</v>
      </c>
      <c r="D41" s="22" t="s">
        <v>40</v>
      </c>
      <c r="E41" s="22" t="str">
        <f>VLOOKUP(Vegetal[[#This Row],[Código]],BD_Produto[],3,FALSE)</f>
        <v>90-95 g/m²</v>
      </c>
      <c r="F41" s="22" t="str">
        <f>VLOOKUP(Vegetal[[#This Row],[Código]],BD_Produto[],4,FALSE)</f>
        <v>660 x 960 mm</v>
      </c>
      <c r="G41" s="24"/>
      <c r="H41" s="25"/>
      <c r="I41" s="22"/>
      <c r="J41" s="24"/>
      <c r="K41" s="24" t="str">
        <f>IFERROR(VLOOKUP(Vegetal[[#This Row],[Código]],Importação!P:R,3,FALSE),"")</f>
        <v/>
      </c>
      <c r="L41" s="24">
        <f>IFERROR(VLOOKUP(Vegetal[[#This Row],[Código]],Saldo[],3,FALSE),0)</f>
        <v>0</v>
      </c>
      <c r="M41" s="24">
        <f>SUM(Vegetal[[#This Row],[Produção]:[Estoque]])</f>
        <v>0</v>
      </c>
      <c r="N41" s="24" t="str">
        <f>IFERROR(Vegetal[[#This Row],[Estoque+Importação]]/Vegetal[[#This Row],[Proj. de V. No prox. mes]],"Sem Projeção")</f>
        <v>Sem Projeção</v>
      </c>
      <c r="O41" s="24" t="str">
        <f>IF(OR(Vegetal[[#This Row],[Status]]="Em Linha",Vegetal[[#This Row],[Status]]="Componente",Vegetal[[#This Row],[Status]]="Materia Prima"),Vegetal[[#This Row],[Proj. de V. No prox. mes]]*10,"-")</f>
        <v>-</v>
      </c>
      <c r="P41" s="2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41" s="100">
        <f>VLOOKUP(Vegetal[[#This Row],[Código]],Projeção[#All],15,FALSE)</f>
        <v>0</v>
      </c>
      <c r="R41" s="43">
        <f>VLOOKUP(Vegetal[[#This Row],[Código]],Projeção[#All],14,FALSE)</f>
        <v>0</v>
      </c>
      <c r="S41" s="39">
        <f>IFERROR(VLOOKUP(Vegetal[[#This Row],[Código]],Venda_mes[],2,FALSE),0)</f>
        <v>0</v>
      </c>
      <c r="T41" s="44" t="str">
        <f>IFERROR(Vegetal[[#This Row],[V. No mes]]/Vegetal[[#This Row],[Proj. de V. No mes]],"")</f>
        <v/>
      </c>
      <c r="U41" s="43">
        <f>VLOOKUP(Vegetal[[#This Row],[Código]],Projeção[#All],14,FALSE)+VLOOKUP(Vegetal[[#This Row],[Código]],Projeção[#All],13,FALSE)+VLOOKUP(Vegetal[[#This Row],[Código]],Projeção[#All],12,FALSE)</f>
        <v>0</v>
      </c>
      <c r="V41" s="39">
        <f>IFERROR(VLOOKUP(Vegetal[[#This Row],[Código]],Venda_3meses[],2,FALSE),0)</f>
        <v>0</v>
      </c>
      <c r="W41" s="44" t="str">
        <f>IFERROR(Vegetal[[#This Row],[V. 3 meses]]/Vegetal[[#This Row],[Proj. de V. 3 meses]],"")</f>
        <v/>
      </c>
      <c r="X41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0</v>
      </c>
      <c r="Y41" s="39">
        <f>IFERROR(VLOOKUP(Vegetal[[#This Row],[Código]],Venda_12meses[],2,FALSE),0)</f>
        <v>0</v>
      </c>
      <c r="Z41" s="44" t="str">
        <f>IFERROR(Vegetal[[#This Row],[V. 12 meses]]/Vegetal[[#This Row],[Proj. de V. 12 meses]],"")</f>
        <v/>
      </c>
      <c r="AA41" s="22"/>
    </row>
    <row r="42" spans="1:27" s="84" customFormat="1" x14ac:dyDescent="0.25">
      <c r="A42" s="22" t="str">
        <f>VLOOKUP(Vegetal[[#This Row],[Código]],BD_Produto[#All],7,FALSE)</f>
        <v>Fora de Linha</v>
      </c>
      <c r="B42" s="22" t="str">
        <f>IF(OR(Vegetal[[#This Row],[Status]]="Em linha",Vegetal[[#This Row],[Status]]="Materia Prima",Vegetal[[#This Row],[Status]]="Componente"),"ok",IF(Vegetal[[#This Row],[Estoque+Importação]]&lt;1,"Tirar","ok"))</f>
        <v>Tirar</v>
      </c>
      <c r="C42" s="23">
        <v>30061214980</v>
      </c>
      <c r="D42" s="22" t="s">
        <v>68</v>
      </c>
      <c r="E42" s="22" t="str">
        <f>VLOOKUP(Vegetal[[#This Row],[Código]],BD_Produto[],3,FALSE)</f>
        <v>80-85 g/m²</v>
      </c>
      <c r="F42" s="22" t="str">
        <f>VLOOKUP(Vegetal[[#This Row],[Código]],BD_Produto[],4,FALSE)</f>
        <v>LEGAL 216 x 355 mm</v>
      </c>
      <c r="G42" s="24"/>
      <c r="H42" s="25"/>
      <c r="I42" s="22"/>
      <c r="J42" s="24"/>
      <c r="K42" s="24" t="str">
        <f>IFERROR(VLOOKUP(Vegetal[[#This Row],[Código]],Importação!P:R,3,FALSE),"")</f>
        <v/>
      </c>
      <c r="L42" s="24">
        <f>IFERROR(VLOOKUP(Vegetal[[#This Row],[Código]],Saldo[],3,FALSE),0)</f>
        <v>0</v>
      </c>
      <c r="M42" s="24">
        <f>SUM(Vegetal[[#This Row],[Produção]:[Estoque]])</f>
        <v>0</v>
      </c>
      <c r="N42" s="24" t="str">
        <f>IFERROR(Vegetal[[#This Row],[Estoque+Importação]]/Vegetal[[#This Row],[Proj. de V. No prox. mes]],"Sem Projeção")</f>
        <v>Sem Projeção</v>
      </c>
      <c r="O42" s="24" t="str">
        <f>IF(OR(Vegetal[[#This Row],[Status]]="Em Linha",Vegetal[[#This Row],[Status]]="Componente",Vegetal[[#This Row],[Status]]="Materia Prima"),Vegetal[[#This Row],[Proj. de V. No prox. mes]]*10,"-")</f>
        <v>-</v>
      </c>
      <c r="P42" s="24">
        <f>IF(OR(Vegetal[[#This Row],[Status]]="Em Linha",Vegetal[[#This Row],[Status]]="Componente",Vegetal[[#This Row],[Status]]="Materia Prima"),Vegetal[[#This Row],[estoque 10 meses]]-Vegetal[[#This Row],[Estoque+Importação]],0)</f>
        <v>0</v>
      </c>
      <c r="Q42" s="100">
        <f>VLOOKUP(Vegetal[[#This Row],[Código]],Projeção[#All],15,FALSE)</f>
        <v>0</v>
      </c>
      <c r="R42" s="43">
        <f>VLOOKUP(Vegetal[[#This Row],[Código]],Projeção[#All],14,FALSE)</f>
        <v>0</v>
      </c>
      <c r="S42" s="39">
        <f>IFERROR(VLOOKUP(Vegetal[[#This Row],[Código]],Venda_mes[],2,FALSE),0)</f>
        <v>0</v>
      </c>
      <c r="T42" s="44" t="str">
        <f>IFERROR(Vegetal[[#This Row],[V. No mes]]/Vegetal[[#This Row],[Proj. de V. No mes]],"")</f>
        <v/>
      </c>
      <c r="U42" s="43">
        <f>VLOOKUP(Vegetal[[#This Row],[Código]],Projeção[#All],14,FALSE)+VLOOKUP(Vegetal[[#This Row],[Código]],Projeção[#All],13,FALSE)+VLOOKUP(Vegetal[[#This Row],[Código]],Projeção[#All],12,FALSE)</f>
        <v>0</v>
      </c>
      <c r="V42" s="39">
        <f>IFERROR(VLOOKUP(Vegetal[[#This Row],[Código]],Venda_3meses[],2,FALSE),0)</f>
        <v>0</v>
      </c>
      <c r="W42" s="44" t="str">
        <f>IFERROR(Vegetal[[#This Row],[V. 3 meses]]/Vegetal[[#This Row],[Proj. de V. 3 meses]],"")</f>
        <v/>
      </c>
      <c r="X42" s="43">
        <f>VLOOKUP(Vegetal[[#This Row],[Código]],Projeção[#All],14,FALSE)+VLOOKUP(Vegetal[[#This Row],[Código]],Projeção[#All],13,FALSE)+VLOOKUP(Vegetal[[#This Row],[Código]],Projeção[#All],12,FALSE)+VLOOKUP(Vegetal[[#This Row],[Código]],Projeção[#All],11,FALSE)+VLOOKUP(Vegetal[[#This Row],[Código]],Projeção[#All],10,FALSE)+VLOOKUP(Vegetal[[#This Row],[Código]],Projeção[#All],9,FALSE)+VLOOKUP(Vegetal[[#This Row],[Código]],Projeção[#All],8,FALSE)+VLOOKUP(Vegetal[[#This Row],[Código]],Projeção[#All],7,FALSE)+VLOOKUP(Vegetal[[#This Row],[Código]],Projeção[#All],6,FALSE)+VLOOKUP(Vegetal[[#This Row],[Código]],Projeção[#All],5,FALSE)+VLOOKUP(Vegetal[[#This Row],[Código]],Projeção[#All],4,FALSE)+VLOOKUP(Vegetal[[#This Row],[Código]],Projeção[#All],3,FALSE)</f>
        <v>2.3333333333333335</v>
      </c>
      <c r="Y42" s="39">
        <f>IFERROR(VLOOKUP(Vegetal[[#This Row],[Código]],Venda_12meses[],2,FALSE),0)</f>
        <v>0</v>
      </c>
      <c r="Z42" s="44">
        <f>IFERROR(Vegetal[[#This Row],[V. 12 meses]]/Vegetal[[#This Row],[Proj. de V. 12 meses]],"")</f>
        <v>0</v>
      </c>
      <c r="AA42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3:R5"/>
    <mergeCell ref="S3:S5"/>
    <mergeCell ref="T3:T5"/>
    <mergeCell ref="Z3:Z5"/>
    <mergeCell ref="O1:O5"/>
    <mergeCell ref="P1:P5"/>
    <mergeCell ref="U1:W2"/>
    <mergeCell ref="X1:Z2"/>
    <mergeCell ref="U3:U5"/>
    <mergeCell ref="V3:V5"/>
    <mergeCell ref="W3:W5"/>
    <mergeCell ref="X3:X5"/>
    <mergeCell ref="Y3:Y5"/>
    <mergeCell ref="R1:T1"/>
    <mergeCell ref="R2:T2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A5926D-83FB-4504-9442-31D275C1C7B8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T7:T40 W7:W37 Z7:Z37</xm:sqref>
        </x14:conditionalFormatting>
        <x14:conditionalFormatting xmlns:xm="http://schemas.microsoft.com/office/excel/2006/main">
          <x14:cfRule type="iconSet" priority="5" id="{87875781-A3C5-4FFA-8693-5D681F0B0CD7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P7:P40</xm:sqref>
        </x14:conditionalFormatting>
        <x14:conditionalFormatting xmlns:xm="http://schemas.microsoft.com/office/excel/2006/main">
          <x14:cfRule type="iconSet" priority="4" id="{6A165D58-AD8B-4A0E-A3D6-116365A03C25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W38:W40 Z38:Z40</xm:sqref>
        </x14:conditionalFormatting>
        <x14:conditionalFormatting xmlns:xm="http://schemas.microsoft.com/office/excel/2006/main">
          <x14:cfRule type="iconSet" priority="3" id="{283A8ABF-FE64-460C-A72D-4A0F7A41C6FA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T41:T42</xm:sqref>
        </x14:conditionalFormatting>
        <x14:conditionalFormatting xmlns:xm="http://schemas.microsoft.com/office/excel/2006/main">
          <x14:cfRule type="iconSet" priority="2" id="{70ED50CC-EC8A-4A2A-8CED-EF34B3314831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P41:P42</xm:sqref>
        </x14:conditionalFormatting>
        <x14:conditionalFormatting xmlns:xm="http://schemas.microsoft.com/office/excel/2006/main">
          <x14:cfRule type="iconSet" priority="1" id="{AF9B90EB-26EA-481E-8262-C6C8ECE11727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W41:W42 Z41:Z42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A134"/>
  <sheetViews>
    <sheetView zoomScale="70" zoomScaleNormal="70" workbookViewId="0">
      <pane ySplit="6" topLeftCell="A43" activePane="bottomLeft" state="frozen"/>
      <selection pane="bottomLeft" activeCell="D20" sqref="D20"/>
    </sheetView>
  </sheetViews>
  <sheetFormatPr defaultRowHeight="15" x14ac:dyDescent="0.25"/>
  <cols>
    <col min="1" max="1" width="14.28515625" bestFit="1" customWidth="1"/>
    <col min="2" max="2" width="7.28515625" bestFit="1" customWidth="1"/>
    <col min="3" max="3" width="15.42578125" bestFit="1" customWidth="1"/>
    <col min="4" max="4" width="138.140625" bestFit="1" customWidth="1"/>
    <col min="5" max="5" width="15.7109375" bestFit="1" customWidth="1"/>
    <col min="6" max="6" width="16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6" width="9.7109375" customWidth="1"/>
    <col min="27" max="27" width="66.85546875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22" t="str">
        <f>VLOOKUP(Tarifold[[#This Row],[Código]],BD_Produto[#All],7,FALSE)</f>
        <v>Fora de Linha</v>
      </c>
      <c r="B7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7" s="23">
        <v>33070760266</v>
      </c>
      <c r="D7" s="22" t="s">
        <v>1011</v>
      </c>
      <c r="E7" s="22" t="s">
        <v>2676</v>
      </c>
      <c r="F7" s="22" t="s">
        <v>2676</v>
      </c>
      <c r="G7" s="24"/>
      <c r="H7" s="25"/>
      <c r="J7" s="24"/>
      <c r="K7" s="24" t="str">
        <f>IFERROR(VLOOKUP(Tarifold[[#This Row],[Código]],Importação!P:R,3,FALSE),"")</f>
        <v/>
      </c>
      <c r="L7" s="24">
        <f>IFERROR(VLOOKUP(Tarifold[[#This Row],[Código]],Saldo[],3,FALSE),0)</f>
        <v>0</v>
      </c>
      <c r="M7" s="24">
        <f>SUM(Tarifold[[#This Row],[Produção]:[Estoque]])</f>
        <v>0</v>
      </c>
      <c r="N7" s="24">
        <f>IFERROR(Tarifold[[#This Row],[Estoque+Importação]]/Tarifold[[#This Row],[Proj. de V. No prox. mes]],"Sem Projeção")</f>
        <v>0</v>
      </c>
      <c r="O7" s="24" t="str">
        <f>IF(OR(Tarifold[[#This Row],[Status]]="Em Linha",Tarifold[[#This Row],[Status]]="Componente",Tarifold[[#This Row],[Status]]="Materia Prima"),Tarifold[[#This Row],[Proj. de V. No prox. mes]]*10,"-")</f>
        <v>-</v>
      </c>
      <c r="P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" s="83">
        <f>VLOOKUP(Tarifold[[#This Row],[Código]],Projeção[#All],15,FALSE)</f>
        <v>2.1999999999999997</v>
      </c>
      <c r="R7" s="43">
        <f>VLOOKUP(Tarifold[[#This Row],[Código]],Projeção[#All],14,FALSE)</f>
        <v>2.5999999999999996</v>
      </c>
      <c r="S7" s="39">
        <f>IFERROR(VLOOKUP(Tarifold[[#This Row],[Código]],Venda_mes[],2,FALSE),0)</f>
        <v>0</v>
      </c>
      <c r="T7" s="44">
        <f>IFERROR(Tarifold[[#This Row],[V. No mes]]/Tarifold[[#This Row],[Proj. de V. No mes]],"")</f>
        <v>0</v>
      </c>
      <c r="U7" s="43">
        <f>VLOOKUP(Tarifold[[#This Row],[Código]],Projeção[#All],14,FALSE)+VLOOKUP(Tarifold[[#This Row],[Código]],Projeção[#All],13,FALSE)+VLOOKUP(Tarifold[[#This Row],[Código]],Projeção[#All],12,FALSE)</f>
        <v>7.2999999999999989</v>
      </c>
      <c r="V7" s="39">
        <f>IFERROR(VLOOKUP(Tarifold[[#This Row],[Código]],Venda_3meses[],2,FALSE),0)</f>
        <v>9</v>
      </c>
      <c r="W7" s="44">
        <f>IFERROR(Tarifold[[#This Row],[V. 3 meses]]/Tarifold[[#This Row],[Proj. de V. 3 meses]],"")</f>
        <v>1.2328767123287674</v>
      </c>
      <c r="X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49.499999999999993</v>
      </c>
      <c r="Y7" s="39">
        <f>IFERROR(VLOOKUP(Tarifold[[#This Row],[Código]],Venda_12meses[],2,FALSE),0)</f>
        <v>12</v>
      </c>
      <c r="Z7" s="44">
        <f>IFERROR(Tarifold[[#This Row],[V. 12 meses]]/Tarifold[[#This Row],[Proj. de V. 12 meses]],"")</f>
        <v>0.24242424242424246</v>
      </c>
    </row>
    <row r="8" spans="1:27" x14ac:dyDescent="0.25">
      <c r="A8" s="22" t="str">
        <f>VLOOKUP(Tarifold[[#This Row],[Código]],BD_Produto[#All],7,FALSE)</f>
        <v>Fora de Linha</v>
      </c>
      <c r="B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" s="23">
        <v>33070754113</v>
      </c>
      <c r="D8" s="22" t="s">
        <v>1342</v>
      </c>
      <c r="E8" s="22" t="s">
        <v>2676</v>
      </c>
      <c r="F8" s="22" t="s">
        <v>2676</v>
      </c>
      <c r="G8" s="24"/>
      <c r="H8" s="25"/>
      <c r="I8" s="22"/>
      <c r="J8" s="24"/>
      <c r="K8" s="24" t="str">
        <f>IFERROR(VLOOKUP(Tarifold[[#This Row],[Código]],Importação!P:R,3,FALSE),"")</f>
        <v/>
      </c>
      <c r="L8" s="24">
        <f>IFERROR(VLOOKUP(Tarifold[[#This Row],[Código]],Saldo[],3,FALSE),0)</f>
        <v>17</v>
      </c>
      <c r="M8" s="24">
        <f>SUM(Tarifold[[#This Row],[Produção]:[Estoque]])</f>
        <v>17</v>
      </c>
      <c r="N8" s="24">
        <f>IFERROR(Tarifold[[#This Row],[Estoque+Importação]]/Tarifold[[#This Row],[Proj. de V. No prox. mes]],"Sem Projeção")</f>
        <v>510</v>
      </c>
      <c r="O8" s="24" t="str">
        <f>IF(OR(Tarifold[[#This Row],[Status]]="Em Linha",Tarifold[[#This Row],[Status]]="Componente",Tarifold[[#This Row],[Status]]="Materia Prima"),Tarifold[[#This Row],[Proj. de V. No prox. mes]]*10,"-")</f>
        <v>-</v>
      </c>
      <c r="P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" s="75">
        <f>VLOOKUP(Tarifold[[#This Row],[Código]],Projeção[#All],15,FALSE)</f>
        <v>3.3333333333333333E-2</v>
      </c>
      <c r="R8" s="39">
        <f>VLOOKUP(Tarifold[[#This Row],[Código]],Projeção[#All],14,FALSE)</f>
        <v>0.23333333333333334</v>
      </c>
      <c r="S8" s="39">
        <f>IFERROR(VLOOKUP(Tarifold[[#This Row],[Código]],Venda_mes[],2,FALSE),0)</f>
        <v>0</v>
      </c>
      <c r="T8" s="44">
        <f>IFERROR(Tarifold[[#This Row],[V. No mes]]/Tarifold[[#This Row],[Proj. de V. No mes]],"")</f>
        <v>0</v>
      </c>
      <c r="U8" s="43">
        <f>VLOOKUP(Tarifold[[#This Row],[Código]],Projeção[#All],14,FALSE)+VLOOKUP(Tarifold[[#This Row],[Código]],Projeção[#All],13,FALSE)+VLOOKUP(Tarifold[[#This Row],[Código]],Projeção[#All],12,FALSE)</f>
        <v>0.46666666666666667</v>
      </c>
      <c r="V8" s="39">
        <f>IFERROR(VLOOKUP(Tarifold[[#This Row],[Código]],Venda_3meses[],2,FALSE),0)</f>
        <v>0</v>
      </c>
      <c r="W8" s="44">
        <f>IFERROR(Tarifold[[#This Row],[V. 3 meses]]/Tarifold[[#This Row],[Proj. de V. 3 meses]],"")</f>
        <v>0</v>
      </c>
      <c r="X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0.46666666666666667</v>
      </c>
      <c r="Y8" s="39">
        <f>IFERROR(VLOOKUP(Tarifold[[#This Row],[Código]],Venda_12meses[],2,FALSE),0)</f>
        <v>1</v>
      </c>
      <c r="Z8" s="44">
        <f>IFERROR(Tarifold[[#This Row],[V. 12 meses]]/Tarifold[[#This Row],[Proj. de V. 12 meses]],"")</f>
        <v>2.1428571428571428</v>
      </c>
      <c r="AA8" s="22"/>
    </row>
    <row r="9" spans="1:27" x14ac:dyDescent="0.25">
      <c r="A9" s="22" t="str">
        <f>VLOOKUP(Tarifold[[#This Row],[Código]],BD_Produto[#All],7,FALSE)</f>
        <v>Fora de Linha</v>
      </c>
      <c r="B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" s="23">
        <v>33070760267</v>
      </c>
      <c r="D9" s="22" t="s">
        <v>953</v>
      </c>
      <c r="E9" s="22" t="s">
        <v>2676</v>
      </c>
      <c r="F9" s="22" t="s">
        <v>2676</v>
      </c>
      <c r="G9" s="24"/>
      <c r="H9" s="25"/>
      <c r="I9" s="22"/>
      <c r="J9" s="24"/>
      <c r="K9" s="24" t="str">
        <f>IFERROR(VLOOKUP(Tarifold[[#This Row],[Código]],Importação!P:R,3,FALSE),"")</f>
        <v/>
      </c>
      <c r="L9" s="24">
        <f>IFERROR(VLOOKUP(Tarifold[[#This Row],[Código]],Saldo[],3,FALSE),0)</f>
        <v>71</v>
      </c>
      <c r="M9" s="24">
        <f>SUM(Tarifold[[#This Row],[Produção]:[Estoque]])</f>
        <v>71</v>
      </c>
      <c r="N9" s="24">
        <f>IFERROR(Tarifold[[#This Row],[Estoque+Importação]]/Tarifold[[#This Row],[Proj. de V. No prox. mes]],"Sem Projeção")</f>
        <v>532.5</v>
      </c>
      <c r="O9" s="24" t="str">
        <f>IF(OR(Tarifold[[#This Row],[Status]]="Em Linha",Tarifold[[#This Row],[Status]]="Componente",Tarifold[[#This Row],[Status]]="Materia Prima"),Tarifold[[#This Row],[Proj. de V. No prox. mes]]*10,"-")</f>
        <v>-</v>
      </c>
      <c r="P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" s="83">
        <f>VLOOKUP(Tarifold[[#This Row],[Código]],Projeção[#All],15,FALSE)</f>
        <v>0.13333333333333333</v>
      </c>
      <c r="R9" s="43">
        <f>VLOOKUP(Tarifold[[#This Row],[Código]],Projeção[#All],14,FALSE)</f>
        <v>0</v>
      </c>
      <c r="S9" s="39">
        <f>IFERROR(VLOOKUP(Tarifold[[#This Row],[Código]],Venda_mes[],2,FALSE),0)</f>
        <v>0</v>
      </c>
      <c r="T9" s="44" t="str">
        <f>IFERROR(Tarifold[[#This Row],[V. No mes]]/Tarifold[[#This Row],[Proj. de V. No mes]],"")</f>
        <v/>
      </c>
      <c r="U9" s="43">
        <f>VLOOKUP(Tarifold[[#This Row],[Código]],Projeção[#All],14,FALSE)+VLOOKUP(Tarifold[[#This Row],[Código]],Projeção[#All],13,FALSE)+VLOOKUP(Tarifold[[#This Row],[Código]],Projeção[#All],12,FALSE)</f>
        <v>6.6666666666666666E-2</v>
      </c>
      <c r="V9" s="39">
        <f>IFERROR(VLOOKUP(Tarifold[[#This Row],[Código]],Venda_3meses[],2,FALSE),0)</f>
        <v>0</v>
      </c>
      <c r="W9" s="44">
        <f>IFERROR(Tarifold[[#This Row],[V. 3 meses]]/Tarifold[[#This Row],[Proj. de V. 3 meses]],"")</f>
        <v>0</v>
      </c>
      <c r="X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0.53333333333333333</v>
      </c>
      <c r="Y9" s="39">
        <f>IFERROR(VLOOKUP(Tarifold[[#This Row],[Código]],Venda_12meses[],2,FALSE),0)</f>
        <v>4</v>
      </c>
      <c r="Z9" s="44">
        <f>IFERROR(Tarifold[[#This Row],[V. 12 meses]]/Tarifold[[#This Row],[Proj. de V. 12 meses]],"")</f>
        <v>7.5</v>
      </c>
      <c r="AA9" s="22"/>
    </row>
    <row r="10" spans="1:27" x14ac:dyDescent="0.25">
      <c r="A10" s="22" t="str">
        <f>VLOOKUP(Tarifold[[#This Row],[Código]],BD_Produto[#All],7,FALSE)</f>
        <v>Fora de Linha</v>
      </c>
      <c r="B1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" s="23">
        <v>33070754087</v>
      </c>
      <c r="D10" s="22" t="s">
        <v>1330</v>
      </c>
      <c r="E10" s="22" t="s">
        <v>2676</v>
      </c>
      <c r="F10" s="22" t="s">
        <v>2676</v>
      </c>
      <c r="G10" s="24"/>
      <c r="H10" s="25"/>
      <c r="I10" s="22"/>
      <c r="J10" s="24"/>
      <c r="K10" s="24" t="str">
        <f>IFERROR(VLOOKUP(Tarifold[[#This Row],[Código]],Importação!P:R,3,FALSE),"")</f>
        <v/>
      </c>
      <c r="L10" s="24">
        <f>IFERROR(VLOOKUP(Tarifold[[#This Row],[Código]],Saldo[],3,FALSE),0)</f>
        <v>19</v>
      </c>
      <c r="M10" s="24">
        <f>SUM(Tarifold[[#This Row],[Produção]:[Estoque]])</f>
        <v>19</v>
      </c>
      <c r="N10" s="24">
        <f>IFERROR(Tarifold[[#This Row],[Estoque+Importação]]/Tarifold[[#This Row],[Proj. de V. No prox. mes]],"Sem Projeção")</f>
        <v>570</v>
      </c>
      <c r="O10" s="24" t="str">
        <f>IF(OR(Tarifold[[#This Row],[Status]]="Em Linha",Tarifold[[#This Row],[Status]]="Componente",Tarifold[[#This Row],[Status]]="Materia Prima"),Tarifold[[#This Row],[Proj. de V. No prox. mes]]*10,"-")</f>
        <v>-</v>
      </c>
      <c r="P1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" s="75">
        <f>VLOOKUP(Tarifold[[#This Row],[Código]],Projeção[#All],15,FALSE)</f>
        <v>3.3333333333333333E-2</v>
      </c>
      <c r="R10" s="39">
        <f>VLOOKUP(Tarifold[[#This Row],[Código]],Projeção[#All],14,FALSE)</f>
        <v>0.23333333333333334</v>
      </c>
      <c r="S10" s="39">
        <f>IFERROR(VLOOKUP(Tarifold[[#This Row],[Código]],Venda_mes[],2,FALSE),0)</f>
        <v>0</v>
      </c>
      <c r="T10" s="44">
        <f>IFERROR(Tarifold[[#This Row],[V. No mes]]/Tarifold[[#This Row],[Proj. de V. No mes]],"")</f>
        <v>0</v>
      </c>
      <c r="U10" s="43">
        <f>VLOOKUP(Tarifold[[#This Row],[Código]],Projeção[#All],14,FALSE)+VLOOKUP(Tarifold[[#This Row],[Código]],Projeção[#All],13,FALSE)+VLOOKUP(Tarifold[[#This Row],[Código]],Projeção[#All],12,FALSE)</f>
        <v>0.46666666666666667</v>
      </c>
      <c r="V10" s="39">
        <f>IFERROR(VLOOKUP(Tarifold[[#This Row],[Código]],Venda_3meses[],2,FALSE),0)</f>
        <v>0</v>
      </c>
      <c r="W10" s="44">
        <f>IFERROR(Tarifold[[#This Row],[V. 3 meses]]/Tarifold[[#This Row],[Proj. de V. 3 meses]],"")</f>
        <v>0</v>
      </c>
      <c r="X1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0.46666666666666667</v>
      </c>
      <c r="Y10" s="39">
        <f>IFERROR(VLOOKUP(Tarifold[[#This Row],[Código]],Venda_12meses[],2,FALSE),0)</f>
        <v>1</v>
      </c>
      <c r="Z10" s="44">
        <f>IFERROR(Tarifold[[#This Row],[V. 12 meses]]/Tarifold[[#This Row],[Proj. de V. 12 meses]],"")</f>
        <v>2.1428571428571428</v>
      </c>
      <c r="AA10" s="22"/>
    </row>
    <row r="11" spans="1:27" x14ac:dyDescent="0.25">
      <c r="A11" s="22" t="str">
        <f>VLOOKUP(Tarifold[[#This Row],[Código]],BD_Produto[#All],7,FALSE)</f>
        <v>Fora de Linha</v>
      </c>
      <c r="B1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" s="23">
        <v>33070754124</v>
      </c>
      <c r="D11" s="22" t="s">
        <v>981</v>
      </c>
      <c r="E11" s="22" t="s">
        <v>2676</v>
      </c>
      <c r="F11" s="22" t="s">
        <v>2676</v>
      </c>
      <c r="G11" s="24"/>
      <c r="H11" s="25"/>
      <c r="I11" s="22"/>
      <c r="J11" s="24"/>
      <c r="K11" s="24" t="str">
        <f>IFERROR(VLOOKUP(Tarifold[[#This Row],[Código]],Importação!P:R,3,FALSE),"")</f>
        <v/>
      </c>
      <c r="L11" s="24">
        <f>IFERROR(VLOOKUP(Tarifold[[#This Row],[Código]],Saldo[],3,FALSE),0)</f>
        <v>105</v>
      </c>
      <c r="M11" s="24">
        <f>SUM(Tarifold[[#This Row],[Produção]:[Estoque]])</f>
        <v>105</v>
      </c>
      <c r="N11" s="24" t="str">
        <f>IFERROR(Tarifold[[#This Row],[Estoque+Importação]]/Tarifold[[#This Row],[Proj. de V. No prox. mes]],"Sem Projeção")</f>
        <v>Sem Projeção</v>
      </c>
      <c r="O11" s="24" t="str">
        <f>IF(OR(Tarifold[[#This Row],[Status]]="Em Linha",Tarifold[[#This Row],[Status]]="Componente",Tarifold[[#This Row],[Status]]="Materia Prima"),Tarifold[[#This Row],[Proj. de V. No prox. mes]]*10,"-")</f>
        <v>-</v>
      </c>
      <c r="P1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" s="75">
        <f>VLOOKUP(Tarifold[[#This Row],[Código]],Projeção[#All],15,FALSE)</f>
        <v>0</v>
      </c>
      <c r="R11" s="39">
        <f>VLOOKUP(Tarifold[[#This Row],[Código]],Projeção[#All],14,FALSE)</f>
        <v>0.33333333333333331</v>
      </c>
      <c r="S11" s="39">
        <f>IFERROR(VLOOKUP(Tarifold[[#This Row],[Código]],Venda_mes[],2,FALSE),0)</f>
        <v>0</v>
      </c>
      <c r="T11" s="44">
        <f>IFERROR(Tarifold[[#This Row],[V. No mes]]/Tarifold[[#This Row],[Proj. de V. No mes]],"")</f>
        <v>0</v>
      </c>
      <c r="U11" s="43">
        <f>VLOOKUP(Tarifold[[#This Row],[Código]],Projeção[#All],14,FALSE)+VLOOKUP(Tarifold[[#This Row],[Código]],Projeção[#All],13,FALSE)+VLOOKUP(Tarifold[[#This Row],[Código]],Projeção[#All],12,FALSE)</f>
        <v>1</v>
      </c>
      <c r="V11" s="39">
        <f>IFERROR(VLOOKUP(Tarifold[[#This Row],[Código]],Venda_3meses[],2,FALSE),0)</f>
        <v>0</v>
      </c>
      <c r="W11" s="44">
        <f>IFERROR(Tarifold[[#This Row],[V. 3 meses]]/Tarifold[[#This Row],[Proj. de V. 3 meses]],"")</f>
        <v>0</v>
      </c>
      <c r="X1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12</v>
      </c>
      <c r="Y11" s="39">
        <f>IFERROR(VLOOKUP(Tarifold[[#This Row],[Código]],Venda_12meses[],2,FALSE),0)</f>
        <v>0</v>
      </c>
      <c r="Z11" s="44">
        <f>IFERROR(Tarifold[[#This Row],[V. 12 meses]]/Tarifold[[#This Row],[Proj. de V. 12 meses]],"")</f>
        <v>0</v>
      </c>
      <c r="AA11" s="22"/>
    </row>
    <row r="12" spans="1:27" x14ac:dyDescent="0.25">
      <c r="A12" s="22" t="str">
        <f>VLOOKUP(Tarifold[[#This Row],[Código]],BD_Produto[#All],7,FALSE)</f>
        <v>Fora de Linha</v>
      </c>
      <c r="B1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2" s="23">
        <v>33070754056</v>
      </c>
      <c r="D12" s="22" t="s">
        <v>1261</v>
      </c>
      <c r="E12" s="22" t="s">
        <v>1724</v>
      </c>
      <c r="F12" s="22" t="s">
        <v>1724</v>
      </c>
      <c r="G12" s="24"/>
      <c r="H12" s="25"/>
      <c r="I12" s="22"/>
      <c r="J12" s="24"/>
      <c r="K12" s="24" t="str">
        <f>IFERROR(VLOOKUP(Tarifold[[#This Row],[Código]],Importação!P:R,3,FALSE),"")</f>
        <v/>
      </c>
      <c r="L12" s="24">
        <f>IFERROR(VLOOKUP(Tarifold[[#This Row],[Código]],Saldo[],3,FALSE),0)</f>
        <v>105</v>
      </c>
      <c r="M12" s="24">
        <f>SUM(Tarifold[[#This Row],[Produção]:[Estoque]])</f>
        <v>105</v>
      </c>
      <c r="N12" s="24">
        <f>IFERROR(Tarifold[[#This Row],[Estoque+Importação]]/Tarifold[[#This Row],[Proj. de V. No prox. mes]],"Sem Projeção")</f>
        <v>3150</v>
      </c>
      <c r="O12" s="24" t="str">
        <f>IF(OR(Tarifold[[#This Row],[Status]]="Em Linha",Tarifold[[#This Row],[Status]]="Componente",Tarifold[[#This Row],[Status]]="Materia Prima"),Tarifold[[#This Row],[Proj. de V. No prox. mes]]*10,"-")</f>
        <v>-</v>
      </c>
      <c r="P1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" s="83">
        <f>VLOOKUP(Tarifold[[#This Row],[Código]],Projeção[#All],15,FALSE)</f>
        <v>3.3333333333333333E-2</v>
      </c>
      <c r="R12" s="43">
        <f>VLOOKUP(Tarifold[[#This Row],[Código]],Projeção[#All],14,FALSE)</f>
        <v>0.23333333333333334</v>
      </c>
      <c r="S12" s="39">
        <f>IFERROR(VLOOKUP(Tarifold[[#This Row],[Código]],Venda_mes[],2,FALSE),0)</f>
        <v>0</v>
      </c>
      <c r="T12" s="44">
        <f>IFERROR(Tarifold[[#This Row],[V. No mes]]/Tarifold[[#This Row],[Proj. de V. No mes]],"")</f>
        <v>0</v>
      </c>
      <c r="U12" s="43">
        <f>VLOOKUP(Tarifold[[#This Row],[Código]],Projeção[#All],14,FALSE)+VLOOKUP(Tarifold[[#This Row],[Código]],Projeção[#All],13,FALSE)+VLOOKUP(Tarifold[[#This Row],[Código]],Projeção[#All],12,FALSE)</f>
        <v>0.6333333333333333</v>
      </c>
      <c r="V12" s="39">
        <f>IFERROR(VLOOKUP(Tarifold[[#This Row],[Código]],Venda_3meses[],2,FALSE),0)</f>
        <v>0</v>
      </c>
      <c r="W12" s="44">
        <f>IFERROR(Tarifold[[#This Row],[V. 3 meses]]/Tarifold[[#This Row],[Proj. de V. 3 meses]],"")</f>
        <v>0</v>
      </c>
      <c r="X1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0.6333333333333333</v>
      </c>
      <c r="Y12" s="39">
        <f>IFERROR(VLOOKUP(Tarifold[[#This Row],[Código]],Venda_12meses[],2,FALSE),0)</f>
        <v>1</v>
      </c>
      <c r="Z12" s="44">
        <f>IFERROR(Tarifold[[#This Row],[V. 12 meses]]/Tarifold[[#This Row],[Proj. de V. 12 meses]],"")</f>
        <v>1.5789473684210527</v>
      </c>
      <c r="AA12" s="22"/>
    </row>
    <row r="13" spans="1:27" x14ac:dyDescent="0.25">
      <c r="A13" s="22" t="str">
        <f>VLOOKUP(Tarifold[[#This Row],[Código]],BD_Produto[#All],7,FALSE)</f>
        <v>Fora de Linha</v>
      </c>
      <c r="B1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3" s="23">
        <v>33070754045</v>
      </c>
      <c r="D13" s="22" t="s">
        <v>1158</v>
      </c>
      <c r="E13" s="22" t="s">
        <v>1724</v>
      </c>
      <c r="F13" s="22" t="s">
        <v>1724</v>
      </c>
      <c r="G13" s="24"/>
      <c r="H13" s="25"/>
      <c r="I13" s="22"/>
      <c r="J13" s="24"/>
      <c r="K13" s="24" t="str">
        <f>IFERROR(VLOOKUP(Tarifold[[#This Row],[Código]],Importação!P:R,3,FALSE),"")</f>
        <v/>
      </c>
      <c r="L13" s="24">
        <f>IFERROR(VLOOKUP(Tarifold[[#This Row],[Código]],Saldo[],3,FALSE),0)</f>
        <v>179</v>
      </c>
      <c r="M13" s="24">
        <f>SUM(Tarifold[[#This Row],[Produção]:[Estoque]])</f>
        <v>179</v>
      </c>
      <c r="N13" s="24">
        <f>IFERROR(Tarifold[[#This Row],[Estoque+Importação]]/Tarifold[[#This Row],[Proj. de V. No prox. mes]],"Sem Projeção")</f>
        <v>383.57142857142856</v>
      </c>
      <c r="O13" s="24" t="str">
        <f>IF(OR(Tarifold[[#This Row],[Status]]="Em Linha",Tarifold[[#This Row],[Status]]="Componente",Tarifold[[#This Row],[Status]]="Materia Prima"),Tarifold[[#This Row],[Proj. de V. No prox. mes]]*10,"-")</f>
        <v>-</v>
      </c>
      <c r="P1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3" s="75">
        <f>VLOOKUP(Tarifold[[#This Row],[Código]],Projeção[#All],15,FALSE)</f>
        <v>0.46666666666666667</v>
      </c>
      <c r="R13" s="39">
        <f>VLOOKUP(Tarifold[[#This Row],[Código]],Projeção[#All],14,FALSE)</f>
        <v>3.3333333333333333E-2</v>
      </c>
      <c r="S13" s="39">
        <f>IFERROR(VLOOKUP(Tarifold[[#This Row],[Código]],Venda_mes[],2,FALSE),0)</f>
        <v>0</v>
      </c>
      <c r="T13" s="44">
        <f>IFERROR(Tarifold[[#This Row],[V. No mes]]/Tarifold[[#This Row],[Proj. de V. No mes]],"")</f>
        <v>0</v>
      </c>
      <c r="U13" s="43">
        <f>VLOOKUP(Tarifold[[#This Row],[Código]],Projeção[#All],14,FALSE)+VLOOKUP(Tarifold[[#This Row],[Código]],Projeção[#All],13,FALSE)+VLOOKUP(Tarifold[[#This Row],[Código]],Projeção[#All],12,FALSE)</f>
        <v>0.1</v>
      </c>
      <c r="V13" s="39">
        <f>IFERROR(VLOOKUP(Tarifold[[#This Row],[Código]],Venda_3meses[],2,FALSE),0)</f>
        <v>2</v>
      </c>
      <c r="W13" s="44">
        <f>IFERROR(Tarifold[[#This Row],[V. 3 meses]]/Tarifold[[#This Row],[Proj. de V. 3 meses]],"")</f>
        <v>20</v>
      </c>
      <c r="X1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2.1333333333333333</v>
      </c>
      <c r="Y13" s="39">
        <f>IFERROR(VLOOKUP(Tarifold[[#This Row],[Código]],Venda_12meses[],2,FALSE),0)</f>
        <v>2</v>
      </c>
      <c r="Z13" s="44">
        <f>IFERROR(Tarifold[[#This Row],[V. 12 meses]]/Tarifold[[#This Row],[Proj. de V. 12 meses]],"")</f>
        <v>0.9375</v>
      </c>
      <c r="AA13" s="22"/>
    </row>
    <row r="14" spans="1:27" x14ac:dyDescent="0.25">
      <c r="A14" s="22" t="str">
        <f>VLOOKUP(Tarifold[[#This Row],[Código]],BD_Produto[#All],7,FALSE)</f>
        <v>Fora de Linha</v>
      </c>
      <c r="B1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4" s="23">
        <v>33070754068</v>
      </c>
      <c r="D14" s="22" t="s">
        <v>904</v>
      </c>
      <c r="E14" s="22" t="s">
        <v>2676</v>
      </c>
      <c r="F14" s="22" t="s">
        <v>2676</v>
      </c>
      <c r="G14" s="24"/>
      <c r="H14" s="25"/>
      <c r="I14" s="22"/>
      <c r="J14" s="24"/>
      <c r="K14" s="24" t="str">
        <f>IFERROR(VLOOKUP(Tarifold[[#This Row],[Código]],Importação!P:R,3,FALSE),"")</f>
        <v/>
      </c>
      <c r="L14" s="24">
        <f>IFERROR(VLOOKUP(Tarifold[[#This Row],[Código]],Saldo[],3,FALSE),0)</f>
        <v>13</v>
      </c>
      <c r="M14" s="24">
        <f>SUM(Tarifold[[#This Row],[Produção]:[Estoque]])</f>
        <v>13</v>
      </c>
      <c r="N14" s="24" t="str">
        <f>IFERROR(Tarifold[[#This Row],[Estoque+Importação]]/Tarifold[[#This Row],[Proj. de V. No prox. mes]],"Sem Projeção")</f>
        <v>Sem Projeção</v>
      </c>
      <c r="O14" s="24" t="str">
        <f>IF(OR(Tarifold[[#This Row],[Status]]="Em Linha",Tarifold[[#This Row],[Status]]="Componente",Tarifold[[#This Row],[Status]]="Materia Prima"),Tarifold[[#This Row],[Proj. de V. No prox. mes]]*10,"-")</f>
        <v>-</v>
      </c>
      <c r="P1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4" s="75">
        <f>VLOOKUP(Tarifold[[#This Row],[Código]],Projeção[#All],15,FALSE)</f>
        <v>0</v>
      </c>
      <c r="R14" s="39">
        <f>VLOOKUP(Tarifold[[#This Row],[Código]],Projeção[#All],14,FALSE)</f>
        <v>0.19999999999999998</v>
      </c>
      <c r="S14" s="39">
        <f>IFERROR(VLOOKUP(Tarifold[[#This Row],[Código]],Venda_mes[],2,FALSE),0)</f>
        <v>0</v>
      </c>
      <c r="T14" s="44">
        <f>IFERROR(Tarifold[[#This Row],[V. No mes]]/Tarifold[[#This Row],[Proj. de V. No mes]],"")</f>
        <v>0</v>
      </c>
      <c r="U14" s="43">
        <f>VLOOKUP(Tarifold[[#This Row],[Código]],Projeção[#All],14,FALSE)+VLOOKUP(Tarifold[[#This Row],[Código]],Projeção[#All],13,FALSE)+VLOOKUP(Tarifold[[#This Row],[Código]],Projeção[#All],12,FALSE)</f>
        <v>0.6</v>
      </c>
      <c r="V14" s="39">
        <f>IFERROR(VLOOKUP(Tarifold[[#This Row],[Código]],Venda_3meses[],2,FALSE),0)</f>
        <v>0</v>
      </c>
      <c r="W14" s="44">
        <f>IFERROR(Tarifold[[#This Row],[V. 3 meses]]/Tarifold[[#This Row],[Proj. de V. 3 meses]],"")</f>
        <v>0</v>
      </c>
      <c r="X1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4</v>
      </c>
      <c r="Y14" s="39">
        <f>IFERROR(VLOOKUP(Tarifold[[#This Row],[Código]],Venda_12meses[],2,FALSE),0)</f>
        <v>0</v>
      </c>
      <c r="Z14" s="44">
        <f>IFERROR(Tarifold[[#This Row],[V. 12 meses]]/Tarifold[[#This Row],[Proj. de V. 12 meses]],"")</f>
        <v>0</v>
      </c>
      <c r="AA14" s="22"/>
    </row>
    <row r="15" spans="1:27" x14ac:dyDescent="0.25">
      <c r="A15" s="22" t="str">
        <f>VLOOKUP(Tarifold[[#This Row],[Código]],BD_Produto[#All],7,FALSE)</f>
        <v>Fora de Linha</v>
      </c>
      <c r="B1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5" s="23">
        <v>33070754060</v>
      </c>
      <c r="D15" s="22" t="s">
        <v>901</v>
      </c>
      <c r="E15" s="22" t="s">
        <v>2676</v>
      </c>
      <c r="F15" s="22" t="s">
        <v>2676</v>
      </c>
      <c r="G15" s="24"/>
      <c r="H15" s="25"/>
      <c r="I15" s="22"/>
      <c r="J15" s="24"/>
      <c r="K15" s="24" t="str">
        <f>IFERROR(VLOOKUP(Tarifold[[#This Row],[Código]],Importação!P:R,3,FALSE),"")</f>
        <v/>
      </c>
      <c r="L15" s="24">
        <f>IFERROR(VLOOKUP(Tarifold[[#This Row],[Código]],Saldo[],3,FALSE),0)</f>
        <v>7</v>
      </c>
      <c r="M15" s="24">
        <f>SUM(Tarifold[[#This Row],[Produção]:[Estoque]])</f>
        <v>7</v>
      </c>
      <c r="N15" s="24" t="str">
        <f>IFERROR(Tarifold[[#This Row],[Estoque+Importação]]/Tarifold[[#This Row],[Proj. de V. No prox. mes]],"Sem Projeção")</f>
        <v>Sem Projeção</v>
      </c>
      <c r="O15" s="24" t="str">
        <f>IF(OR(Tarifold[[#This Row],[Status]]="Em Linha",Tarifold[[#This Row],[Status]]="Componente",Tarifold[[#This Row],[Status]]="Materia Prima"),Tarifold[[#This Row],[Proj. de V. No prox. mes]]*10,"-")</f>
        <v>-</v>
      </c>
      <c r="P1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5" s="83">
        <f>VLOOKUP(Tarifold[[#This Row],[Código]],Projeção[#All],15,FALSE)</f>
        <v>0</v>
      </c>
      <c r="R15" s="43">
        <f>VLOOKUP(Tarifold[[#This Row],[Código]],Projeção[#All],14,FALSE)</f>
        <v>0</v>
      </c>
      <c r="S15" s="39">
        <f>IFERROR(VLOOKUP(Tarifold[[#This Row],[Código]],Venda_mes[],2,FALSE),0)</f>
        <v>0</v>
      </c>
      <c r="T15" s="44" t="str">
        <f>IFERROR(Tarifold[[#This Row],[V. No mes]]/Tarifold[[#This Row],[Proj. de V. No mes]],"")</f>
        <v/>
      </c>
      <c r="U15" s="43">
        <f>VLOOKUP(Tarifold[[#This Row],[Código]],Projeção[#All],14,FALSE)+VLOOKUP(Tarifold[[#This Row],[Código]],Projeção[#All],13,FALSE)+VLOOKUP(Tarifold[[#This Row],[Código]],Projeção[#All],12,FALSE)</f>
        <v>0</v>
      </c>
      <c r="V15" s="39">
        <f>IFERROR(VLOOKUP(Tarifold[[#This Row],[Código]],Venda_3meses[],2,FALSE),0)</f>
        <v>0</v>
      </c>
      <c r="W15" s="44" t="str">
        <f>IFERROR(Tarifold[[#This Row],[V. 3 meses]]/Tarifold[[#This Row],[Proj. de V. 3 meses]],"")</f>
        <v/>
      </c>
      <c r="X1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0.79999999999999993</v>
      </c>
      <c r="Y15" s="39">
        <f>IFERROR(VLOOKUP(Tarifold[[#This Row],[Código]],Venda_12meses[],2,FALSE),0)</f>
        <v>0</v>
      </c>
      <c r="Z15" s="44">
        <f>IFERROR(Tarifold[[#This Row],[V. 12 meses]]/Tarifold[[#This Row],[Proj. de V. 12 meses]],"")</f>
        <v>0</v>
      </c>
      <c r="AA15" s="22"/>
    </row>
    <row r="16" spans="1:27" x14ac:dyDescent="0.25">
      <c r="A16" s="22" t="str">
        <f>VLOOKUP(Tarifold[[#This Row],[Código]],BD_Produto[#All],7,FALSE)</f>
        <v>Fora de Linha</v>
      </c>
      <c r="B1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6" s="23">
        <v>33070754127</v>
      </c>
      <c r="D16" s="22" t="s">
        <v>902</v>
      </c>
      <c r="E16" s="22" t="s">
        <v>2676</v>
      </c>
      <c r="F16" s="22" t="s">
        <v>2676</v>
      </c>
      <c r="G16" s="24"/>
      <c r="H16" s="25"/>
      <c r="I16" s="22"/>
      <c r="J16" s="24"/>
      <c r="K16" s="24" t="str">
        <f>IFERROR(VLOOKUP(Tarifold[[#This Row],[Código]],Importação!P:R,3,FALSE),"")</f>
        <v/>
      </c>
      <c r="L16" s="24">
        <f>IFERROR(VLOOKUP(Tarifold[[#This Row],[Código]],Saldo[],3,FALSE),0)</f>
        <v>33</v>
      </c>
      <c r="M16" s="24">
        <f>SUM(Tarifold[[#This Row],[Produção]:[Estoque]])</f>
        <v>33</v>
      </c>
      <c r="N16" s="24" t="str">
        <f>IFERROR(Tarifold[[#This Row],[Estoque+Importação]]/Tarifold[[#This Row],[Proj. de V. No prox. mes]],"Sem Projeção")</f>
        <v>Sem Projeção</v>
      </c>
      <c r="O16" s="24" t="str">
        <f>IF(OR(Tarifold[[#This Row],[Status]]="Em Linha",Tarifold[[#This Row],[Status]]="Componente",Tarifold[[#This Row],[Status]]="Materia Prima"),Tarifold[[#This Row],[Proj. de V. No prox. mes]]*10,"-")</f>
        <v>-</v>
      </c>
      <c r="P1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6" s="75">
        <f>VLOOKUP(Tarifold[[#This Row],[Código]],Projeção[#All],15,FALSE)</f>
        <v>0</v>
      </c>
      <c r="R16" s="39">
        <f>VLOOKUP(Tarifold[[#This Row],[Código]],Projeção[#All],14,FALSE)</f>
        <v>0</v>
      </c>
      <c r="S16" s="39">
        <f>IFERROR(VLOOKUP(Tarifold[[#This Row],[Código]],Venda_mes[],2,FALSE),0)</f>
        <v>0</v>
      </c>
      <c r="T16" s="44" t="str">
        <f>IFERROR(Tarifold[[#This Row],[V. No mes]]/Tarifold[[#This Row],[Proj. de V. No mes]],"")</f>
        <v/>
      </c>
      <c r="U16" s="43">
        <f>VLOOKUP(Tarifold[[#This Row],[Código]],Projeção[#All],14,FALSE)+VLOOKUP(Tarifold[[#This Row],[Código]],Projeção[#All],13,FALSE)+VLOOKUP(Tarifold[[#This Row],[Código]],Projeção[#All],12,FALSE)</f>
        <v>0</v>
      </c>
      <c r="V16" s="39">
        <f>IFERROR(VLOOKUP(Tarifold[[#This Row],[Código]],Venda_3meses[],2,FALSE),0)</f>
        <v>0</v>
      </c>
      <c r="W16" s="44" t="str">
        <f>IFERROR(Tarifold[[#This Row],[V. 3 meses]]/Tarifold[[#This Row],[Proj. de V. 3 meses]],"")</f>
        <v/>
      </c>
      <c r="X1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0.53333333333333333</v>
      </c>
      <c r="Y16" s="39">
        <f>IFERROR(VLOOKUP(Tarifold[[#This Row],[Código]],Venda_12meses[],2,FALSE),0)</f>
        <v>0</v>
      </c>
      <c r="Z16" s="44">
        <f>IFERROR(Tarifold[[#This Row],[V. 12 meses]]/Tarifold[[#This Row],[Proj. de V. 12 meses]],"")</f>
        <v>0</v>
      </c>
      <c r="AA16" s="22"/>
    </row>
    <row r="17" spans="1:27" x14ac:dyDescent="0.25">
      <c r="A17" s="22" t="str">
        <f>VLOOKUP(Tarifold[[#This Row],[Código]],BD_Produto[#All],7,FALSE)</f>
        <v>Fora de Linha</v>
      </c>
      <c r="B17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7" s="23">
        <v>33070754096</v>
      </c>
      <c r="D17" s="22" t="s">
        <v>1105</v>
      </c>
      <c r="E17" s="22" t="s">
        <v>2676</v>
      </c>
      <c r="F17" s="22" t="s">
        <v>2676</v>
      </c>
      <c r="G17" s="24"/>
      <c r="H17" s="25"/>
      <c r="I17" s="22"/>
      <c r="J17" s="24"/>
      <c r="K17" s="24" t="str">
        <f>IFERROR(VLOOKUP(Tarifold[[#This Row],[Código]],Importação!P:R,3,FALSE),"")</f>
        <v/>
      </c>
      <c r="L17" s="24">
        <f>IFERROR(VLOOKUP(Tarifold[[#This Row],[Código]],Saldo[],3,FALSE),0)</f>
        <v>0</v>
      </c>
      <c r="M17" s="24">
        <f>SUM(Tarifold[[#This Row],[Produção]:[Estoque]])</f>
        <v>0</v>
      </c>
      <c r="N17" s="24" t="str">
        <f>IFERROR(Tarifold[[#This Row],[Estoque+Importação]]/Tarifold[[#This Row],[Proj. de V. No prox. mes]],"Sem Projeção")</f>
        <v>Sem Projeção</v>
      </c>
      <c r="O17" s="24" t="str">
        <f>IF(OR(Tarifold[[#This Row],[Status]]="Em Linha",Tarifold[[#This Row],[Status]]="Componente",Tarifold[[#This Row],[Status]]="Materia Prima"),Tarifold[[#This Row],[Proj. de V. No prox. mes]]*10,"-")</f>
        <v>-</v>
      </c>
      <c r="P1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7" s="75">
        <f>VLOOKUP(Tarifold[[#This Row],[Código]],Projeção[#All],15,FALSE)</f>
        <v>0</v>
      </c>
      <c r="R17" s="39">
        <f>VLOOKUP(Tarifold[[#This Row],[Código]],Projeção[#All],14,FALSE)</f>
        <v>0</v>
      </c>
      <c r="S17" s="39">
        <f>IFERROR(VLOOKUP(Tarifold[[#This Row],[Código]],Venda_mes[],2,FALSE),0)</f>
        <v>0</v>
      </c>
      <c r="T17" s="44" t="str">
        <f>IFERROR(Tarifold[[#This Row],[V. No mes]]/Tarifold[[#This Row],[Proj. de V. No mes]],"")</f>
        <v/>
      </c>
      <c r="U17" s="43">
        <f>VLOOKUP(Tarifold[[#This Row],[Código]],Projeção[#All],14,FALSE)+VLOOKUP(Tarifold[[#This Row],[Código]],Projeção[#All],13,FALSE)+VLOOKUP(Tarifold[[#This Row],[Código]],Projeção[#All],12,FALSE)</f>
        <v>0</v>
      </c>
      <c r="V17" s="39">
        <f>IFERROR(VLOOKUP(Tarifold[[#This Row],[Código]],Venda_3meses[],2,FALSE),0)</f>
        <v>0</v>
      </c>
      <c r="W17" s="44" t="str">
        <f>IFERROR(Tarifold[[#This Row],[V. 3 meses]]/Tarifold[[#This Row],[Proj. de V. 3 meses]],"")</f>
        <v/>
      </c>
      <c r="X1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0.33333333333333331</v>
      </c>
      <c r="Y17" s="39">
        <f>IFERROR(VLOOKUP(Tarifold[[#This Row],[Código]],Venda_12meses[],2,FALSE),0)</f>
        <v>0</v>
      </c>
      <c r="Z17" s="44">
        <f>IFERROR(Tarifold[[#This Row],[V. 12 meses]]/Tarifold[[#This Row],[Proj. de V. 12 meses]],"")</f>
        <v>0</v>
      </c>
      <c r="AA17" s="22"/>
    </row>
    <row r="18" spans="1:27" x14ac:dyDescent="0.25">
      <c r="A18" s="22" t="str">
        <f>VLOOKUP(Tarifold[[#This Row],[Código]],BD_Produto[#All],7,FALSE)</f>
        <v>Fora de Linha</v>
      </c>
      <c r="B1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8" s="23">
        <v>33070754074</v>
      </c>
      <c r="D18" s="22" t="s">
        <v>1211</v>
      </c>
      <c r="E18" s="22" t="s">
        <v>2676</v>
      </c>
      <c r="F18" s="22" t="s">
        <v>2676</v>
      </c>
      <c r="G18" s="24"/>
      <c r="H18" s="25"/>
      <c r="I18" s="22"/>
      <c r="J18" s="24"/>
      <c r="K18" s="24" t="str">
        <f>IFERROR(VLOOKUP(Tarifold[[#This Row],[Código]],Importação!P:R,3,FALSE),"")</f>
        <v/>
      </c>
      <c r="L18" s="24">
        <f>IFERROR(VLOOKUP(Tarifold[[#This Row],[Código]],Saldo[],3,FALSE),0)</f>
        <v>269</v>
      </c>
      <c r="M18" s="24">
        <f>SUM(Tarifold[[#This Row],[Produção]:[Estoque]])</f>
        <v>269</v>
      </c>
      <c r="N18" s="24" t="str">
        <f>IFERROR(Tarifold[[#This Row],[Estoque+Importação]]/Tarifold[[#This Row],[Proj. de V. No prox. mes]],"Sem Projeção")</f>
        <v>Sem Projeção</v>
      </c>
      <c r="O18" s="24" t="str">
        <f>IF(OR(Tarifold[[#This Row],[Status]]="Em Linha",Tarifold[[#This Row],[Status]]="Componente",Tarifold[[#This Row],[Status]]="Materia Prima"),Tarifold[[#This Row],[Proj. de V. No prox. mes]]*10,"-")</f>
        <v>-</v>
      </c>
      <c r="P1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8" s="75">
        <f>VLOOKUP(Tarifold[[#This Row],[Código]],Projeção[#All],15,FALSE)</f>
        <v>0</v>
      </c>
      <c r="R18" s="39">
        <f>VLOOKUP(Tarifold[[#This Row],[Código]],Projeção[#All],14,FALSE)</f>
        <v>0</v>
      </c>
      <c r="S18" s="39">
        <f>IFERROR(VLOOKUP(Tarifold[[#This Row],[Código]],Venda_mes[],2,FALSE),0)</f>
        <v>0</v>
      </c>
      <c r="T18" s="44" t="str">
        <f>IFERROR(Tarifold[[#This Row],[V. No mes]]/Tarifold[[#This Row],[Proj. de V. No mes]],"")</f>
        <v/>
      </c>
      <c r="U18" s="43">
        <f>VLOOKUP(Tarifold[[#This Row],[Código]],Projeção[#All],14,FALSE)+VLOOKUP(Tarifold[[#This Row],[Código]],Projeção[#All],13,FALSE)+VLOOKUP(Tarifold[[#This Row],[Código]],Projeção[#All],12,FALSE)</f>
        <v>0</v>
      </c>
      <c r="V18" s="39">
        <f>IFERROR(VLOOKUP(Tarifold[[#This Row],[Código]],Venda_3meses[],2,FALSE),0)</f>
        <v>0</v>
      </c>
      <c r="W18" s="44" t="str">
        <f>IFERROR(Tarifold[[#This Row],[V. 3 meses]]/Tarifold[[#This Row],[Proj. de V. 3 meses]],"")</f>
        <v/>
      </c>
      <c r="X1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5.4666666666666668</v>
      </c>
      <c r="Y18" s="39">
        <f>IFERROR(VLOOKUP(Tarifold[[#This Row],[Código]],Venda_12meses[],2,FALSE),0)</f>
        <v>0</v>
      </c>
      <c r="Z18" s="44">
        <f>IFERROR(Tarifold[[#This Row],[V. 12 meses]]/Tarifold[[#This Row],[Proj. de V. 12 meses]],"")</f>
        <v>0</v>
      </c>
      <c r="AA18" s="22"/>
    </row>
    <row r="19" spans="1:27" x14ac:dyDescent="0.25">
      <c r="A19" s="22" t="str">
        <f>VLOOKUP(Tarifold[[#This Row],[Código]],BD_Produto[#All],7,FALSE)</f>
        <v>Fora de Linha</v>
      </c>
      <c r="B19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9" s="23">
        <v>33070754079</v>
      </c>
      <c r="D19" s="22" t="s">
        <v>1258</v>
      </c>
      <c r="E19" s="22" t="s">
        <v>2676</v>
      </c>
      <c r="F19" s="22" t="s">
        <v>2676</v>
      </c>
      <c r="G19" s="24"/>
      <c r="H19" s="25"/>
      <c r="I19" s="22"/>
      <c r="J19" s="24"/>
      <c r="K19" s="24" t="str">
        <f>IFERROR(VLOOKUP(Tarifold[[#This Row],[Código]],Importação!P:R,3,FALSE),"")</f>
        <v/>
      </c>
      <c r="L19" s="24">
        <f>IFERROR(VLOOKUP(Tarifold[[#This Row],[Código]],Saldo[],3,FALSE),0)</f>
        <v>0</v>
      </c>
      <c r="M19" s="24">
        <f>SUM(Tarifold[[#This Row],[Produção]:[Estoque]])</f>
        <v>0</v>
      </c>
      <c r="N19" s="24" t="str">
        <f>IFERROR(Tarifold[[#This Row],[Estoque+Importação]]/Tarifold[[#This Row],[Proj. de V. No prox. mes]],"Sem Projeção")</f>
        <v>Sem Projeção</v>
      </c>
      <c r="O19" s="24" t="str">
        <f>IF(OR(Tarifold[[#This Row],[Status]]="Em Linha",Tarifold[[#This Row],[Status]]="Componente",Tarifold[[#This Row],[Status]]="Materia Prima"),Tarifold[[#This Row],[Proj. de V. No prox. mes]]*10,"-")</f>
        <v>-</v>
      </c>
      <c r="P1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9" s="75">
        <f>VLOOKUP(Tarifold[[#This Row],[Código]],Projeção[#All],15,FALSE)</f>
        <v>0</v>
      </c>
      <c r="R19" s="39">
        <f>VLOOKUP(Tarifold[[#This Row],[Código]],Projeção[#All],14,FALSE)</f>
        <v>0</v>
      </c>
      <c r="S19" s="39">
        <f>IFERROR(VLOOKUP(Tarifold[[#This Row],[Código]],Venda_mes[],2,FALSE),0)</f>
        <v>0</v>
      </c>
      <c r="T19" s="44" t="str">
        <f>IFERROR(Tarifold[[#This Row],[V. No mes]]/Tarifold[[#This Row],[Proj. de V. No mes]],"")</f>
        <v/>
      </c>
      <c r="U19" s="43">
        <f>VLOOKUP(Tarifold[[#This Row],[Código]],Projeção[#All],14,FALSE)+VLOOKUP(Tarifold[[#This Row],[Código]],Projeção[#All],13,FALSE)+VLOOKUP(Tarifold[[#This Row],[Código]],Projeção[#All],12,FALSE)</f>
        <v>0</v>
      </c>
      <c r="V19" s="39">
        <f>IFERROR(VLOOKUP(Tarifold[[#This Row],[Código]],Venda_3meses[],2,FALSE),0)</f>
        <v>0</v>
      </c>
      <c r="W19" s="44" t="str">
        <f>IFERROR(Tarifold[[#This Row],[V. 3 meses]]/Tarifold[[#This Row],[Proj. de V. 3 meses]],"")</f>
        <v/>
      </c>
      <c r="X1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9" s="39">
        <f>IFERROR(VLOOKUP(Tarifold[[#This Row],[Código]],Venda_12meses[],2,FALSE),0)</f>
        <v>0</v>
      </c>
      <c r="Z19" s="44" t="str">
        <f>IFERROR(Tarifold[[#This Row],[V. 12 meses]]/Tarifold[[#This Row],[Proj. de V. 12 meses]],"")</f>
        <v/>
      </c>
      <c r="AA19" s="22"/>
    </row>
    <row r="20" spans="1:27" x14ac:dyDescent="0.25">
      <c r="A20" s="22" t="str">
        <f>VLOOKUP(Tarifold[[#This Row],[Código]],BD_Produto[#All],7,FALSE)</f>
        <v>Fora de Linha</v>
      </c>
      <c r="B2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0" s="23">
        <v>33070754072</v>
      </c>
      <c r="D20" s="22" t="s">
        <v>736</v>
      </c>
      <c r="E20" s="22" t="s">
        <v>2676</v>
      </c>
      <c r="F20" s="22" t="s">
        <v>2676</v>
      </c>
      <c r="G20" s="24"/>
      <c r="H20" s="25"/>
      <c r="I20" s="22"/>
      <c r="J20" s="24"/>
      <c r="K20" s="24" t="str">
        <f>IFERROR(VLOOKUP(Tarifold[[#This Row],[Código]],Importação!P:R,3,FALSE),"")</f>
        <v/>
      </c>
      <c r="L20" s="24">
        <f>IFERROR(VLOOKUP(Tarifold[[#This Row],[Código]],Saldo[],3,FALSE),0)</f>
        <v>13</v>
      </c>
      <c r="M20" s="24">
        <f>SUM(Tarifold[[#This Row],[Produção]:[Estoque]])</f>
        <v>13</v>
      </c>
      <c r="N20" s="24" t="str">
        <f>IFERROR(Tarifold[[#This Row],[Estoque+Importação]]/Tarifold[[#This Row],[Proj. de V. No prox. mes]],"Sem Projeção")</f>
        <v>Sem Projeção</v>
      </c>
      <c r="O20" s="24" t="str">
        <f>IF(OR(Tarifold[[#This Row],[Status]]="Em Linha",Tarifold[[#This Row],[Status]]="Componente",Tarifold[[#This Row],[Status]]="Materia Prima"),Tarifold[[#This Row],[Proj. de V. No prox. mes]]*10,"-")</f>
        <v>-</v>
      </c>
      <c r="P2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0" s="83">
        <f>VLOOKUP(Tarifold[[#This Row],[Código]],Projeção[#All],15,FALSE)</f>
        <v>0</v>
      </c>
      <c r="R20" s="43">
        <f>VLOOKUP(Tarifold[[#This Row],[Código]],Projeção[#All],14,FALSE)</f>
        <v>0</v>
      </c>
      <c r="S20" s="39">
        <f>IFERROR(VLOOKUP(Tarifold[[#This Row],[Código]],Venda_mes[],2,FALSE),0)</f>
        <v>0</v>
      </c>
      <c r="T20" s="44" t="str">
        <f>IFERROR(Tarifold[[#This Row],[V. No mes]]/Tarifold[[#This Row],[Proj. de V. No mes]],"")</f>
        <v/>
      </c>
      <c r="U20" s="43">
        <f>VLOOKUP(Tarifold[[#This Row],[Código]],Projeção[#All],14,FALSE)+VLOOKUP(Tarifold[[#This Row],[Código]],Projeção[#All],13,FALSE)+VLOOKUP(Tarifold[[#This Row],[Código]],Projeção[#All],12,FALSE)</f>
        <v>0</v>
      </c>
      <c r="V20" s="39">
        <f>IFERROR(VLOOKUP(Tarifold[[#This Row],[Código]],Venda_3meses[],2,FALSE),0)</f>
        <v>0</v>
      </c>
      <c r="W20" s="44" t="str">
        <f>IFERROR(Tarifold[[#This Row],[V. 3 meses]]/Tarifold[[#This Row],[Proj. de V. 3 meses]],"")</f>
        <v/>
      </c>
      <c r="X2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0" s="39">
        <f>IFERROR(VLOOKUP(Tarifold[[#This Row],[Código]],Venda_12meses[],2,FALSE),0)</f>
        <v>0</v>
      </c>
      <c r="Z20" s="44" t="str">
        <f>IFERROR(Tarifold[[#This Row],[V. 12 meses]]/Tarifold[[#This Row],[Proj. de V. 12 meses]],"")</f>
        <v/>
      </c>
      <c r="AA20" s="22"/>
    </row>
    <row r="21" spans="1:27" x14ac:dyDescent="0.25">
      <c r="A21" s="22" t="str">
        <f>VLOOKUP(Tarifold[[#This Row],[Código]],BD_Produto[#All],7,FALSE)</f>
        <v>Fora de Linha</v>
      </c>
      <c r="B2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1" s="23">
        <v>33070754073</v>
      </c>
      <c r="D21" s="22" t="s">
        <v>737</v>
      </c>
      <c r="E21" s="22" t="s">
        <v>2676</v>
      </c>
      <c r="F21" s="22" t="s">
        <v>2676</v>
      </c>
      <c r="G21" s="24"/>
      <c r="H21" s="25"/>
      <c r="I21" s="22"/>
      <c r="J21" s="24"/>
      <c r="K21" s="24" t="str">
        <f>IFERROR(VLOOKUP(Tarifold[[#This Row],[Código]],Importação!P:R,3,FALSE),"")</f>
        <v/>
      </c>
      <c r="L21" s="24">
        <f>IFERROR(VLOOKUP(Tarifold[[#This Row],[Código]],Saldo[],3,FALSE),0)</f>
        <v>26</v>
      </c>
      <c r="M21" s="24">
        <f>SUM(Tarifold[[#This Row],[Produção]:[Estoque]])</f>
        <v>26</v>
      </c>
      <c r="N21" s="24" t="str">
        <f>IFERROR(Tarifold[[#This Row],[Estoque+Importação]]/Tarifold[[#This Row],[Proj. de V. No prox. mes]],"Sem Projeção")</f>
        <v>Sem Projeção</v>
      </c>
      <c r="O21" s="24" t="str">
        <f>IF(OR(Tarifold[[#This Row],[Status]]="Em Linha",Tarifold[[#This Row],[Status]]="Componente",Tarifold[[#This Row],[Status]]="Materia Prima"),Tarifold[[#This Row],[Proj. de V. No prox. mes]]*10,"-")</f>
        <v>-</v>
      </c>
      <c r="P2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1" s="75">
        <f>VLOOKUP(Tarifold[[#This Row],[Código]],Projeção[#All],15,FALSE)</f>
        <v>0</v>
      </c>
      <c r="R21" s="39">
        <f>VLOOKUP(Tarifold[[#This Row],[Código]],Projeção[#All],14,FALSE)</f>
        <v>0</v>
      </c>
      <c r="S21" s="39">
        <f>IFERROR(VLOOKUP(Tarifold[[#This Row],[Código]],Venda_mes[],2,FALSE),0)</f>
        <v>0</v>
      </c>
      <c r="T21" s="44" t="str">
        <f>IFERROR(Tarifold[[#This Row],[V. No mes]]/Tarifold[[#This Row],[Proj. de V. No mes]],"")</f>
        <v/>
      </c>
      <c r="U21" s="43">
        <f>VLOOKUP(Tarifold[[#This Row],[Código]],Projeção[#All],14,FALSE)+VLOOKUP(Tarifold[[#This Row],[Código]],Projeção[#All],13,FALSE)+VLOOKUP(Tarifold[[#This Row],[Código]],Projeção[#All],12,FALSE)</f>
        <v>0</v>
      </c>
      <c r="V21" s="39">
        <f>IFERROR(VLOOKUP(Tarifold[[#This Row],[Código]],Venda_3meses[],2,FALSE),0)</f>
        <v>0</v>
      </c>
      <c r="W21" s="44" t="str">
        <f>IFERROR(Tarifold[[#This Row],[V. 3 meses]]/Tarifold[[#This Row],[Proj. de V. 3 meses]],"")</f>
        <v/>
      </c>
      <c r="X2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1" s="39">
        <f>IFERROR(VLOOKUP(Tarifold[[#This Row],[Código]],Venda_12meses[],2,FALSE),0)</f>
        <v>0</v>
      </c>
      <c r="Z21" s="44" t="str">
        <f>IFERROR(Tarifold[[#This Row],[V. 12 meses]]/Tarifold[[#This Row],[Proj. de V. 12 meses]],"")</f>
        <v/>
      </c>
      <c r="AA21" s="22"/>
    </row>
    <row r="22" spans="1:27" x14ac:dyDescent="0.25">
      <c r="A22" s="22" t="str">
        <f>VLOOKUP(Tarifold[[#This Row],[Código]],BD_Produto[#All],7,FALSE)</f>
        <v>Fora de Linha</v>
      </c>
      <c r="B2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2" s="23">
        <v>33070754076</v>
      </c>
      <c r="D22" s="22" t="s">
        <v>1076</v>
      </c>
      <c r="E22" s="22" t="s">
        <v>2676</v>
      </c>
      <c r="F22" s="22" t="s">
        <v>2676</v>
      </c>
      <c r="G22" s="24"/>
      <c r="H22" s="25"/>
      <c r="I22" s="22"/>
      <c r="J22" s="24"/>
      <c r="K22" s="24" t="str">
        <f>IFERROR(VLOOKUP(Tarifold[[#This Row],[Código]],Importação!P:R,3,FALSE),"")</f>
        <v/>
      </c>
      <c r="L22" s="24">
        <f>IFERROR(VLOOKUP(Tarifold[[#This Row],[Código]],Saldo[],3,FALSE),0)</f>
        <v>100</v>
      </c>
      <c r="M22" s="24">
        <f>SUM(Tarifold[[#This Row],[Produção]:[Estoque]])</f>
        <v>100</v>
      </c>
      <c r="N22" s="24" t="str">
        <f>IFERROR(Tarifold[[#This Row],[Estoque+Importação]]/Tarifold[[#This Row],[Proj. de V. No prox. mes]],"Sem Projeção")</f>
        <v>Sem Projeção</v>
      </c>
      <c r="O22" s="24" t="str">
        <f>IF(OR(Tarifold[[#This Row],[Status]]="Em Linha",Tarifold[[#This Row],[Status]]="Componente",Tarifold[[#This Row],[Status]]="Materia Prima"),Tarifold[[#This Row],[Proj. de V. No prox. mes]]*10,"-")</f>
        <v>-</v>
      </c>
      <c r="P2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2" s="75">
        <f>VLOOKUP(Tarifold[[#This Row],[Código]],Projeção[#All],15,FALSE)</f>
        <v>0</v>
      </c>
      <c r="R22" s="39">
        <f>VLOOKUP(Tarifold[[#This Row],[Código]],Projeção[#All],14,FALSE)</f>
        <v>0</v>
      </c>
      <c r="S22" s="39">
        <f>IFERROR(VLOOKUP(Tarifold[[#This Row],[Código]],Venda_mes[],2,FALSE),0)</f>
        <v>0</v>
      </c>
      <c r="T22" s="44" t="str">
        <f>IFERROR(Tarifold[[#This Row],[V. No mes]]/Tarifold[[#This Row],[Proj. de V. No mes]],"")</f>
        <v/>
      </c>
      <c r="U22" s="43">
        <f>VLOOKUP(Tarifold[[#This Row],[Código]],Projeção[#All],14,FALSE)+VLOOKUP(Tarifold[[#This Row],[Código]],Projeção[#All],13,FALSE)+VLOOKUP(Tarifold[[#This Row],[Código]],Projeção[#All],12,FALSE)</f>
        <v>0</v>
      </c>
      <c r="V22" s="39">
        <f>IFERROR(VLOOKUP(Tarifold[[#This Row],[Código]],Venda_3meses[],2,FALSE),0)</f>
        <v>0</v>
      </c>
      <c r="W22" s="44" t="str">
        <f>IFERROR(Tarifold[[#This Row],[V. 3 meses]]/Tarifold[[#This Row],[Proj. de V. 3 meses]],"")</f>
        <v/>
      </c>
      <c r="X2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2" s="39">
        <f>IFERROR(VLOOKUP(Tarifold[[#This Row],[Código]],Venda_12meses[],2,FALSE),0)</f>
        <v>0</v>
      </c>
      <c r="Z22" s="44" t="str">
        <f>IFERROR(Tarifold[[#This Row],[V. 12 meses]]/Tarifold[[#This Row],[Proj. de V. 12 meses]],"")</f>
        <v/>
      </c>
      <c r="AA22" s="22"/>
    </row>
    <row r="23" spans="1:27" x14ac:dyDescent="0.25">
      <c r="A23" s="22" t="str">
        <f>VLOOKUP(Tarifold[[#This Row],[Código]],BD_Produto[#All],7,FALSE)</f>
        <v>Fora de Linha</v>
      </c>
      <c r="B2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3" s="23">
        <v>33070754057</v>
      </c>
      <c r="D23" s="22" t="s">
        <v>1259</v>
      </c>
      <c r="E23" s="22" t="s">
        <v>1724</v>
      </c>
      <c r="F23" s="22" t="s">
        <v>1724</v>
      </c>
      <c r="G23" s="24"/>
      <c r="H23" s="25"/>
      <c r="I23" s="22"/>
      <c r="J23" s="24"/>
      <c r="K23" s="24" t="str">
        <f>IFERROR(VLOOKUP(Tarifold[[#This Row],[Código]],Importação!P:R,3,FALSE),"")</f>
        <v/>
      </c>
      <c r="L23" s="24">
        <f>IFERROR(VLOOKUP(Tarifold[[#This Row],[Código]],Saldo[],3,FALSE),0)</f>
        <v>148</v>
      </c>
      <c r="M23" s="24">
        <f>SUM(Tarifold[[#This Row],[Produção]:[Estoque]])</f>
        <v>148</v>
      </c>
      <c r="N23" s="24" t="str">
        <f>IFERROR(Tarifold[[#This Row],[Estoque+Importação]]/Tarifold[[#This Row],[Proj. de V. No prox. mes]],"Sem Projeção")</f>
        <v>Sem Projeção</v>
      </c>
      <c r="O23" s="24" t="str">
        <f>IF(OR(Tarifold[[#This Row],[Status]]="Em Linha",Tarifold[[#This Row],[Status]]="Componente",Tarifold[[#This Row],[Status]]="Materia Prima"),Tarifold[[#This Row],[Proj. de V. No prox. mes]]*10,"-")</f>
        <v>-</v>
      </c>
      <c r="P2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3" s="75">
        <f>VLOOKUP(Tarifold[[#This Row],[Código]],Projeção[#All],15,FALSE)</f>
        <v>0</v>
      </c>
      <c r="R23" s="39">
        <f>VLOOKUP(Tarifold[[#This Row],[Código]],Projeção[#All],14,FALSE)</f>
        <v>0</v>
      </c>
      <c r="S23" s="39">
        <f>IFERROR(VLOOKUP(Tarifold[[#This Row],[Código]],Venda_mes[],2,FALSE),0)</f>
        <v>0</v>
      </c>
      <c r="T23" s="44" t="str">
        <f>IFERROR(Tarifold[[#This Row],[V. No mes]]/Tarifold[[#This Row],[Proj. de V. No mes]],"")</f>
        <v/>
      </c>
      <c r="U23" s="43">
        <f>VLOOKUP(Tarifold[[#This Row],[Código]],Projeção[#All],14,FALSE)+VLOOKUP(Tarifold[[#This Row],[Código]],Projeção[#All],13,FALSE)+VLOOKUP(Tarifold[[#This Row],[Código]],Projeção[#All],12,FALSE)</f>
        <v>0</v>
      </c>
      <c r="V23" s="39">
        <f>IFERROR(VLOOKUP(Tarifold[[#This Row],[Código]],Venda_3meses[],2,FALSE),0)</f>
        <v>0</v>
      </c>
      <c r="W23" s="44" t="str">
        <f>IFERROR(Tarifold[[#This Row],[V. 3 meses]]/Tarifold[[#This Row],[Proj. de V. 3 meses]],"")</f>
        <v/>
      </c>
      <c r="X2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3" s="39">
        <f>IFERROR(VLOOKUP(Tarifold[[#This Row],[Código]],Venda_12meses[],2,FALSE),0)</f>
        <v>0</v>
      </c>
      <c r="Z23" s="44" t="str">
        <f>IFERROR(Tarifold[[#This Row],[V. 12 meses]]/Tarifold[[#This Row],[Proj. de V. 12 meses]],"")</f>
        <v/>
      </c>
      <c r="AA23" s="22"/>
    </row>
    <row r="24" spans="1:27" x14ac:dyDescent="0.25">
      <c r="A24" s="22" t="str">
        <f>VLOOKUP(Tarifold[[#This Row],[Código]],BD_Produto[#All],7,FALSE)</f>
        <v>Fora de Linha</v>
      </c>
      <c r="B2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4" s="23">
        <v>33070754104</v>
      </c>
      <c r="D24" s="22" t="s">
        <v>1260</v>
      </c>
      <c r="E24" s="22" t="s">
        <v>2676</v>
      </c>
      <c r="F24" s="22" t="s">
        <v>2676</v>
      </c>
      <c r="G24" s="24"/>
      <c r="H24" s="25"/>
      <c r="I24" s="22"/>
      <c r="J24" s="24"/>
      <c r="K24" s="24" t="str">
        <f>IFERROR(VLOOKUP(Tarifold[[#This Row],[Código]],Importação!P:R,3,FALSE),"")</f>
        <v/>
      </c>
      <c r="L24" s="24">
        <f>IFERROR(VLOOKUP(Tarifold[[#This Row],[Código]],Saldo[],3,FALSE),0)</f>
        <v>4</v>
      </c>
      <c r="M24" s="24">
        <f>SUM(Tarifold[[#This Row],[Produção]:[Estoque]])</f>
        <v>4</v>
      </c>
      <c r="N24" s="24" t="str">
        <f>IFERROR(Tarifold[[#This Row],[Estoque+Importação]]/Tarifold[[#This Row],[Proj. de V. No prox. mes]],"Sem Projeção")</f>
        <v>Sem Projeção</v>
      </c>
      <c r="O24" s="24" t="str">
        <f>IF(OR(Tarifold[[#This Row],[Status]]="Em Linha",Tarifold[[#This Row],[Status]]="Componente",Tarifold[[#This Row],[Status]]="Materia Prima"),Tarifold[[#This Row],[Proj. de V. No prox. mes]]*10,"-")</f>
        <v>-</v>
      </c>
      <c r="P2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4" s="83">
        <f>VLOOKUP(Tarifold[[#This Row],[Código]],Projeção[#All],15,FALSE)</f>
        <v>0</v>
      </c>
      <c r="R24" s="43">
        <f>VLOOKUP(Tarifold[[#This Row],[Código]],Projeção[#All],14,FALSE)</f>
        <v>0</v>
      </c>
      <c r="S24" s="39">
        <f>IFERROR(VLOOKUP(Tarifold[[#This Row],[Código]],Venda_mes[],2,FALSE),0)</f>
        <v>0</v>
      </c>
      <c r="T24" s="44" t="str">
        <f>IFERROR(Tarifold[[#This Row],[V. No mes]]/Tarifold[[#This Row],[Proj. de V. No mes]],"")</f>
        <v/>
      </c>
      <c r="U24" s="43">
        <f>VLOOKUP(Tarifold[[#This Row],[Código]],Projeção[#All],14,FALSE)+VLOOKUP(Tarifold[[#This Row],[Código]],Projeção[#All],13,FALSE)+VLOOKUP(Tarifold[[#This Row],[Código]],Projeção[#All],12,FALSE)</f>
        <v>0</v>
      </c>
      <c r="V24" s="39">
        <f>IFERROR(VLOOKUP(Tarifold[[#This Row],[Código]],Venda_3meses[],2,FALSE),0)</f>
        <v>0</v>
      </c>
      <c r="W24" s="44" t="str">
        <f>IFERROR(Tarifold[[#This Row],[V. 3 meses]]/Tarifold[[#This Row],[Proj. de V. 3 meses]],"")</f>
        <v/>
      </c>
      <c r="X2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4" s="39">
        <f>IFERROR(VLOOKUP(Tarifold[[#This Row],[Código]],Venda_12meses[],2,FALSE),0)</f>
        <v>0</v>
      </c>
      <c r="Z24" s="44" t="str">
        <f>IFERROR(Tarifold[[#This Row],[V. 12 meses]]/Tarifold[[#This Row],[Proj. de V. 12 meses]],"")</f>
        <v/>
      </c>
      <c r="AA24" s="22"/>
    </row>
    <row r="25" spans="1:27" x14ac:dyDescent="0.25">
      <c r="A25" s="22" t="str">
        <f>VLOOKUP(Tarifold[[#This Row],[Código]],BD_Produto[#All],7,FALSE)</f>
        <v>Fora de Linha</v>
      </c>
      <c r="B2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5" s="23">
        <v>33070754078</v>
      </c>
      <c r="D25" s="22" t="s">
        <v>1091</v>
      </c>
      <c r="E25" s="22" t="s">
        <v>2676</v>
      </c>
      <c r="F25" s="22" t="s">
        <v>2676</v>
      </c>
      <c r="G25" s="24"/>
      <c r="H25" s="25"/>
      <c r="I25" s="22"/>
      <c r="J25" s="24"/>
      <c r="K25" s="24" t="str">
        <f>IFERROR(VLOOKUP(Tarifold[[#This Row],[Código]],Importação!P:R,3,FALSE),"")</f>
        <v/>
      </c>
      <c r="L25" s="24">
        <f>IFERROR(VLOOKUP(Tarifold[[#This Row],[Código]],Saldo[],3,FALSE),0)</f>
        <v>3</v>
      </c>
      <c r="M25" s="24">
        <f>SUM(Tarifold[[#This Row],[Produção]:[Estoque]])</f>
        <v>3</v>
      </c>
      <c r="N25" s="24" t="str">
        <f>IFERROR(Tarifold[[#This Row],[Estoque+Importação]]/Tarifold[[#This Row],[Proj. de V. No prox. mes]],"Sem Projeção")</f>
        <v>Sem Projeção</v>
      </c>
      <c r="O25" s="24" t="str">
        <f>IF(OR(Tarifold[[#This Row],[Status]]="Em Linha",Tarifold[[#This Row],[Status]]="Componente",Tarifold[[#This Row],[Status]]="Materia Prima"),Tarifold[[#This Row],[Proj. de V. No prox. mes]]*10,"-")</f>
        <v>-</v>
      </c>
      <c r="P2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5" s="75">
        <f>VLOOKUP(Tarifold[[#This Row],[Código]],Projeção[#All],15,FALSE)</f>
        <v>0</v>
      </c>
      <c r="R25" s="39">
        <f>VLOOKUP(Tarifold[[#This Row],[Código]],Projeção[#All],14,FALSE)</f>
        <v>0</v>
      </c>
      <c r="S25" s="39">
        <f>IFERROR(VLOOKUP(Tarifold[[#This Row],[Código]],Venda_mes[],2,FALSE),0)</f>
        <v>0</v>
      </c>
      <c r="T25" s="44" t="str">
        <f>IFERROR(Tarifold[[#This Row],[V. No mes]]/Tarifold[[#This Row],[Proj. de V. No mes]],"")</f>
        <v/>
      </c>
      <c r="U25" s="43">
        <f>VLOOKUP(Tarifold[[#This Row],[Código]],Projeção[#All],14,FALSE)+VLOOKUP(Tarifold[[#This Row],[Código]],Projeção[#All],13,FALSE)+VLOOKUP(Tarifold[[#This Row],[Código]],Projeção[#All],12,FALSE)</f>
        <v>0</v>
      </c>
      <c r="V25" s="39">
        <f>IFERROR(VLOOKUP(Tarifold[[#This Row],[Código]],Venda_3meses[],2,FALSE),0)</f>
        <v>0</v>
      </c>
      <c r="W25" s="44" t="str">
        <f>IFERROR(Tarifold[[#This Row],[V. 3 meses]]/Tarifold[[#This Row],[Proj. de V. 3 meses]],"")</f>
        <v/>
      </c>
      <c r="X2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0.13333333333333333</v>
      </c>
      <c r="Y25" s="39">
        <f>IFERROR(VLOOKUP(Tarifold[[#This Row],[Código]],Venda_12meses[],2,FALSE),0)</f>
        <v>0</v>
      </c>
      <c r="Z25" s="44">
        <f>IFERROR(Tarifold[[#This Row],[V. 12 meses]]/Tarifold[[#This Row],[Proj. de V. 12 meses]],"")</f>
        <v>0</v>
      </c>
      <c r="AA25" s="22"/>
    </row>
    <row r="26" spans="1:27" x14ac:dyDescent="0.25">
      <c r="A26" s="22" t="str">
        <f>VLOOKUP(Tarifold[[#This Row],[Código]],BD_Produto[#All],7,FALSE)</f>
        <v>Fora de Linha</v>
      </c>
      <c r="B2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6" s="23">
        <v>33070754059</v>
      </c>
      <c r="D26" s="22" t="s">
        <v>1262</v>
      </c>
      <c r="E26" s="22" t="s">
        <v>1724</v>
      </c>
      <c r="F26" s="22" t="s">
        <v>1724</v>
      </c>
      <c r="G26" s="24"/>
      <c r="H26" s="25"/>
      <c r="I26" s="22"/>
      <c r="J26" s="24"/>
      <c r="K26" s="24" t="str">
        <f>IFERROR(VLOOKUP(Tarifold[[#This Row],[Código]],Importação!P:R,3,FALSE),"")</f>
        <v/>
      </c>
      <c r="L26" s="24">
        <f>IFERROR(VLOOKUP(Tarifold[[#This Row],[Código]],Saldo[],3,FALSE),0)</f>
        <v>11</v>
      </c>
      <c r="M26" s="24">
        <f>SUM(Tarifold[[#This Row],[Produção]:[Estoque]])</f>
        <v>11</v>
      </c>
      <c r="N26" s="24" t="str">
        <f>IFERROR(Tarifold[[#This Row],[Estoque+Importação]]/Tarifold[[#This Row],[Proj. de V. No prox. mes]],"Sem Projeção")</f>
        <v>Sem Projeção</v>
      </c>
      <c r="O26" s="24" t="str">
        <f>IF(OR(Tarifold[[#This Row],[Status]]="Em Linha",Tarifold[[#This Row],[Status]]="Componente",Tarifold[[#This Row],[Status]]="Materia Prima"),Tarifold[[#This Row],[Proj. de V. No prox. mes]]*10,"-")</f>
        <v>-</v>
      </c>
      <c r="P2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6" s="75">
        <f>VLOOKUP(Tarifold[[#This Row],[Código]],Projeção[#All],15,FALSE)</f>
        <v>0</v>
      </c>
      <c r="R26" s="39">
        <f>VLOOKUP(Tarifold[[#This Row],[Código]],Projeção[#All],14,FALSE)</f>
        <v>0</v>
      </c>
      <c r="S26" s="39">
        <f>IFERROR(VLOOKUP(Tarifold[[#This Row],[Código]],Venda_mes[],2,FALSE),0)</f>
        <v>0</v>
      </c>
      <c r="T26" s="44" t="str">
        <f>IFERROR(Tarifold[[#This Row],[V. No mes]]/Tarifold[[#This Row],[Proj. de V. No mes]],"")</f>
        <v/>
      </c>
      <c r="U26" s="43">
        <f>VLOOKUP(Tarifold[[#This Row],[Código]],Projeção[#All],14,FALSE)+VLOOKUP(Tarifold[[#This Row],[Código]],Projeção[#All],13,FALSE)+VLOOKUP(Tarifold[[#This Row],[Código]],Projeção[#All],12,FALSE)</f>
        <v>0</v>
      </c>
      <c r="V26" s="39">
        <f>IFERROR(VLOOKUP(Tarifold[[#This Row],[Código]],Venda_3meses[],2,FALSE),0)</f>
        <v>0</v>
      </c>
      <c r="W26" s="44" t="str">
        <f>IFERROR(Tarifold[[#This Row],[V. 3 meses]]/Tarifold[[#This Row],[Proj. de V. 3 meses]],"")</f>
        <v/>
      </c>
      <c r="X2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6" s="39">
        <f>IFERROR(VLOOKUP(Tarifold[[#This Row],[Código]],Venda_12meses[],2,FALSE),0)</f>
        <v>0</v>
      </c>
      <c r="Z26" s="44" t="str">
        <f>IFERROR(Tarifold[[#This Row],[V. 12 meses]]/Tarifold[[#This Row],[Proj. de V. 12 meses]],"")</f>
        <v/>
      </c>
      <c r="AA26" s="22"/>
    </row>
    <row r="27" spans="1:27" x14ac:dyDescent="0.25">
      <c r="A27" s="22" t="str">
        <f>VLOOKUP(Tarifold[[#This Row],[Código]],BD_Produto[#All],7,FALSE)</f>
        <v>Fora de Linha</v>
      </c>
      <c r="B2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7" s="23">
        <v>33070754122</v>
      </c>
      <c r="D27" s="22" t="s">
        <v>1263</v>
      </c>
      <c r="E27" s="22" t="s">
        <v>2676</v>
      </c>
      <c r="F27" s="22" t="s">
        <v>2676</v>
      </c>
      <c r="G27" s="24"/>
      <c r="H27" s="25"/>
      <c r="I27" s="22"/>
      <c r="J27" s="24"/>
      <c r="K27" s="24" t="str">
        <f>IFERROR(VLOOKUP(Tarifold[[#This Row],[Código]],Importação!P:R,3,FALSE),"")</f>
        <v/>
      </c>
      <c r="L27" s="24">
        <f>IFERROR(VLOOKUP(Tarifold[[#This Row],[Código]],Saldo[],3,FALSE),0)</f>
        <v>162</v>
      </c>
      <c r="M27" s="24">
        <f>SUM(Tarifold[[#This Row],[Produção]:[Estoque]])</f>
        <v>162</v>
      </c>
      <c r="N27" s="24" t="str">
        <f>IFERROR(Tarifold[[#This Row],[Estoque+Importação]]/Tarifold[[#This Row],[Proj. de V. No prox. mes]],"Sem Projeção")</f>
        <v>Sem Projeção</v>
      </c>
      <c r="O27" s="24" t="str">
        <f>IF(OR(Tarifold[[#This Row],[Status]]="Em Linha",Tarifold[[#This Row],[Status]]="Componente",Tarifold[[#This Row],[Status]]="Materia Prima"),Tarifold[[#This Row],[Proj. de V. No prox. mes]]*10,"-")</f>
        <v>-</v>
      </c>
      <c r="P2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7" s="75">
        <f>VLOOKUP(Tarifold[[#This Row],[Código]],Projeção[#All],15,FALSE)</f>
        <v>0</v>
      </c>
      <c r="R27" s="39">
        <f>VLOOKUP(Tarifold[[#This Row],[Código]],Projeção[#All],14,FALSE)</f>
        <v>0</v>
      </c>
      <c r="S27" s="39">
        <f>IFERROR(VLOOKUP(Tarifold[[#This Row],[Código]],Venda_mes[],2,FALSE),0)</f>
        <v>0</v>
      </c>
      <c r="T27" s="44" t="str">
        <f>IFERROR(Tarifold[[#This Row],[V. No mes]]/Tarifold[[#This Row],[Proj. de V. No mes]],"")</f>
        <v/>
      </c>
      <c r="U27" s="43">
        <f>VLOOKUP(Tarifold[[#This Row],[Código]],Projeção[#All],14,FALSE)+VLOOKUP(Tarifold[[#This Row],[Código]],Projeção[#All],13,FALSE)+VLOOKUP(Tarifold[[#This Row],[Código]],Projeção[#All],12,FALSE)</f>
        <v>0</v>
      </c>
      <c r="V27" s="39">
        <f>IFERROR(VLOOKUP(Tarifold[[#This Row],[Código]],Venda_3meses[],2,FALSE),0)</f>
        <v>0</v>
      </c>
      <c r="W27" s="44" t="str">
        <f>IFERROR(Tarifold[[#This Row],[V. 3 meses]]/Tarifold[[#This Row],[Proj. de V. 3 meses]],"")</f>
        <v/>
      </c>
      <c r="X2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7" s="39">
        <f>IFERROR(VLOOKUP(Tarifold[[#This Row],[Código]],Venda_12meses[],2,FALSE),0)</f>
        <v>0</v>
      </c>
      <c r="Z27" s="44" t="str">
        <f>IFERROR(Tarifold[[#This Row],[V. 12 meses]]/Tarifold[[#This Row],[Proj. de V. 12 meses]],"")</f>
        <v/>
      </c>
      <c r="AA27" s="22"/>
    </row>
    <row r="28" spans="1:27" x14ac:dyDescent="0.25">
      <c r="A28" s="22" t="str">
        <f>VLOOKUP(Tarifold[[#This Row],[Código]],BD_Produto[#All],7,FALSE)</f>
        <v>Fora de Linha</v>
      </c>
      <c r="B2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8" s="23">
        <v>33070754115</v>
      </c>
      <c r="D28" s="22" t="s">
        <v>1264</v>
      </c>
      <c r="E28" s="22" t="s">
        <v>2676</v>
      </c>
      <c r="F28" s="22" t="s">
        <v>2676</v>
      </c>
      <c r="G28" s="24"/>
      <c r="H28" s="25"/>
      <c r="I28" s="22"/>
      <c r="J28" s="24"/>
      <c r="K28" s="24" t="str">
        <f>IFERROR(VLOOKUP(Tarifold[[#This Row],[Código]],Importação!P:R,3,FALSE),"")</f>
        <v/>
      </c>
      <c r="L28" s="24">
        <f>IFERROR(VLOOKUP(Tarifold[[#This Row],[Código]],Saldo[],3,FALSE),0)</f>
        <v>33</v>
      </c>
      <c r="M28" s="24">
        <f>SUM(Tarifold[[#This Row],[Produção]:[Estoque]])</f>
        <v>33</v>
      </c>
      <c r="N28" s="24" t="str">
        <f>IFERROR(Tarifold[[#This Row],[Estoque+Importação]]/Tarifold[[#This Row],[Proj. de V. No prox. mes]],"Sem Projeção")</f>
        <v>Sem Projeção</v>
      </c>
      <c r="O28" s="24" t="str">
        <f>IF(OR(Tarifold[[#This Row],[Status]]="Em Linha",Tarifold[[#This Row],[Status]]="Componente",Tarifold[[#This Row],[Status]]="Materia Prima"),Tarifold[[#This Row],[Proj. de V. No prox. mes]]*10,"-")</f>
        <v>-</v>
      </c>
      <c r="P2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8" s="75">
        <f>VLOOKUP(Tarifold[[#This Row],[Código]],Projeção[#All],15,FALSE)</f>
        <v>0</v>
      </c>
      <c r="R28" s="39">
        <f>VLOOKUP(Tarifold[[#This Row],[Código]],Projeção[#All],14,FALSE)</f>
        <v>0</v>
      </c>
      <c r="S28" s="39">
        <f>IFERROR(VLOOKUP(Tarifold[[#This Row],[Código]],Venda_mes[],2,FALSE),0)</f>
        <v>0</v>
      </c>
      <c r="T28" s="44" t="str">
        <f>IFERROR(Tarifold[[#This Row],[V. No mes]]/Tarifold[[#This Row],[Proj. de V. No mes]],"")</f>
        <v/>
      </c>
      <c r="U28" s="43">
        <f>VLOOKUP(Tarifold[[#This Row],[Código]],Projeção[#All],14,FALSE)+VLOOKUP(Tarifold[[#This Row],[Código]],Projeção[#All],13,FALSE)+VLOOKUP(Tarifold[[#This Row],[Código]],Projeção[#All],12,FALSE)</f>
        <v>0</v>
      </c>
      <c r="V28" s="39">
        <f>IFERROR(VLOOKUP(Tarifold[[#This Row],[Código]],Venda_3meses[],2,FALSE),0)</f>
        <v>0</v>
      </c>
      <c r="W28" s="44" t="str">
        <f>IFERROR(Tarifold[[#This Row],[V. 3 meses]]/Tarifold[[#This Row],[Proj. de V. 3 meses]],"")</f>
        <v/>
      </c>
      <c r="X2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8" s="39">
        <f>IFERROR(VLOOKUP(Tarifold[[#This Row],[Código]],Venda_12meses[],2,FALSE),0)</f>
        <v>0</v>
      </c>
      <c r="Z28" s="44" t="str">
        <f>IFERROR(Tarifold[[#This Row],[V. 12 meses]]/Tarifold[[#This Row],[Proj. de V. 12 meses]],"")</f>
        <v/>
      </c>
      <c r="AA28" s="22"/>
    </row>
    <row r="29" spans="1:27" x14ac:dyDescent="0.25">
      <c r="A29" s="22" t="str">
        <f>VLOOKUP(Tarifold[[#This Row],[Código]],BD_Produto[#All],7,FALSE)</f>
        <v>Fora de Linha</v>
      </c>
      <c r="B2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29" s="23">
        <v>33070754082</v>
      </c>
      <c r="D29" s="22" t="s">
        <v>1265</v>
      </c>
      <c r="E29" s="22" t="s">
        <v>2676</v>
      </c>
      <c r="F29" s="22" t="s">
        <v>2676</v>
      </c>
      <c r="G29" s="24"/>
      <c r="H29" s="25"/>
      <c r="I29" s="22"/>
      <c r="J29" s="24"/>
      <c r="K29" s="24" t="str">
        <f>IFERROR(VLOOKUP(Tarifold[[#This Row],[Código]],Importação!P:R,3,FALSE),"")</f>
        <v/>
      </c>
      <c r="L29" s="24">
        <f>IFERROR(VLOOKUP(Tarifold[[#This Row],[Código]],Saldo[],3,FALSE),0)</f>
        <v>2</v>
      </c>
      <c r="M29" s="24">
        <f>SUM(Tarifold[[#This Row],[Produção]:[Estoque]])</f>
        <v>2</v>
      </c>
      <c r="N29" s="24" t="str">
        <f>IFERROR(Tarifold[[#This Row],[Estoque+Importação]]/Tarifold[[#This Row],[Proj. de V. No prox. mes]],"Sem Projeção")</f>
        <v>Sem Projeção</v>
      </c>
      <c r="O29" s="24" t="str">
        <f>IF(OR(Tarifold[[#This Row],[Status]]="Em Linha",Tarifold[[#This Row],[Status]]="Componente",Tarifold[[#This Row],[Status]]="Materia Prima"),Tarifold[[#This Row],[Proj. de V. No prox. mes]]*10,"-")</f>
        <v>-</v>
      </c>
      <c r="P2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29" s="75">
        <f>VLOOKUP(Tarifold[[#This Row],[Código]],Projeção[#All],15,FALSE)</f>
        <v>0</v>
      </c>
      <c r="R29" s="39">
        <f>VLOOKUP(Tarifold[[#This Row],[Código]],Projeção[#All],14,FALSE)</f>
        <v>0</v>
      </c>
      <c r="S29" s="39">
        <f>IFERROR(VLOOKUP(Tarifold[[#This Row],[Código]],Venda_mes[],2,FALSE),0)</f>
        <v>0</v>
      </c>
      <c r="T29" s="44" t="str">
        <f>IFERROR(Tarifold[[#This Row],[V. No mes]]/Tarifold[[#This Row],[Proj. de V. No mes]],"")</f>
        <v/>
      </c>
      <c r="U29" s="43">
        <f>VLOOKUP(Tarifold[[#This Row],[Código]],Projeção[#All],14,FALSE)+VLOOKUP(Tarifold[[#This Row],[Código]],Projeção[#All],13,FALSE)+VLOOKUP(Tarifold[[#This Row],[Código]],Projeção[#All],12,FALSE)</f>
        <v>0</v>
      </c>
      <c r="V29" s="39">
        <f>IFERROR(VLOOKUP(Tarifold[[#This Row],[Código]],Venda_3meses[],2,FALSE),0)</f>
        <v>0</v>
      </c>
      <c r="W29" s="44" t="str">
        <f>IFERROR(Tarifold[[#This Row],[V. 3 meses]]/Tarifold[[#This Row],[Proj. de V. 3 meses]],"")</f>
        <v/>
      </c>
      <c r="X2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29" s="39">
        <f>IFERROR(VLOOKUP(Tarifold[[#This Row],[Código]],Venda_12meses[],2,FALSE),0)</f>
        <v>0</v>
      </c>
      <c r="Z29" s="44" t="str">
        <f>IFERROR(Tarifold[[#This Row],[V. 12 meses]]/Tarifold[[#This Row],[Proj. de V. 12 meses]],"")</f>
        <v/>
      </c>
      <c r="AA29" s="22"/>
    </row>
    <row r="30" spans="1:27" x14ac:dyDescent="0.25">
      <c r="A30" s="22" t="str">
        <f>VLOOKUP(Tarifold[[#This Row],[Código]],BD_Produto[#All],7,FALSE)</f>
        <v>Fora de Linha</v>
      </c>
      <c r="B3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0" s="23">
        <v>33070754097</v>
      </c>
      <c r="D30" s="22" t="s">
        <v>1266</v>
      </c>
      <c r="E30" s="22" t="s">
        <v>2676</v>
      </c>
      <c r="F30" s="22" t="s">
        <v>2676</v>
      </c>
      <c r="G30" s="24"/>
      <c r="H30" s="25"/>
      <c r="I30" s="22"/>
      <c r="J30" s="24"/>
      <c r="K30" s="24" t="str">
        <f>IFERROR(VLOOKUP(Tarifold[[#This Row],[Código]],Importação!P:R,3,FALSE),"")</f>
        <v/>
      </c>
      <c r="L30" s="24">
        <f>IFERROR(VLOOKUP(Tarifold[[#This Row],[Código]],Saldo[],3,FALSE),0)</f>
        <v>14</v>
      </c>
      <c r="M30" s="24">
        <f>SUM(Tarifold[[#This Row],[Produção]:[Estoque]])</f>
        <v>14</v>
      </c>
      <c r="N30" s="24" t="str">
        <f>IFERROR(Tarifold[[#This Row],[Estoque+Importação]]/Tarifold[[#This Row],[Proj. de V. No prox. mes]],"Sem Projeção")</f>
        <v>Sem Projeção</v>
      </c>
      <c r="O30" s="24" t="str">
        <f>IF(OR(Tarifold[[#This Row],[Status]]="Em Linha",Tarifold[[#This Row],[Status]]="Componente",Tarifold[[#This Row],[Status]]="Materia Prima"),Tarifold[[#This Row],[Proj. de V. No prox. mes]]*10,"-")</f>
        <v>-</v>
      </c>
      <c r="P3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0" s="75">
        <f>VLOOKUP(Tarifold[[#This Row],[Código]],Projeção[#All],15,FALSE)</f>
        <v>0</v>
      </c>
      <c r="R30" s="39">
        <f>VLOOKUP(Tarifold[[#This Row],[Código]],Projeção[#All],14,FALSE)</f>
        <v>0</v>
      </c>
      <c r="S30" s="39">
        <f>IFERROR(VLOOKUP(Tarifold[[#This Row],[Código]],Venda_mes[],2,FALSE),0)</f>
        <v>0</v>
      </c>
      <c r="T30" s="44" t="str">
        <f>IFERROR(Tarifold[[#This Row],[V. No mes]]/Tarifold[[#This Row],[Proj. de V. No mes]],"")</f>
        <v/>
      </c>
      <c r="U30" s="43">
        <f>VLOOKUP(Tarifold[[#This Row],[Código]],Projeção[#All],14,FALSE)+VLOOKUP(Tarifold[[#This Row],[Código]],Projeção[#All],13,FALSE)+VLOOKUP(Tarifold[[#This Row],[Código]],Projeção[#All],12,FALSE)</f>
        <v>0</v>
      </c>
      <c r="V30" s="39">
        <f>IFERROR(VLOOKUP(Tarifold[[#This Row],[Código]],Venda_3meses[],2,FALSE),0)</f>
        <v>0</v>
      </c>
      <c r="W30" s="44" t="str">
        <f>IFERROR(Tarifold[[#This Row],[V. 3 meses]]/Tarifold[[#This Row],[Proj. de V. 3 meses]],"")</f>
        <v/>
      </c>
      <c r="X3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0" s="39">
        <f>IFERROR(VLOOKUP(Tarifold[[#This Row],[Código]],Venda_12meses[],2,FALSE),0)</f>
        <v>0</v>
      </c>
      <c r="Z30" s="44" t="str">
        <f>IFERROR(Tarifold[[#This Row],[V. 12 meses]]/Tarifold[[#This Row],[Proj. de V. 12 meses]],"")</f>
        <v/>
      </c>
      <c r="AA30" s="22"/>
    </row>
    <row r="31" spans="1:27" x14ac:dyDescent="0.25">
      <c r="A31" s="22" t="str">
        <f>VLOOKUP(Tarifold[[#This Row],[Código]],BD_Produto[#All],7,FALSE)</f>
        <v>Fora de Linha</v>
      </c>
      <c r="B3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1" s="23">
        <v>33070754108</v>
      </c>
      <c r="D31" s="22" t="s">
        <v>1267</v>
      </c>
      <c r="E31" s="22" t="s">
        <v>2676</v>
      </c>
      <c r="F31" s="22" t="s">
        <v>2676</v>
      </c>
      <c r="G31" s="24"/>
      <c r="H31" s="25"/>
      <c r="I31" s="22"/>
      <c r="J31" s="24"/>
      <c r="K31" s="24" t="str">
        <f>IFERROR(VLOOKUP(Tarifold[[#This Row],[Código]],Importação!P:R,3,FALSE),"")</f>
        <v/>
      </c>
      <c r="L31" s="24">
        <f>IFERROR(VLOOKUP(Tarifold[[#This Row],[Código]],Saldo[],3,FALSE),0)</f>
        <v>6</v>
      </c>
      <c r="M31" s="24">
        <f>SUM(Tarifold[[#This Row],[Produção]:[Estoque]])</f>
        <v>6</v>
      </c>
      <c r="N31" s="24" t="str">
        <f>IFERROR(Tarifold[[#This Row],[Estoque+Importação]]/Tarifold[[#This Row],[Proj. de V. No prox. mes]],"Sem Projeção")</f>
        <v>Sem Projeção</v>
      </c>
      <c r="O31" s="24" t="str">
        <f>IF(OR(Tarifold[[#This Row],[Status]]="Em Linha",Tarifold[[#This Row],[Status]]="Componente",Tarifold[[#This Row],[Status]]="Materia Prima"),Tarifold[[#This Row],[Proj. de V. No prox. mes]]*10,"-")</f>
        <v>-</v>
      </c>
      <c r="P3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1" s="75">
        <f>VLOOKUP(Tarifold[[#This Row],[Código]],Projeção[#All],15,FALSE)</f>
        <v>0</v>
      </c>
      <c r="R31" s="39">
        <f>VLOOKUP(Tarifold[[#This Row],[Código]],Projeção[#All],14,FALSE)</f>
        <v>0</v>
      </c>
      <c r="S31" s="39">
        <f>IFERROR(VLOOKUP(Tarifold[[#This Row],[Código]],Venda_mes[],2,FALSE),0)</f>
        <v>0</v>
      </c>
      <c r="T31" s="44" t="str">
        <f>IFERROR(Tarifold[[#This Row],[V. No mes]]/Tarifold[[#This Row],[Proj. de V. No mes]],"")</f>
        <v/>
      </c>
      <c r="U31" s="43">
        <f>VLOOKUP(Tarifold[[#This Row],[Código]],Projeção[#All],14,FALSE)+VLOOKUP(Tarifold[[#This Row],[Código]],Projeção[#All],13,FALSE)+VLOOKUP(Tarifold[[#This Row],[Código]],Projeção[#All],12,FALSE)</f>
        <v>0</v>
      </c>
      <c r="V31" s="39">
        <f>IFERROR(VLOOKUP(Tarifold[[#This Row],[Código]],Venda_3meses[],2,FALSE),0)</f>
        <v>0</v>
      </c>
      <c r="W31" s="44" t="str">
        <f>IFERROR(Tarifold[[#This Row],[V. 3 meses]]/Tarifold[[#This Row],[Proj. de V. 3 meses]],"")</f>
        <v/>
      </c>
      <c r="X3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1" s="39">
        <f>IFERROR(VLOOKUP(Tarifold[[#This Row],[Código]],Venda_12meses[],2,FALSE),0)</f>
        <v>0</v>
      </c>
      <c r="Z31" s="44" t="str">
        <f>IFERROR(Tarifold[[#This Row],[V. 12 meses]]/Tarifold[[#This Row],[Proj. de V. 12 meses]],"")</f>
        <v/>
      </c>
      <c r="AA31" s="22"/>
    </row>
    <row r="32" spans="1:27" x14ac:dyDescent="0.25">
      <c r="A32" s="22" t="str">
        <f>VLOOKUP(Tarifold[[#This Row],[Código]],BD_Produto[#All],7,FALSE)</f>
        <v>Fora de Linha</v>
      </c>
      <c r="B3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2" s="23">
        <v>33070754091</v>
      </c>
      <c r="D32" s="22" t="s">
        <v>1268</v>
      </c>
      <c r="E32" s="22" t="s">
        <v>2676</v>
      </c>
      <c r="F32" s="22" t="s">
        <v>2676</v>
      </c>
      <c r="G32" s="24"/>
      <c r="H32" s="25"/>
      <c r="I32" s="22"/>
      <c r="J32" s="24"/>
      <c r="K32" s="24" t="str">
        <f>IFERROR(VLOOKUP(Tarifold[[#This Row],[Código]],Importação!P:R,3,FALSE),"")</f>
        <v/>
      </c>
      <c r="L32" s="24">
        <f>IFERROR(VLOOKUP(Tarifold[[#This Row],[Código]],Saldo[],3,FALSE),0)</f>
        <v>41</v>
      </c>
      <c r="M32" s="24">
        <f>SUM(Tarifold[[#This Row],[Produção]:[Estoque]])</f>
        <v>41</v>
      </c>
      <c r="N32" s="24" t="str">
        <f>IFERROR(Tarifold[[#This Row],[Estoque+Importação]]/Tarifold[[#This Row],[Proj. de V. No prox. mes]],"Sem Projeção")</f>
        <v>Sem Projeção</v>
      </c>
      <c r="O32" s="24" t="str">
        <f>IF(OR(Tarifold[[#This Row],[Status]]="Em Linha",Tarifold[[#This Row],[Status]]="Componente",Tarifold[[#This Row],[Status]]="Materia Prima"),Tarifold[[#This Row],[Proj. de V. No prox. mes]]*10,"-")</f>
        <v>-</v>
      </c>
      <c r="P3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2" s="75">
        <f>VLOOKUP(Tarifold[[#This Row],[Código]],Projeção[#All],15,FALSE)</f>
        <v>0</v>
      </c>
      <c r="R32" s="39">
        <f>VLOOKUP(Tarifold[[#This Row],[Código]],Projeção[#All],14,FALSE)</f>
        <v>0</v>
      </c>
      <c r="S32" s="39">
        <f>IFERROR(VLOOKUP(Tarifold[[#This Row],[Código]],Venda_mes[],2,FALSE),0)</f>
        <v>0</v>
      </c>
      <c r="T32" s="44" t="str">
        <f>IFERROR(Tarifold[[#This Row],[V. No mes]]/Tarifold[[#This Row],[Proj. de V. No mes]],"")</f>
        <v/>
      </c>
      <c r="U32" s="43">
        <f>VLOOKUP(Tarifold[[#This Row],[Código]],Projeção[#All],14,FALSE)+VLOOKUP(Tarifold[[#This Row],[Código]],Projeção[#All],13,FALSE)+VLOOKUP(Tarifold[[#This Row],[Código]],Projeção[#All],12,FALSE)</f>
        <v>0</v>
      </c>
      <c r="V32" s="39">
        <f>IFERROR(VLOOKUP(Tarifold[[#This Row],[Código]],Venda_3meses[],2,FALSE),0)</f>
        <v>0</v>
      </c>
      <c r="W32" s="44" t="str">
        <f>IFERROR(Tarifold[[#This Row],[V. 3 meses]]/Tarifold[[#This Row],[Proj. de V. 3 meses]],"")</f>
        <v/>
      </c>
      <c r="X3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2" s="39">
        <f>IFERROR(VLOOKUP(Tarifold[[#This Row],[Código]],Venda_12meses[],2,FALSE),0)</f>
        <v>0</v>
      </c>
      <c r="Z32" s="44" t="str">
        <f>IFERROR(Tarifold[[#This Row],[V. 12 meses]]/Tarifold[[#This Row],[Proj. de V. 12 meses]],"")</f>
        <v/>
      </c>
      <c r="AA32" s="22"/>
    </row>
    <row r="33" spans="1:27" x14ac:dyDescent="0.25">
      <c r="A33" s="22" t="str">
        <f>VLOOKUP(Tarifold[[#This Row],[Código]],BD_Produto[#All],7,FALSE)</f>
        <v>Fora de Linha</v>
      </c>
      <c r="B3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3" s="23">
        <v>33070763456</v>
      </c>
      <c r="D33" s="22" t="s">
        <v>1269</v>
      </c>
      <c r="E33" s="22" t="s">
        <v>2676</v>
      </c>
      <c r="F33" s="22" t="s">
        <v>2676</v>
      </c>
      <c r="G33" s="24"/>
      <c r="H33" s="25"/>
      <c r="I33" s="22"/>
      <c r="J33" s="24"/>
      <c r="K33" s="24" t="str">
        <f>IFERROR(VLOOKUP(Tarifold[[#This Row],[Código]],Importação!P:R,3,FALSE),"")</f>
        <v/>
      </c>
      <c r="L33" s="24">
        <f>IFERROR(VLOOKUP(Tarifold[[#This Row],[Código]],Saldo[],3,FALSE),0)</f>
        <v>27</v>
      </c>
      <c r="M33" s="24">
        <f>SUM(Tarifold[[#This Row],[Produção]:[Estoque]])</f>
        <v>27</v>
      </c>
      <c r="N33" s="24" t="str">
        <f>IFERROR(Tarifold[[#This Row],[Estoque+Importação]]/Tarifold[[#This Row],[Proj. de V. No prox. mes]],"Sem Projeção")</f>
        <v>Sem Projeção</v>
      </c>
      <c r="O33" s="24" t="str">
        <f>IF(OR(Tarifold[[#This Row],[Status]]="Em Linha",Tarifold[[#This Row],[Status]]="Componente",Tarifold[[#This Row],[Status]]="Materia Prima"),Tarifold[[#This Row],[Proj. de V. No prox. mes]]*10,"-")</f>
        <v>-</v>
      </c>
      <c r="P3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3" s="75">
        <f>VLOOKUP(Tarifold[[#This Row],[Código]],Projeção[#All],15,FALSE)</f>
        <v>0</v>
      </c>
      <c r="R33" s="39">
        <f>VLOOKUP(Tarifold[[#This Row],[Código]],Projeção[#All],14,FALSE)</f>
        <v>0</v>
      </c>
      <c r="S33" s="39">
        <f>IFERROR(VLOOKUP(Tarifold[[#This Row],[Código]],Venda_mes[],2,FALSE),0)</f>
        <v>0</v>
      </c>
      <c r="T33" s="44" t="str">
        <f>IFERROR(Tarifold[[#This Row],[V. No mes]]/Tarifold[[#This Row],[Proj. de V. No mes]],"")</f>
        <v/>
      </c>
      <c r="U33" s="43">
        <f>VLOOKUP(Tarifold[[#This Row],[Código]],Projeção[#All],14,FALSE)+VLOOKUP(Tarifold[[#This Row],[Código]],Projeção[#All],13,FALSE)+VLOOKUP(Tarifold[[#This Row],[Código]],Projeção[#All],12,FALSE)</f>
        <v>0</v>
      </c>
      <c r="V33" s="39">
        <f>IFERROR(VLOOKUP(Tarifold[[#This Row],[Código]],Venda_3meses[],2,FALSE),0)</f>
        <v>0</v>
      </c>
      <c r="W33" s="44" t="str">
        <f>IFERROR(Tarifold[[#This Row],[V. 3 meses]]/Tarifold[[#This Row],[Proj. de V. 3 meses]],"")</f>
        <v/>
      </c>
      <c r="X3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3" s="39">
        <f>IFERROR(VLOOKUP(Tarifold[[#This Row],[Código]],Venda_12meses[],2,FALSE),0)</f>
        <v>0</v>
      </c>
      <c r="Z33" s="44" t="str">
        <f>IFERROR(Tarifold[[#This Row],[V. 12 meses]]/Tarifold[[#This Row],[Proj. de V. 12 meses]],"")</f>
        <v/>
      </c>
      <c r="AA33" s="22"/>
    </row>
    <row r="34" spans="1:27" x14ac:dyDescent="0.25">
      <c r="A34" s="22" t="str">
        <f>VLOOKUP(Tarifold[[#This Row],[Código]],BD_Produto[#All],7,FALSE)</f>
        <v>Fora de Linha</v>
      </c>
      <c r="B3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4" s="23">
        <v>33070754054</v>
      </c>
      <c r="D34" s="22" t="s">
        <v>952</v>
      </c>
      <c r="E34" s="22" t="s">
        <v>1724</v>
      </c>
      <c r="F34" s="22" t="s">
        <v>1724</v>
      </c>
      <c r="G34" s="24"/>
      <c r="H34" s="25"/>
      <c r="I34" s="22"/>
      <c r="J34" s="24"/>
      <c r="K34" s="24" t="str">
        <f>IFERROR(VLOOKUP(Tarifold[[#This Row],[Código]],Importação!P:R,3,FALSE),"")</f>
        <v/>
      </c>
      <c r="L34" s="24">
        <f>IFERROR(VLOOKUP(Tarifold[[#This Row],[Código]],Saldo[],3,FALSE),0)</f>
        <v>3</v>
      </c>
      <c r="M34" s="24">
        <f>SUM(Tarifold[[#This Row],[Produção]:[Estoque]])</f>
        <v>3</v>
      </c>
      <c r="N34" s="24" t="str">
        <f>IFERROR(Tarifold[[#This Row],[Estoque+Importação]]/Tarifold[[#This Row],[Proj. de V. No prox. mes]],"Sem Projeção")</f>
        <v>Sem Projeção</v>
      </c>
      <c r="O34" s="24" t="str">
        <f>IF(OR(Tarifold[[#This Row],[Status]]="Em Linha",Tarifold[[#This Row],[Status]]="Componente",Tarifold[[#This Row],[Status]]="Materia Prima"),Tarifold[[#This Row],[Proj. de V. No prox. mes]]*10,"-")</f>
        <v>-</v>
      </c>
      <c r="P3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4" s="75">
        <f>VLOOKUP(Tarifold[[#This Row],[Código]],Projeção[#All],15,FALSE)</f>
        <v>0</v>
      </c>
      <c r="R34" s="39">
        <f>VLOOKUP(Tarifold[[#This Row],[Código]],Projeção[#All],14,FALSE)</f>
        <v>0</v>
      </c>
      <c r="S34" s="39">
        <f>IFERROR(VLOOKUP(Tarifold[[#This Row],[Código]],Venda_mes[],2,FALSE),0)</f>
        <v>0</v>
      </c>
      <c r="T34" s="44" t="str">
        <f>IFERROR(Tarifold[[#This Row],[V. No mes]]/Tarifold[[#This Row],[Proj. de V. No mes]],"")</f>
        <v/>
      </c>
      <c r="U34" s="43">
        <f>VLOOKUP(Tarifold[[#This Row],[Código]],Projeção[#All],14,FALSE)+VLOOKUP(Tarifold[[#This Row],[Código]],Projeção[#All],13,FALSE)+VLOOKUP(Tarifold[[#This Row],[Código]],Projeção[#All],12,FALSE)</f>
        <v>0</v>
      </c>
      <c r="V34" s="39">
        <f>IFERROR(VLOOKUP(Tarifold[[#This Row],[Código]],Venda_3meses[],2,FALSE),0)</f>
        <v>0</v>
      </c>
      <c r="W34" s="44" t="str">
        <f>IFERROR(Tarifold[[#This Row],[V. 3 meses]]/Tarifold[[#This Row],[Proj. de V. 3 meses]],"")</f>
        <v/>
      </c>
      <c r="X3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3.3333333333333333E-2</v>
      </c>
      <c r="Y34" s="39">
        <f>IFERROR(VLOOKUP(Tarifold[[#This Row],[Código]],Venda_12meses[],2,FALSE),0)</f>
        <v>0</v>
      </c>
      <c r="Z34" s="44">
        <f>IFERROR(Tarifold[[#This Row],[V. 12 meses]]/Tarifold[[#This Row],[Proj. de V. 12 meses]],"")</f>
        <v>0</v>
      </c>
      <c r="AA34" s="22"/>
    </row>
    <row r="35" spans="1:27" x14ac:dyDescent="0.25">
      <c r="A35" s="22" t="str">
        <f>VLOOKUP(Tarifold[[#This Row],[Código]],BD_Produto[#All],7,FALSE)</f>
        <v>Fora de Linha</v>
      </c>
      <c r="B3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5" s="23">
        <v>33070754128</v>
      </c>
      <c r="D35" s="22" t="s">
        <v>1270</v>
      </c>
      <c r="E35" s="22" t="s">
        <v>1724</v>
      </c>
      <c r="F35" s="22" t="s">
        <v>1724</v>
      </c>
      <c r="G35" s="24"/>
      <c r="H35" s="25"/>
      <c r="I35" s="22"/>
      <c r="J35" s="24"/>
      <c r="K35" s="24" t="str">
        <f>IFERROR(VLOOKUP(Tarifold[[#This Row],[Código]],Importação!P:R,3,FALSE),"")</f>
        <v/>
      </c>
      <c r="L35" s="24">
        <f>IFERROR(VLOOKUP(Tarifold[[#This Row],[Código]],Saldo[],3,FALSE),0)</f>
        <v>29</v>
      </c>
      <c r="M35" s="24">
        <f>SUM(Tarifold[[#This Row],[Produção]:[Estoque]])</f>
        <v>29</v>
      </c>
      <c r="N35" s="24">
        <f>IFERROR(Tarifold[[#This Row],[Estoque+Importação]]/Tarifold[[#This Row],[Proj. de V. No prox. mes]],"Sem Projeção")</f>
        <v>124.28571428571428</v>
      </c>
      <c r="O35" s="24" t="str">
        <f>IF(OR(Tarifold[[#This Row],[Status]]="Em Linha",Tarifold[[#This Row],[Status]]="Componente",Tarifold[[#This Row],[Status]]="Materia Prima"),Tarifold[[#This Row],[Proj. de V. No prox. mes]]*10,"-")</f>
        <v>-</v>
      </c>
      <c r="P3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5" s="75">
        <f>VLOOKUP(Tarifold[[#This Row],[Código]],Projeção[#All],15,FALSE)</f>
        <v>0.23333333333333334</v>
      </c>
      <c r="R35" s="39">
        <f>VLOOKUP(Tarifold[[#This Row],[Código]],Projeção[#All],14,FALSE)</f>
        <v>0</v>
      </c>
      <c r="S35" s="39">
        <f>IFERROR(VLOOKUP(Tarifold[[#This Row],[Código]],Venda_mes[],2,FALSE),0)</f>
        <v>0</v>
      </c>
      <c r="T35" s="44" t="str">
        <f>IFERROR(Tarifold[[#This Row],[V. No mes]]/Tarifold[[#This Row],[Proj. de V. No mes]],"")</f>
        <v/>
      </c>
      <c r="U35" s="43">
        <f>VLOOKUP(Tarifold[[#This Row],[Código]],Projeção[#All],14,FALSE)+VLOOKUP(Tarifold[[#This Row],[Código]],Projeção[#All],13,FALSE)+VLOOKUP(Tarifold[[#This Row],[Código]],Projeção[#All],12,FALSE)</f>
        <v>0</v>
      </c>
      <c r="V35" s="39">
        <f>IFERROR(VLOOKUP(Tarifold[[#This Row],[Código]],Venda_3meses[],2,FALSE),0)</f>
        <v>1</v>
      </c>
      <c r="W35" s="44" t="str">
        <f>IFERROR(Tarifold[[#This Row],[V. 3 meses]]/Tarifold[[#This Row],[Proj. de V. 3 meses]],"")</f>
        <v/>
      </c>
      <c r="X3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5" s="39">
        <f>IFERROR(VLOOKUP(Tarifold[[#This Row],[Código]],Venda_12meses[],2,FALSE),0)</f>
        <v>1</v>
      </c>
      <c r="Z35" s="44" t="str">
        <f>IFERROR(Tarifold[[#This Row],[V. 12 meses]]/Tarifold[[#This Row],[Proj. de V. 12 meses]],"")</f>
        <v/>
      </c>
      <c r="AA35" s="22"/>
    </row>
    <row r="36" spans="1:27" x14ac:dyDescent="0.25">
      <c r="A36" s="22" t="str">
        <f>VLOOKUP(Tarifold[[#This Row],[Código]],BD_Produto[#All],7,FALSE)</f>
        <v>Fora de Linha</v>
      </c>
      <c r="B3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6" s="23">
        <v>33070754067</v>
      </c>
      <c r="D36" s="22" t="s">
        <v>903</v>
      </c>
      <c r="E36" s="22" t="s">
        <v>2676</v>
      </c>
      <c r="F36" s="22" t="s">
        <v>2676</v>
      </c>
      <c r="G36" s="24"/>
      <c r="H36" s="25"/>
      <c r="I36" s="22"/>
      <c r="J36" s="24"/>
      <c r="K36" s="24" t="str">
        <f>IFERROR(VLOOKUP(Tarifold[[#This Row],[Código]],Importação!P:R,3,FALSE),"")</f>
        <v/>
      </c>
      <c r="L36" s="24">
        <f>IFERROR(VLOOKUP(Tarifold[[#This Row],[Código]],Saldo[],3,FALSE),0)</f>
        <v>42</v>
      </c>
      <c r="M36" s="24">
        <f>SUM(Tarifold[[#This Row],[Produção]:[Estoque]])</f>
        <v>42</v>
      </c>
      <c r="N36" s="24" t="str">
        <f>IFERROR(Tarifold[[#This Row],[Estoque+Importação]]/Tarifold[[#This Row],[Proj. de V. No prox. mes]],"Sem Projeção")</f>
        <v>Sem Projeção</v>
      </c>
      <c r="O36" s="24" t="str">
        <f>IF(OR(Tarifold[[#This Row],[Status]]="Em Linha",Tarifold[[#This Row],[Status]]="Componente",Tarifold[[#This Row],[Status]]="Materia Prima"),Tarifold[[#This Row],[Proj. de V. No prox. mes]]*10,"-")</f>
        <v>-</v>
      </c>
      <c r="P3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6" s="75">
        <f>VLOOKUP(Tarifold[[#This Row],[Código]],Projeção[#All],15,FALSE)</f>
        <v>0</v>
      </c>
      <c r="R36" s="39">
        <f>VLOOKUP(Tarifold[[#This Row],[Código]],Projeção[#All],14,FALSE)</f>
        <v>0</v>
      </c>
      <c r="S36" s="39">
        <f>IFERROR(VLOOKUP(Tarifold[[#This Row],[Código]],Venda_mes[],2,FALSE),0)</f>
        <v>0</v>
      </c>
      <c r="T36" s="44" t="str">
        <f>IFERROR(Tarifold[[#This Row],[V. No mes]]/Tarifold[[#This Row],[Proj. de V. No mes]],"")</f>
        <v/>
      </c>
      <c r="U36" s="43">
        <f>VLOOKUP(Tarifold[[#This Row],[Código]],Projeção[#All],14,FALSE)+VLOOKUP(Tarifold[[#This Row],[Código]],Projeção[#All],13,FALSE)+VLOOKUP(Tarifold[[#This Row],[Código]],Projeção[#All],12,FALSE)</f>
        <v>0</v>
      </c>
      <c r="V36" s="39">
        <f>IFERROR(VLOOKUP(Tarifold[[#This Row],[Código]],Venda_3meses[],2,FALSE),0)</f>
        <v>0</v>
      </c>
      <c r="W36" s="44" t="str">
        <f>IFERROR(Tarifold[[#This Row],[V. 3 meses]]/Tarifold[[#This Row],[Proj. de V. 3 meses]],"")</f>
        <v/>
      </c>
      <c r="X3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6" s="39">
        <f>IFERROR(VLOOKUP(Tarifold[[#This Row],[Código]],Venda_12meses[],2,FALSE),0)</f>
        <v>0</v>
      </c>
      <c r="Z36" s="44" t="str">
        <f>IFERROR(Tarifold[[#This Row],[V. 12 meses]]/Tarifold[[#This Row],[Proj. de V. 12 meses]],"")</f>
        <v/>
      </c>
      <c r="AA36" s="22"/>
    </row>
    <row r="37" spans="1:27" x14ac:dyDescent="0.25">
      <c r="A37" s="22" t="str">
        <f>VLOOKUP(Tarifold[[#This Row],[Código]],BD_Produto[#All],7,FALSE)</f>
        <v>Fora de Linha</v>
      </c>
      <c r="B3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7" s="23">
        <v>33070754071</v>
      </c>
      <c r="D37" s="22" t="s">
        <v>1271</v>
      </c>
      <c r="E37" s="22" t="s">
        <v>2676</v>
      </c>
      <c r="F37" s="22" t="s">
        <v>2676</v>
      </c>
      <c r="G37" s="24"/>
      <c r="H37" s="25"/>
      <c r="I37" s="22"/>
      <c r="J37" s="24"/>
      <c r="K37" s="24" t="str">
        <f>IFERROR(VLOOKUP(Tarifold[[#This Row],[Código]],Importação!P:R,3,FALSE),"")</f>
        <v/>
      </c>
      <c r="L37" s="24">
        <f>IFERROR(VLOOKUP(Tarifold[[#This Row],[Código]],Saldo[],3,FALSE),0)</f>
        <v>25</v>
      </c>
      <c r="M37" s="24">
        <f>SUM(Tarifold[[#This Row],[Produção]:[Estoque]])</f>
        <v>25</v>
      </c>
      <c r="N37" s="24" t="str">
        <f>IFERROR(Tarifold[[#This Row],[Estoque+Importação]]/Tarifold[[#This Row],[Proj. de V. No prox. mes]],"Sem Projeção")</f>
        <v>Sem Projeção</v>
      </c>
      <c r="O37" s="24" t="str">
        <f>IF(OR(Tarifold[[#This Row],[Status]]="Em Linha",Tarifold[[#This Row],[Status]]="Componente",Tarifold[[#This Row],[Status]]="Materia Prima"),Tarifold[[#This Row],[Proj. de V. No prox. mes]]*10,"-")</f>
        <v>-</v>
      </c>
      <c r="P3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7" s="75">
        <f>VLOOKUP(Tarifold[[#This Row],[Código]],Projeção[#All],15,FALSE)</f>
        <v>0</v>
      </c>
      <c r="R37" s="39">
        <f>VLOOKUP(Tarifold[[#This Row],[Código]],Projeção[#All],14,FALSE)</f>
        <v>0</v>
      </c>
      <c r="S37" s="39">
        <f>IFERROR(VLOOKUP(Tarifold[[#This Row],[Código]],Venda_mes[],2,FALSE),0)</f>
        <v>0</v>
      </c>
      <c r="T37" s="44" t="str">
        <f>IFERROR(Tarifold[[#This Row],[V. No mes]]/Tarifold[[#This Row],[Proj. de V. No mes]],"")</f>
        <v/>
      </c>
      <c r="U37" s="43">
        <f>VLOOKUP(Tarifold[[#This Row],[Código]],Projeção[#All],14,FALSE)+VLOOKUP(Tarifold[[#This Row],[Código]],Projeção[#All],13,FALSE)+VLOOKUP(Tarifold[[#This Row],[Código]],Projeção[#All],12,FALSE)</f>
        <v>0</v>
      </c>
      <c r="V37" s="39">
        <f>IFERROR(VLOOKUP(Tarifold[[#This Row],[Código]],Venda_3meses[],2,FALSE),0)</f>
        <v>0</v>
      </c>
      <c r="W37" s="44" t="str">
        <f>IFERROR(Tarifold[[#This Row],[V. 3 meses]]/Tarifold[[#This Row],[Proj. de V. 3 meses]],"")</f>
        <v/>
      </c>
      <c r="X3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7" s="39">
        <f>IFERROR(VLOOKUP(Tarifold[[#This Row],[Código]],Venda_12meses[],2,FALSE),0)</f>
        <v>0</v>
      </c>
      <c r="Z37" s="44" t="str">
        <f>IFERROR(Tarifold[[#This Row],[V. 12 meses]]/Tarifold[[#This Row],[Proj. de V. 12 meses]],"")</f>
        <v/>
      </c>
      <c r="AA37" s="22"/>
    </row>
    <row r="38" spans="1:27" x14ac:dyDescent="0.25">
      <c r="A38" s="22" t="str">
        <f>VLOOKUP(Tarifold[[#This Row],[Código]],BD_Produto[#All],7,FALSE)</f>
        <v>Fora de Linha</v>
      </c>
      <c r="B3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8" s="23">
        <v>33070754114</v>
      </c>
      <c r="D38" s="22" t="s">
        <v>763</v>
      </c>
      <c r="E38" s="22" t="s">
        <v>2676</v>
      </c>
      <c r="F38" s="22" t="s">
        <v>2676</v>
      </c>
      <c r="G38" s="24"/>
      <c r="H38" s="25"/>
      <c r="I38" s="22"/>
      <c r="J38" s="24"/>
      <c r="K38" s="24" t="str">
        <f>IFERROR(VLOOKUP(Tarifold[[#This Row],[Código]],Importação!P:R,3,FALSE),"")</f>
        <v/>
      </c>
      <c r="L38" s="24">
        <f>IFERROR(VLOOKUP(Tarifold[[#This Row],[Código]],Saldo[],3,FALSE),0)</f>
        <v>35</v>
      </c>
      <c r="M38" s="24">
        <f>SUM(Tarifold[[#This Row],[Produção]:[Estoque]])</f>
        <v>35</v>
      </c>
      <c r="N38" s="24" t="str">
        <f>IFERROR(Tarifold[[#This Row],[Estoque+Importação]]/Tarifold[[#This Row],[Proj. de V. No prox. mes]],"Sem Projeção")</f>
        <v>Sem Projeção</v>
      </c>
      <c r="O38" s="24" t="str">
        <f>IF(OR(Tarifold[[#This Row],[Status]]="Em Linha",Tarifold[[#This Row],[Status]]="Componente",Tarifold[[#This Row],[Status]]="Materia Prima"),Tarifold[[#This Row],[Proj. de V. No prox. mes]]*10,"-")</f>
        <v>-</v>
      </c>
      <c r="P3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8" s="75">
        <f>VLOOKUP(Tarifold[[#This Row],[Código]],Projeção[#All],15,FALSE)</f>
        <v>0</v>
      </c>
      <c r="R38" s="39">
        <f>VLOOKUP(Tarifold[[#This Row],[Código]],Projeção[#All],14,FALSE)</f>
        <v>0</v>
      </c>
      <c r="S38" s="39">
        <f>IFERROR(VLOOKUP(Tarifold[[#This Row],[Código]],Venda_mes[],2,FALSE),0)</f>
        <v>0</v>
      </c>
      <c r="T38" s="44" t="str">
        <f>IFERROR(Tarifold[[#This Row],[V. No mes]]/Tarifold[[#This Row],[Proj. de V. No mes]],"")</f>
        <v/>
      </c>
      <c r="U38" s="43">
        <f>VLOOKUP(Tarifold[[#This Row],[Código]],Projeção[#All],14,FALSE)+VLOOKUP(Tarifold[[#This Row],[Código]],Projeção[#All],13,FALSE)+VLOOKUP(Tarifold[[#This Row],[Código]],Projeção[#All],12,FALSE)</f>
        <v>0</v>
      </c>
      <c r="V38" s="39">
        <f>IFERROR(VLOOKUP(Tarifold[[#This Row],[Código]],Venda_3meses[],2,FALSE),0)</f>
        <v>0</v>
      </c>
      <c r="W38" s="44" t="str">
        <f>IFERROR(Tarifold[[#This Row],[V. 3 meses]]/Tarifold[[#This Row],[Proj. de V. 3 meses]],"")</f>
        <v/>
      </c>
      <c r="X3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8" s="39">
        <f>IFERROR(VLOOKUP(Tarifold[[#This Row],[Código]],Venda_12meses[],2,FALSE),0)</f>
        <v>0</v>
      </c>
      <c r="Z38" s="44" t="str">
        <f>IFERROR(Tarifold[[#This Row],[V. 12 meses]]/Tarifold[[#This Row],[Proj. de V. 12 meses]],"")</f>
        <v/>
      </c>
      <c r="AA38" s="22"/>
    </row>
    <row r="39" spans="1:27" x14ac:dyDescent="0.25">
      <c r="A39" s="22" t="str">
        <f>VLOOKUP(Tarifold[[#This Row],[Código]],BD_Produto[#All],7,FALSE)</f>
        <v>Fora de Linha</v>
      </c>
      <c r="B3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39" s="23">
        <v>33070754090</v>
      </c>
      <c r="D39" s="22" t="s">
        <v>1272</v>
      </c>
      <c r="E39" s="22" t="s">
        <v>2676</v>
      </c>
      <c r="F39" s="22" t="s">
        <v>2676</v>
      </c>
      <c r="G39" s="24"/>
      <c r="H39" s="25"/>
      <c r="I39" s="22"/>
      <c r="J39" s="24"/>
      <c r="K39" s="24" t="str">
        <f>IFERROR(VLOOKUP(Tarifold[[#This Row],[Código]],Importação!P:R,3,FALSE),"")</f>
        <v/>
      </c>
      <c r="L39" s="24">
        <f>IFERROR(VLOOKUP(Tarifold[[#This Row],[Código]],Saldo[],3,FALSE),0)</f>
        <v>21</v>
      </c>
      <c r="M39" s="24">
        <f>SUM(Tarifold[[#This Row],[Produção]:[Estoque]])</f>
        <v>21</v>
      </c>
      <c r="N39" s="24" t="str">
        <f>IFERROR(Tarifold[[#This Row],[Estoque+Importação]]/Tarifold[[#This Row],[Proj. de V. No prox. mes]],"Sem Projeção")</f>
        <v>Sem Projeção</v>
      </c>
      <c r="O39" s="24" t="str">
        <f>IF(OR(Tarifold[[#This Row],[Status]]="Em Linha",Tarifold[[#This Row],[Status]]="Componente",Tarifold[[#This Row],[Status]]="Materia Prima"),Tarifold[[#This Row],[Proj. de V. No prox. mes]]*10,"-")</f>
        <v>-</v>
      </c>
      <c r="P3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39" s="75">
        <f>VLOOKUP(Tarifold[[#This Row],[Código]],Projeção[#All],15,FALSE)</f>
        <v>0</v>
      </c>
      <c r="R39" s="39">
        <f>VLOOKUP(Tarifold[[#This Row],[Código]],Projeção[#All],14,FALSE)</f>
        <v>0</v>
      </c>
      <c r="S39" s="39">
        <f>IFERROR(VLOOKUP(Tarifold[[#This Row],[Código]],Venda_mes[],2,FALSE),0)</f>
        <v>0</v>
      </c>
      <c r="T39" s="44" t="str">
        <f>IFERROR(Tarifold[[#This Row],[V. No mes]]/Tarifold[[#This Row],[Proj. de V. No mes]],"")</f>
        <v/>
      </c>
      <c r="U39" s="43">
        <f>VLOOKUP(Tarifold[[#This Row],[Código]],Projeção[#All],14,FALSE)+VLOOKUP(Tarifold[[#This Row],[Código]],Projeção[#All],13,FALSE)+VLOOKUP(Tarifold[[#This Row],[Código]],Projeção[#All],12,FALSE)</f>
        <v>0</v>
      </c>
      <c r="V39" s="39">
        <f>IFERROR(VLOOKUP(Tarifold[[#This Row],[Código]],Venda_3meses[],2,FALSE),0)</f>
        <v>0</v>
      </c>
      <c r="W39" s="44" t="str">
        <f>IFERROR(Tarifold[[#This Row],[V. 3 meses]]/Tarifold[[#This Row],[Proj. de V. 3 meses]],"")</f>
        <v/>
      </c>
      <c r="X3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39" s="39">
        <f>IFERROR(VLOOKUP(Tarifold[[#This Row],[Código]],Venda_12meses[],2,FALSE),0)</f>
        <v>0</v>
      </c>
      <c r="Z39" s="44" t="str">
        <f>IFERROR(Tarifold[[#This Row],[V. 12 meses]]/Tarifold[[#This Row],[Proj. de V. 12 meses]],"")</f>
        <v/>
      </c>
      <c r="AA39" s="22"/>
    </row>
    <row r="40" spans="1:27" x14ac:dyDescent="0.25">
      <c r="A40" s="22" t="str">
        <f>VLOOKUP(Tarifold[[#This Row],[Código]],BD_Produto[#All],7,FALSE)</f>
        <v>Fora de Linha</v>
      </c>
      <c r="B4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0" s="23">
        <v>33070754081</v>
      </c>
      <c r="D40" s="22" t="s">
        <v>983</v>
      </c>
      <c r="E40" s="22" t="s">
        <v>2676</v>
      </c>
      <c r="F40" s="22" t="s">
        <v>2676</v>
      </c>
      <c r="G40" s="24"/>
      <c r="H40" s="25"/>
      <c r="I40" s="22"/>
      <c r="J40" s="24"/>
      <c r="K40" s="24" t="str">
        <f>IFERROR(VLOOKUP(Tarifold[[#This Row],[Código]],Importação!P:R,3,FALSE),"")</f>
        <v/>
      </c>
      <c r="L40" s="24">
        <f>IFERROR(VLOOKUP(Tarifold[[#This Row],[Código]],Saldo[],3,FALSE),0)</f>
        <v>7</v>
      </c>
      <c r="M40" s="24">
        <f>SUM(Tarifold[[#This Row],[Produção]:[Estoque]])</f>
        <v>7</v>
      </c>
      <c r="N40" s="24" t="str">
        <f>IFERROR(Tarifold[[#This Row],[Estoque+Importação]]/Tarifold[[#This Row],[Proj. de V. No prox. mes]],"Sem Projeção")</f>
        <v>Sem Projeção</v>
      </c>
      <c r="O40" s="24" t="str">
        <f>IF(OR(Tarifold[[#This Row],[Status]]="Em Linha",Tarifold[[#This Row],[Status]]="Componente",Tarifold[[#This Row],[Status]]="Materia Prima"),Tarifold[[#This Row],[Proj. de V. No prox. mes]]*10,"-")</f>
        <v>-</v>
      </c>
      <c r="P4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0" s="75">
        <f>VLOOKUP(Tarifold[[#This Row],[Código]],Projeção[#All],15,FALSE)</f>
        <v>0</v>
      </c>
      <c r="R40" s="39">
        <f>VLOOKUP(Tarifold[[#This Row],[Código]],Projeção[#All],14,FALSE)</f>
        <v>0</v>
      </c>
      <c r="S40" s="39">
        <f>IFERROR(VLOOKUP(Tarifold[[#This Row],[Código]],Venda_mes[],2,FALSE),0)</f>
        <v>0</v>
      </c>
      <c r="T40" s="44" t="str">
        <f>IFERROR(Tarifold[[#This Row],[V. No mes]]/Tarifold[[#This Row],[Proj. de V. No mes]],"")</f>
        <v/>
      </c>
      <c r="U40" s="43">
        <f>VLOOKUP(Tarifold[[#This Row],[Código]],Projeção[#All],14,FALSE)+VLOOKUP(Tarifold[[#This Row],[Código]],Projeção[#All],13,FALSE)+VLOOKUP(Tarifold[[#This Row],[Código]],Projeção[#All],12,FALSE)</f>
        <v>0</v>
      </c>
      <c r="V40" s="39">
        <f>IFERROR(VLOOKUP(Tarifold[[#This Row],[Código]],Venda_3meses[],2,FALSE),0)</f>
        <v>0</v>
      </c>
      <c r="W40" s="44" t="str">
        <f>IFERROR(Tarifold[[#This Row],[V. 3 meses]]/Tarifold[[#This Row],[Proj. de V. 3 meses]],"")</f>
        <v/>
      </c>
      <c r="X4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0.13333333333333333</v>
      </c>
      <c r="Y40" s="39">
        <f>IFERROR(VLOOKUP(Tarifold[[#This Row],[Código]],Venda_12meses[],2,FALSE),0)</f>
        <v>0</v>
      </c>
      <c r="Z40" s="44">
        <f>IFERROR(Tarifold[[#This Row],[V. 12 meses]]/Tarifold[[#This Row],[Proj. de V. 12 meses]],"")</f>
        <v>0</v>
      </c>
      <c r="AA40" s="22"/>
    </row>
    <row r="41" spans="1:27" x14ac:dyDescent="0.25">
      <c r="A41" s="22" t="str">
        <f>VLOOKUP(Tarifold[[#This Row],[Código]],BD_Produto[#All],7,FALSE)</f>
        <v>Fora de Linha</v>
      </c>
      <c r="B4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1" s="23">
        <v>33070754077</v>
      </c>
      <c r="D41" s="22" t="s">
        <v>1273</v>
      </c>
      <c r="E41" s="22" t="s">
        <v>2676</v>
      </c>
      <c r="F41" s="22" t="s">
        <v>2676</v>
      </c>
      <c r="G41" s="24"/>
      <c r="H41" s="25"/>
      <c r="I41" s="22"/>
      <c r="J41" s="24"/>
      <c r="K41" s="24" t="str">
        <f>IFERROR(VLOOKUP(Tarifold[[#This Row],[Código]],Importação!P:R,3,FALSE),"")</f>
        <v/>
      </c>
      <c r="L41" s="24">
        <f>IFERROR(VLOOKUP(Tarifold[[#This Row],[Código]],Saldo[],3,FALSE),0)</f>
        <v>166</v>
      </c>
      <c r="M41" s="24">
        <f>SUM(Tarifold[[#This Row],[Produção]:[Estoque]])</f>
        <v>166</v>
      </c>
      <c r="N41" s="24" t="str">
        <f>IFERROR(Tarifold[[#This Row],[Estoque+Importação]]/Tarifold[[#This Row],[Proj. de V. No prox. mes]],"Sem Projeção")</f>
        <v>Sem Projeção</v>
      </c>
      <c r="O41" s="24" t="str">
        <f>IF(OR(Tarifold[[#This Row],[Status]]="Em Linha",Tarifold[[#This Row],[Status]]="Componente",Tarifold[[#This Row],[Status]]="Materia Prima"),Tarifold[[#This Row],[Proj. de V. No prox. mes]]*10,"-")</f>
        <v>-</v>
      </c>
      <c r="P4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1" s="75">
        <f>VLOOKUP(Tarifold[[#This Row],[Código]],Projeção[#All],15,FALSE)</f>
        <v>0</v>
      </c>
      <c r="R41" s="39">
        <f>VLOOKUP(Tarifold[[#This Row],[Código]],Projeção[#All],14,FALSE)</f>
        <v>0</v>
      </c>
      <c r="S41" s="39">
        <f>IFERROR(VLOOKUP(Tarifold[[#This Row],[Código]],Venda_mes[],2,FALSE),0)</f>
        <v>0</v>
      </c>
      <c r="T41" s="44" t="str">
        <f>IFERROR(Tarifold[[#This Row],[V. No mes]]/Tarifold[[#This Row],[Proj. de V. No mes]],"")</f>
        <v/>
      </c>
      <c r="U41" s="43">
        <f>VLOOKUP(Tarifold[[#This Row],[Código]],Projeção[#All],14,FALSE)+VLOOKUP(Tarifold[[#This Row],[Código]],Projeção[#All],13,FALSE)+VLOOKUP(Tarifold[[#This Row],[Código]],Projeção[#All],12,FALSE)</f>
        <v>0</v>
      </c>
      <c r="V41" s="39">
        <f>IFERROR(VLOOKUP(Tarifold[[#This Row],[Código]],Venda_3meses[],2,FALSE),0)</f>
        <v>0</v>
      </c>
      <c r="W41" s="44" t="str">
        <f>IFERROR(Tarifold[[#This Row],[V. 3 meses]]/Tarifold[[#This Row],[Proj. de V. 3 meses]],"")</f>
        <v/>
      </c>
      <c r="X4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1" s="39">
        <f>IFERROR(VLOOKUP(Tarifold[[#This Row],[Código]],Venda_12meses[],2,FALSE),0)</f>
        <v>0</v>
      </c>
      <c r="Z41" s="44" t="str">
        <f>IFERROR(Tarifold[[#This Row],[V. 12 meses]]/Tarifold[[#This Row],[Proj. de V. 12 meses]],"")</f>
        <v/>
      </c>
      <c r="AA41" s="22"/>
    </row>
    <row r="42" spans="1:27" x14ac:dyDescent="0.25">
      <c r="A42" s="22" t="str">
        <f>VLOOKUP(Tarifold[[#This Row],[Código]],BD_Produto[#All],7,FALSE)</f>
        <v>Fora de Linha</v>
      </c>
      <c r="B4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2" s="23">
        <v>33070754120</v>
      </c>
      <c r="D42" s="22" t="s">
        <v>1274</v>
      </c>
      <c r="E42" s="22" t="s">
        <v>2676</v>
      </c>
      <c r="F42" s="22" t="s">
        <v>2676</v>
      </c>
      <c r="G42" s="24"/>
      <c r="H42" s="25"/>
      <c r="I42" s="22"/>
      <c r="J42" s="24"/>
      <c r="K42" s="24" t="str">
        <f>IFERROR(VLOOKUP(Tarifold[[#This Row],[Código]],Importação!P:R,3,FALSE),"")</f>
        <v/>
      </c>
      <c r="L42" s="24">
        <f>IFERROR(VLOOKUP(Tarifold[[#This Row],[Código]],Saldo[],3,FALSE),0)</f>
        <v>97</v>
      </c>
      <c r="M42" s="24">
        <f>SUM(Tarifold[[#This Row],[Produção]:[Estoque]])</f>
        <v>97</v>
      </c>
      <c r="N42" s="24" t="str">
        <f>IFERROR(Tarifold[[#This Row],[Estoque+Importação]]/Tarifold[[#This Row],[Proj. de V. No prox. mes]],"Sem Projeção")</f>
        <v>Sem Projeção</v>
      </c>
      <c r="O42" s="24" t="str">
        <f>IF(OR(Tarifold[[#This Row],[Status]]="Em Linha",Tarifold[[#This Row],[Status]]="Componente",Tarifold[[#This Row],[Status]]="Materia Prima"),Tarifold[[#This Row],[Proj. de V. No prox. mes]]*10,"-")</f>
        <v>-</v>
      </c>
      <c r="P4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2" s="75">
        <f>VLOOKUP(Tarifold[[#This Row],[Código]],Projeção[#All],15,FALSE)</f>
        <v>0</v>
      </c>
      <c r="R42" s="39">
        <f>VLOOKUP(Tarifold[[#This Row],[Código]],Projeção[#All],14,FALSE)</f>
        <v>0</v>
      </c>
      <c r="S42" s="39">
        <f>IFERROR(VLOOKUP(Tarifold[[#This Row],[Código]],Venda_mes[],2,FALSE),0)</f>
        <v>0</v>
      </c>
      <c r="T42" s="44" t="str">
        <f>IFERROR(Tarifold[[#This Row],[V. No mes]]/Tarifold[[#This Row],[Proj. de V. No mes]],"")</f>
        <v/>
      </c>
      <c r="U42" s="43">
        <f>VLOOKUP(Tarifold[[#This Row],[Código]],Projeção[#All],14,FALSE)+VLOOKUP(Tarifold[[#This Row],[Código]],Projeção[#All],13,FALSE)+VLOOKUP(Tarifold[[#This Row],[Código]],Projeção[#All],12,FALSE)</f>
        <v>0</v>
      </c>
      <c r="V42" s="39">
        <f>IFERROR(VLOOKUP(Tarifold[[#This Row],[Código]],Venda_3meses[],2,FALSE),0)</f>
        <v>0</v>
      </c>
      <c r="W42" s="44" t="str">
        <f>IFERROR(Tarifold[[#This Row],[V. 3 meses]]/Tarifold[[#This Row],[Proj. de V. 3 meses]],"")</f>
        <v/>
      </c>
      <c r="X4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2" s="39">
        <f>IFERROR(VLOOKUP(Tarifold[[#This Row],[Código]],Venda_12meses[],2,FALSE),0)</f>
        <v>0</v>
      </c>
      <c r="Z42" s="44" t="str">
        <f>IFERROR(Tarifold[[#This Row],[V. 12 meses]]/Tarifold[[#This Row],[Proj. de V. 12 meses]],"")</f>
        <v/>
      </c>
      <c r="AA42" s="22"/>
    </row>
    <row r="43" spans="1:27" x14ac:dyDescent="0.25">
      <c r="A43" s="22" t="str">
        <f>VLOOKUP(Tarifold[[#This Row],[Código]],BD_Produto[#All],7,FALSE)</f>
        <v>Fora de Linha</v>
      </c>
      <c r="B4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3" s="23">
        <v>33070763431</v>
      </c>
      <c r="D43" s="22" t="s">
        <v>1275</v>
      </c>
      <c r="E43" s="22" t="s">
        <v>1724</v>
      </c>
      <c r="F43" s="22" t="s">
        <v>1724</v>
      </c>
      <c r="G43" s="24"/>
      <c r="H43" s="25"/>
      <c r="I43" s="22"/>
      <c r="J43" s="24"/>
      <c r="K43" s="24" t="str">
        <f>IFERROR(VLOOKUP(Tarifold[[#This Row],[Código]],Importação!P:R,3,FALSE),"")</f>
        <v/>
      </c>
      <c r="L43" s="24">
        <f>IFERROR(VLOOKUP(Tarifold[[#This Row],[Código]],Saldo[],3,FALSE),0)</f>
        <v>99</v>
      </c>
      <c r="M43" s="24">
        <f>SUM(Tarifold[[#This Row],[Produção]:[Estoque]])</f>
        <v>99</v>
      </c>
      <c r="N43" s="24" t="str">
        <f>IFERROR(Tarifold[[#This Row],[Estoque+Importação]]/Tarifold[[#This Row],[Proj. de V. No prox. mes]],"Sem Projeção")</f>
        <v>Sem Projeção</v>
      </c>
      <c r="O43" s="24" t="str">
        <f>IF(OR(Tarifold[[#This Row],[Status]]="Em Linha",Tarifold[[#This Row],[Status]]="Componente",Tarifold[[#This Row],[Status]]="Materia Prima"),Tarifold[[#This Row],[Proj. de V. No prox. mes]]*10,"-")</f>
        <v>-</v>
      </c>
      <c r="P4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3" s="75">
        <f>VLOOKUP(Tarifold[[#This Row],[Código]],Projeção[#All],15,FALSE)</f>
        <v>0</v>
      </c>
      <c r="R43" s="39">
        <f>VLOOKUP(Tarifold[[#This Row],[Código]],Projeção[#All],14,FALSE)</f>
        <v>0</v>
      </c>
      <c r="S43" s="39">
        <f>IFERROR(VLOOKUP(Tarifold[[#This Row],[Código]],Venda_mes[],2,FALSE),0)</f>
        <v>0</v>
      </c>
      <c r="T43" s="44" t="str">
        <f>IFERROR(Tarifold[[#This Row],[V. No mes]]/Tarifold[[#This Row],[Proj. de V. No mes]],"")</f>
        <v/>
      </c>
      <c r="U43" s="43">
        <f>VLOOKUP(Tarifold[[#This Row],[Código]],Projeção[#All],14,FALSE)+VLOOKUP(Tarifold[[#This Row],[Código]],Projeção[#All],13,FALSE)+VLOOKUP(Tarifold[[#This Row],[Código]],Projeção[#All],12,FALSE)</f>
        <v>0</v>
      </c>
      <c r="V43" s="39">
        <f>IFERROR(VLOOKUP(Tarifold[[#This Row],[Código]],Venda_3meses[],2,FALSE),0)</f>
        <v>0</v>
      </c>
      <c r="W43" s="44" t="str">
        <f>IFERROR(Tarifold[[#This Row],[V. 3 meses]]/Tarifold[[#This Row],[Proj. de V. 3 meses]],"")</f>
        <v/>
      </c>
      <c r="X4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3" s="39">
        <f>IFERROR(VLOOKUP(Tarifold[[#This Row],[Código]],Venda_12meses[],2,FALSE),0)</f>
        <v>0</v>
      </c>
      <c r="Z43" s="44" t="str">
        <f>IFERROR(Tarifold[[#This Row],[V. 12 meses]]/Tarifold[[#This Row],[Proj. de V. 12 meses]],"")</f>
        <v/>
      </c>
      <c r="AA43" s="22"/>
    </row>
    <row r="44" spans="1:27" x14ac:dyDescent="0.25">
      <c r="A44" s="22" t="str">
        <f>VLOOKUP(Tarifold[[#This Row],[Código]],BD_Produto[#All],7,FALSE)</f>
        <v>Fora de Linha</v>
      </c>
      <c r="B4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4" s="23">
        <v>33070763433</v>
      </c>
      <c r="D44" s="22" t="s">
        <v>1276</v>
      </c>
      <c r="E44" s="22" t="s">
        <v>1724</v>
      </c>
      <c r="F44" s="22" t="s">
        <v>1724</v>
      </c>
      <c r="G44" s="24"/>
      <c r="H44" s="25"/>
      <c r="I44" s="22"/>
      <c r="J44" s="24"/>
      <c r="K44" s="24" t="str">
        <f>IFERROR(VLOOKUP(Tarifold[[#This Row],[Código]],Importação!P:R,3,FALSE),"")</f>
        <v/>
      </c>
      <c r="L44" s="24">
        <f>IFERROR(VLOOKUP(Tarifold[[#This Row],[Código]],Saldo[],3,FALSE),0)</f>
        <v>100</v>
      </c>
      <c r="M44" s="24">
        <f>SUM(Tarifold[[#This Row],[Produção]:[Estoque]])</f>
        <v>100</v>
      </c>
      <c r="N44" s="24" t="str">
        <f>IFERROR(Tarifold[[#This Row],[Estoque+Importação]]/Tarifold[[#This Row],[Proj. de V. No prox. mes]],"Sem Projeção")</f>
        <v>Sem Projeção</v>
      </c>
      <c r="O44" s="24" t="str">
        <f>IF(OR(Tarifold[[#This Row],[Status]]="Em Linha",Tarifold[[#This Row],[Status]]="Componente",Tarifold[[#This Row],[Status]]="Materia Prima"),Tarifold[[#This Row],[Proj. de V. No prox. mes]]*10,"-")</f>
        <v>-</v>
      </c>
      <c r="P4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4" s="75">
        <f>VLOOKUP(Tarifold[[#This Row],[Código]],Projeção[#All],15,FALSE)</f>
        <v>0</v>
      </c>
      <c r="R44" s="39">
        <f>VLOOKUP(Tarifold[[#This Row],[Código]],Projeção[#All],14,FALSE)</f>
        <v>0</v>
      </c>
      <c r="S44" s="39">
        <f>IFERROR(VLOOKUP(Tarifold[[#This Row],[Código]],Venda_mes[],2,FALSE),0)</f>
        <v>0</v>
      </c>
      <c r="T44" s="44" t="str">
        <f>IFERROR(Tarifold[[#This Row],[V. No mes]]/Tarifold[[#This Row],[Proj. de V. No mes]],"")</f>
        <v/>
      </c>
      <c r="U44" s="43">
        <f>VLOOKUP(Tarifold[[#This Row],[Código]],Projeção[#All],14,FALSE)+VLOOKUP(Tarifold[[#This Row],[Código]],Projeção[#All],13,FALSE)+VLOOKUP(Tarifold[[#This Row],[Código]],Projeção[#All],12,FALSE)</f>
        <v>0</v>
      </c>
      <c r="V44" s="39">
        <f>IFERROR(VLOOKUP(Tarifold[[#This Row],[Código]],Venda_3meses[],2,FALSE),0)</f>
        <v>0</v>
      </c>
      <c r="W44" s="44" t="str">
        <f>IFERROR(Tarifold[[#This Row],[V. 3 meses]]/Tarifold[[#This Row],[Proj. de V. 3 meses]],"")</f>
        <v/>
      </c>
      <c r="X4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4" s="39">
        <f>IFERROR(VLOOKUP(Tarifold[[#This Row],[Código]],Venda_12meses[],2,FALSE),0)</f>
        <v>0</v>
      </c>
      <c r="Z44" s="44" t="str">
        <f>IFERROR(Tarifold[[#This Row],[V. 12 meses]]/Tarifold[[#This Row],[Proj. de V. 12 meses]],"")</f>
        <v/>
      </c>
      <c r="AA44" s="22"/>
    </row>
    <row r="45" spans="1:27" x14ac:dyDescent="0.25">
      <c r="A45" s="22" t="str">
        <f>VLOOKUP(Tarifold[[#This Row],[Código]],BD_Produto[#All],7,FALSE)</f>
        <v>Fora de Linha</v>
      </c>
      <c r="B4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5" s="23">
        <v>33070763432</v>
      </c>
      <c r="D45" s="22" t="s">
        <v>1277</v>
      </c>
      <c r="E45" s="22" t="s">
        <v>1724</v>
      </c>
      <c r="F45" s="22" t="s">
        <v>1724</v>
      </c>
      <c r="G45" s="24"/>
      <c r="H45" s="25"/>
      <c r="I45" s="22"/>
      <c r="J45" s="24"/>
      <c r="K45" s="24" t="str">
        <f>IFERROR(VLOOKUP(Tarifold[[#This Row],[Código]],Importação!P:R,3,FALSE),"")</f>
        <v/>
      </c>
      <c r="L45" s="24">
        <f>IFERROR(VLOOKUP(Tarifold[[#This Row],[Código]],Saldo[],3,FALSE),0)</f>
        <v>100</v>
      </c>
      <c r="M45" s="24">
        <f>SUM(Tarifold[[#This Row],[Produção]:[Estoque]])</f>
        <v>100</v>
      </c>
      <c r="N45" s="24" t="str">
        <f>IFERROR(Tarifold[[#This Row],[Estoque+Importação]]/Tarifold[[#This Row],[Proj. de V. No prox. mes]],"Sem Projeção")</f>
        <v>Sem Projeção</v>
      </c>
      <c r="O45" s="24" t="str">
        <f>IF(OR(Tarifold[[#This Row],[Status]]="Em Linha",Tarifold[[#This Row],[Status]]="Componente",Tarifold[[#This Row],[Status]]="Materia Prima"),Tarifold[[#This Row],[Proj. de V. No prox. mes]]*10,"-")</f>
        <v>-</v>
      </c>
      <c r="P4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5" s="75">
        <f>VLOOKUP(Tarifold[[#This Row],[Código]],Projeção[#All],15,FALSE)</f>
        <v>0</v>
      </c>
      <c r="R45" s="39">
        <f>VLOOKUP(Tarifold[[#This Row],[Código]],Projeção[#All],14,FALSE)</f>
        <v>0</v>
      </c>
      <c r="S45" s="39">
        <f>IFERROR(VLOOKUP(Tarifold[[#This Row],[Código]],Venda_mes[],2,FALSE),0)</f>
        <v>0</v>
      </c>
      <c r="T45" s="44" t="str">
        <f>IFERROR(Tarifold[[#This Row],[V. No mes]]/Tarifold[[#This Row],[Proj. de V. No mes]],"")</f>
        <v/>
      </c>
      <c r="U45" s="43">
        <f>VLOOKUP(Tarifold[[#This Row],[Código]],Projeção[#All],14,FALSE)+VLOOKUP(Tarifold[[#This Row],[Código]],Projeção[#All],13,FALSE)+VLOOKUP(Tarifold[[#This Row],[Código]],Projeção[#All],12,FALSE)</f>
        <v>0</v>
      </c>
      <c r="V45" s="39">
        <f>IFERROR(VLOOKUP(Tarifold[[#This Row],[Código]],Venda_3meses[],2,FALSE),0)</f>
        <v>0</v>
      </c>
      <c r="W45" s="44" t="str">
        <f>IFERROR(Tarifold[[#This Row],[V. 3 meses]]/Tarifold[[#This Row],[Proj. de V. 3 meses]],"")</f>
        <v/>
      </c>
      <c r="X4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5" s="39">
        <f>IFERROR(VLOOKUP(Tarifold[[#This Row],[Código]],Venda_12meses[],2,FALSE),0)</f>
        <v>0</v>
      </c>
      <c r="Z45" s="44" t="str">
        <f>IFERROR(Tarifold[[#This Row],[V. 12 meses]]/Tarifold[[#This Row],[Proj. de V. 12 meses]],"")</f>
        <v/>
      </c>
      <c r="AA45" s="22"/>
    </row>
    <row r="46" spans="1:27" x14ac:dyDescent="0.25">
      <c r="A46" s="22" t="str">
        <f>VLOOKUP(Tarifold[[#This Row],[Código]],BD_Produto[#All],7,FALSE)</f>
        <v>Fora de Linha</v>
      </c>
      <c r="B4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6" s="23">
        <v>33070763435</v>
      </c>
      <c r="D46" s="22" t="s">
        <v>1278</v>
      </c>
      <c r="E46" s="22" t="s">
        <v>1724</v>
      </c>
      <c r="F46" s="22" t="s">
        <v>1724</v>
      </c>
      <c r="G46" s="24"/>
      <c r="H46" s="25"/>
      <c r="I46" s="22"/>
      <c r="J46" s="24"/>
      <c r="K46" s="24" t="str">
        <f>IFERROR(VLOOKUP(Tarifold[[#This Row],[Código]],Importação!P:R,3,FALSE),"")</f>
        <v/>
      </c>
      <c r="L46" s="24">
        <f>IFERROR(VLOOKUP(Tarifold[[#This Row],[Código]],Saldo[],3,FALSE),0)</f>
        <v>93</v>
      </c>
      <c r="M46" s="24">
        <f>SUM(Tarifold[[#This Row],[Produção]:[Estoque]])</f>
        <v>93</v>
      </c>
      <c r="N46" s="24" t="str">
        <f>IFERROR(Tarifold[[#This Row],[Estoque+Importação]]/Tarifold[[#This Row],[Proj. de V. No prox. mes]],"Sem Projeção")</f>
        <v>Sem Projeção</v>
      </c>
      <c r="O46" s="24" t="str">
        <f>IF(OR(Tarifold[[#This Row],[Status]]="Em Linha",Tarifold[[#This Row],[Status]]="Componente",Tarifold[[#This Row],[Status]]="Materia Prima"),Tarifold[[#This Row],[Proj. de V. No prox. mes]]*10,"-")</f>
        <v>-</v>
      </c>
      <c r="P4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6" s="75">
        <f>VLOOKUP(Tarifold[[#This Row],[Código]],Projeção[#All],15,FALSE)</f>
        <v>0</v>
      </c>
      <c r="R46" s="39">
        <f>VLOOKUP(Tarifold[[#This Row],[Código]],Projeção[#All],14,FALSE)</f>
        <v>0</v>
      </c>
      <c r="S46" s="39">
        <f>IFERROR(VLOOKUP(Tarifold[[#This Row],[Código]],Venda_mes[],2,FALSE),0)</f>
        <v>0</v>
      </c>
      <c r="T46" s="44" t="str">
        <f>IFERROR(Tarifold[[#This Row],[V. No mes]]/Tarifold[[#This Row],[Proj. de V. No mes]],"")</f>
        <v/>
      </c>
      <c r="U46" s="43">
        <f>VLOOKUP(Tarifold[[#This Row],[Código]],Projeção[#All],14,FALSE)+VLOOKUP(Tarifold[[#This Row],[Código]],Projeção[#All],13,FALSE)+VLOOKUP(Tarifold[[#This Row],[Código]],Projeção[#All],12,FALSE)</f>
        <v>0</v>
      </c>
      <c r="V46" s="39">
        <f>IFERROR(VLOOKUP(Tarifold[[#This Row],[Código]],Venda_3meses[],2,FALSE),0)</f>
        <v>0</v>
      </c>
      <c r="W46" s="44" t="str">
        <f>IFERROR(Tarifold[[#This Row],[V. 3 meses]]/Tarifold[[#This Row],[Proj. de V. 3 meses]],"")</f>
        <v/>
      </c>
      <c r="X4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6" s="39">
        <f>IFERROR(VLOOKUP(Tarifold[[#This Row],[Código]],Venda_12meses[],2,FALSE),0)</f>
        <v>0</v>
      </c>
      <c r="Z46" s="44" t="str">
        <f>IFERROR(Tarifold[[#This Row],[V. 12 meses]]/Tarifold[[#This Row],[Proj. de V. 12 meses]],"")</f>
        <v/>
      </c>
      <c r="AA46" s="22"/>
    </row>
    <row r="47" spans="1:27" x14ac:dyDescent="0.25">
      <c r="A47" s="22" t="str">
        <f>VLOOKUP(Tarifold[[#This Row],[Código]],BD_Produto[#All],7,FALSE)</f>
        <v>Fora de Linha</v>
      </c>
      <c r="B4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7" s="23">
        <v>33070763434</v>
      </c>
      <c r="D47" s="22" t="s">
        <v>1279</v>
      </c>
      <c r="E47" s="22" t="s">
        <v>1724</v>
      </c>
      <c r="F47" s="22" t="s">
        <v>1724</v>
      </c>
      <c r="G47" s="24"/>
      <c r="H47" s="25"/>
      <c r="I47" s="22"/>
      <c r="J47" s="24"/>
      <c r="K47" s="24" t="str">
        <f>IFERROR(VLOOKUP(Tarifold[[#This Row],[Código]],Importação!P:R,3,FALSE),"")</f>
        <v/>
      </c>
      <c r="L47" s="24">
        <f>IFERROR(VLOOKUP(Tarifold[[#This Row],[Código]],Saldo[],3,FALSE),0)</f>
        <v>99</v>
      </c>
      <c r="M47" s="24">
        <f>SUM(Tarifold[[#This Row],[Produção]:[Estoque]])</f>
        <v>99</v>
      </c>
      <c r="N47" s="24" t="str">
        <f>IFERROR(Tarifold[[#This Row],[Estoque+Importação]]/Tarifold[[#This Row],[Proj. de V. No prox. mes]],"Sem Projeção")</f>
        <v>Sem Projeção</v>
      </c>
      <c r="O47" s="24" t="str">
        <f>IF(OR(Tarifold[[#This Row],[Status]]="Em Linha",Tarifold[[#This Row],[Status]]="Componente",Tarifold[[#This Row],[Status]]="Materia Prima"),Tarifold[[#This Row],[Proj. de V. No prox. mes]]*10,"-")</f>
        <v>-</v>
      </c>
      <c r="P4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7" s="75">
        <f>VLOOKUP(Tarifold[[#This Row],[Código]],Projeção[#All],15,FALSE)</f>
        <v>0</v>
      </c>
      <c r="R47" s="39">
        <f>VLOOKUP(Tarifold[[#This Row],[Código]],Projeção[#All],14,FALSE)</f>
        <v>0</v>
      </c>
      <c r="S47" s="39">
        <f>IFERROR(VLOOKUP(Tarifold[[#This Row],[Código]],Venda_mes[],2,FALSE),0)</f>
        <v>0</v>
      </c>
      <c r="T47" s="44" t="str">
        <f>IFERROR(Tarifold[[#This Row],[V. No mes]]/Tarifold[[#This Row],[Proj. de V. No mes]],"")</f>
        <v/>
      </c>
      <c r="U47" s="43">
        <f>VLOOKUP(Tarifold[[#This Row],[Código]],Projeção[#All],14,FALSE)+VLOOKUP(Tarifold[[#This Row],[Código]],Projeção[#All],13,FALSE)+VLOOKUP(Tarifold[[#This Row],[Código]],Projeção[#All],12,FALSE)</f>
        <v>0</v>
      </c>
      <c r="V47" s="39">
        <f>IFERROR(VLOOKUP(Tarifold[[#This Row],[Código]],Venda_3meses[],2,FALSE),0)</f>
        <v>0</v>
      </c>
      <c r="W47" s="44" t="str">
        <f>IFERROR(Tarifold[[#This Row],[V. 3 meses]]/Tarifold[[#This Row],[Proj. de V. 3 meses]],"")</f>
        <v/>
      </c>
      <c r="X4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7" s="39">
        <f>IFERROR(VLOOKUP(Tarifold[[#This Row],[Código]],Venda_12meses[],2,FALSE),0)</f>
        <v>0</v>
      </c>
      <c r="Z47" s="44" t="str">
        <f>IFERROR(Tarifold[[#This Row],[V. 12 meses]]/Tarifold[[#This Row],[Proj. de V. 12 meses]],"")</f>
        <v/>
      </c>
      <c r="AA47" s="22"/>
    </row>
    <row r="48" spans="1:27" x14ac:dyDescent="0.25">
      <c r="A48" s="22" t="str">
        <f>VLOOKUP(Tarifold[[#This Row],[Código]],BD_Produto[#All],7,FALSE)</f>
        <v>Fora de Linha</v>
      </c>
      <c r="B4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8" s="23">
        <v>33070763419</v>
      </c>
      <c r="D48" s="22" t="s">
        <v>1280</v>
      </c>
      <c r="E48" s="22" t="s">
        <v>1724</v>
      </c>
      <c r="F48" s="22" t="s">
        <v>1724</v>
      </c>
      <c r="G48" s="24"/>
      <c r="H48" s="25"/>
      <c r="I48" s="22"/>
      <c r="J48" s="24"/>
      <c r="K48" s="24" t="str">
        <f>IFERROR(VLOOKUP(Tarifold[[#This Row],[Código]],Importação!P:R,3,FALSE),"")</f>
        <v/>
      </c>
      <c r="L48" s="24">
        <f>IFERROR(VLOOKUP(Tarifold[[#This Row],[Código]],Saldo[],3,FALSE),0)</f>
        <v>90</v>
      </c>
      <c r="M48" s="24">
        <f>SUM(Tarifold[[#This Row],[Produção]:[Estoque]])</f>
        <v>90</v>
      </c>
      <c r="N48" s="24" t="str">
        <f>IFERROR(Tarifold[[#This Row],[Estoque+Importação]]/Tarifold[[#This Row],[Proj. de V. No prox. mes]],"Sem Projeção")</f>
        <v>Sem Projeção</v>
      </c>
      <c r="O48" s="24" t="str">
        <f>IF(OR(Tarifold[[#This Row],[Status]]="Em Linha",Tarifold[[#This Row],[Status]]="Componente",Tarifold[[#This Row],[Status]]="Materia Prima"),Tarifold[[#This Row],[Proj. de V. No prox. mes]]*10,"-")</f>
        <v>-</v>
      </c>
      <c r="P4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8" s="75">
        <f>VLOOKUP(Tarifold[[#This Row],[Código]],Projeção[#All],15,FALSE)</f>
        <v>0</v>
      </c>
      <c r="R48" s="39">
        <f>VLOOKUP(Tarifold[[#This Row],[Código]],Projeção[#All],14,FALSE)</f>
        <v>0</v>
      </c>
      <c r="S48" s="39">
        <f>IFERROR(VLOOKUP(Tarifold[[#This Row],[Código]],Venda_mes[],2,FALSE),0)</f>
        <v>0</v>
      </c>
      <c r="T48" s="44" t="str">
        <f>IFERROR(Tarifold[[#This Row],[V. No mes]]/Tarifold[[#This Row],[Proj. de V. No mes]],"")</f>
        <v/>
      </c>
      <c r="U48" s="43">
        <f>VLOOKUP(Tarifold[[#This Row],[Código]],Projeção[#All],14,FALSE)+VLOOKUP(Tarifold[[#This Row],[Código]],Projeção[#All],13,FALSE)+VLOOKUP(Tarifold[[#This Row],[Código]],Projeção[#All],12,FALSE)</f>
        <v>0</v>
      </c>
      <c r="V48" s="39">
        <f>IFERROR(VLOOKUP(Tarifold[[#This Row],[Código]],Venda_3meses[],2,FALSE),0)</f>
        <v>0</v>
      </c>
      <c r="W48" s="44" t="str">
        <f>IFERROR(Tarifold[[#This Row],[V. 3 meses]]/Tarifold[[#This Row],[Proj. de V. 3 meses]],"")</f>
        <v/>
      </c>
      <c r="X4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8" s="39">
        <f>IFERROR(VLOOKUP(Tarifold[[#This Row],[Código]],Venda_12meses[],2,FALSE),0)</f>
        <v>0</v>
      </c>
      <c r="Z48" s="44" t="str">
        <f>IFERROR(Tarifold[[#This Row],[V. 12 meses]]/Tarifold[[#This Row],[Proj. de V. 12 meses]],"")</f>
        <v/>
      </c>
      <c r="AA48" s="22"/>
    </row>
    <row r="49" spans="1:27" x14ac:dyDescent="0.25">
      <c r="A49" s="22" t="str">
        <f>VLOOKUP(Tarifold[[#This Row],[Código]],BD_Produto[#All],7,FALSE)</f>
        <v>Fora de Linha</v>
      </c>
      <c r="B4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49" s="23">
        <v>33070763416</v>
      </c>
      <c r="D49" s="22" t="s">
        <v>1281</v>
      </c>
      <c r="E49" s="22" t="s">
        <v>1724</v>
      </c>
      <c r="F49" s="22" t="s">
        <v>1724</v>
      </c>
      <c r="G49" s="24"/>
      <c r="H49" s="25"/>
      <c r="I49" s="22"/>
      <c r="J49" s="24"/>
      <c r="K49" s="24" t="str">
        <f>IFERROR(VLOOKUP(Tarifold[[#This Row],[Código]],Importação!P:R,3,FALSE),"")</f>
        <v/>
      </c>
      <c r="L49" s="24">
        <f>IFERROR(VLOOKUP(Tarifold[[#This Row],[Código]],Saldo[],3,FALSE),0)</f>
        <v>94</v>
      </c>
      <c r="M49" s="24">
        <f>SUM(Tarifold[[#This Row],[Produção]:[Estoque]])</f>
        <v>94</v>
      </c>
      <c r="N49" s="24" t="str">
        <f>IFERROR(Tarifold[[#This Row],[Estoque+Importação]]/Tarifold[[#This Row],[Proj. de V. No prox. mes]],"Sem Projeção")</f>
        <v>Sem Projeção</v>
      </c>
      <c r="O49" s="24" t="str">
        <f>IF(OR(Tarifold[[#This Row],[Status]]="Em Linha",Tarifold[[#This Row],[Status]]="Componente",Tarifold[[#This Row],[Status]]="Materia Prima"),Tarifold[[#This Row],[Proj. de V. No prox. mes]]*10,"-")</f>
        <v>-</v>
      </c>
      <c r="P4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49" s="75">
        <f>VLOOKUP(Tarifold[[#This Row],[Código]],Projeção[#All],15,FALSE)</f>
        <v>0</v>
      </c>
      <c r="R49" s="39">
        <f>VLOOKUP(Tarifold[[#This Row],[Código]],Projeção[#All],14,FALSE)</f>
        <v>0</v>
      </c>
      <c r="S49" s="39">
        <f>IFERROR(VLOOKUP(Tarifold[[#This Row],[Código]],Venda_mes[],2,FALSE),0)</f>
        <v>0</v>
      </c>
      <c r="T49" s="44" t="str">
        <f>IFERROR(Tarifold[[#This Row],[V. No mes]]/Tarifold[[#This Row],[Proj. de V. No mes]],"")</f>
        <v/>
      </c>
      <c r="U49" s="43">
        <f>VLOOKUP(Tarifold[[#This Row],[Código]],Projeção[#All],14,FALSE)+VLOOKUP(Tarifold[[#This Row],[Código]],Projeção[#All],13,FALSE)+VLOOKUP(Tarifold[[#This Row],[Código]],Projeção[#All],12,FALSE)</f>
        <v>0</v>
      </c>
      <c r="V49" s="39">
        <f>IFERROR(VLOOKUP(Tarifold[[#This Row],[Código]],Venda_3meses[],2,FALSE),0)</f>
        <v>0</v>
      </c>
      <c r="W49" s="44" t="str">
        <f>IFERROR(Tarifold[[#This Row],[V. 3 meses]]/Tarifold[[#This Row],[Proj. de V. 3 meses]],"")</f>
        <v/>
      </c>
      <c r="X4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49" s="39">
        <f>IFERROR(VLOOKUP(Tarifold[[#This Row],[Código]],Venda_12meses[],2,FALSE),0)</f>
        <v>0</v>
      </c>
      <c r="Z49" s="44" t="str">
        <f>IFERROR(Tarifold[[#This Row],[V. 12 meses]]/Tarifold[[#This Row],[Proj. de V. 12 meses]],"")</f>
        <v/>
      </c>
      <c r="AA49" s="22"/>
    </row>
    <row r="50" spans="1:27" x14ac:dyDescent="0.25">
      <c r="A50" s="22" t="str">
        <f>VLOOKUP(Tarifold[[#This Row],[Código]],BD_Produto[#All],7,FALSE)</f>
        <v>Fora de Linha</v>
      </c>
      <c r="B5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0" s="23">
        <v>33070763417</v>
      </c>
      <c r="D50" s="22" t="s">
        <v>1282</v>
      </c>
      <c r="E50" s="22" t="s">
        <v>1724</v>
      </c>
      <c r="F50" s="22" t="s">
        <v>1724</v>
      </c>
      <c r="G50" s="24"/>
      <c r="H50" s="25"/>
      <c r="I50" s="22"/>
      <c r="J50" s="24"/>
      <c r="K50" s="24" t="str">
        <f>IFERROR(VLOOKUP(Tarifold[[#This Row],[Código]],Importação!P:R,3,FALSE),"")</f>
        <v/>
      </c>
      <c r="L50" s="24">
        <f>IFERROR(VLOOKUP(Tarifold[[#This Row],[Código]],Saldo[],3,FALSE),0)</f>
        <v>89</v>
      </c>
      <c r="M50" s="24">
        <f>SUM(Tarifold[[#This Row],[Produção]:[Estoque]])</f>
        <v>89</v>
      </c>
      <c r="N50" s="24" t="str">
        <f>IFERROR(Tarifold[[#This Row],[Estoque+Importação]]/Tarifold[[#This Row],[Proj. de V. No prox. mes]],"Sem Projeção")</f>
        <v>Sem Projeção</v>
      </c>
      <c r="O50" s="24" t="str">
        <f>IF(OR(Tarifold[[#This Row],[Status]]="Em Linha",Tarifold[[#This Row],[Status]]="Componente",Tarifold[[#This Row],[Status]]="Materia Prima"),Tarifold[[#This Row],[Proj. de V. No prox. mes]]*10,"-")</f>
        <v>-</v>
      </c>
      <c r="P5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0" s="75">
        <f>VLOOKUP(Tarifold[[#This Row],[Código]],Projeção[#All],15,FALSE)</f>
        <v>0</v>
      </c>
      <c r="R50" s="39">
        <f>VLOOKUP(Tarifold[[#This Row],[Código]],Projeção[#All],14,FALSE)</f>
        <v>0</v>
      </c>
      <c r="S50" s="39">
        <f>IFERROR(VLOOKUP(Tarifold[[#This Row],[Código]],Venda_mes[],2,FALSE),0)</f>
        <v>0</v>
      </c>
      <c r="T50" s="44" t="str">
        <f>IFERROR(Tarifold[[#This Row],[V. No mes]]/Tarifold[[#This Row],[Proj. de V. No mes]],"")</f>
        <v/>
      </c>
      <c r="U50" s="43">
        <f>VLOOKUP(Tarifold[[#This Row],[Código]],Projeção[#All],14,FALSE)+VLOOKUP(Tarifold[[#This Row],[Código]],Projeção[#All],13,FALSE)+VLOOKUP(Tarifold[[#This Row],[Código]],Projeção[#All],12,FALSE)</f>
        <v>0</v>
      </c>
      <c r="V50" s="39">
        <f>IFERROR(VLOOKUP(Tarifold[[#This Row],[Código]],Venda_3meses[],2,FALSE),0)</f>
        <v>0</v>
      </c>
      <c r="W50" s="44" t="str">
        <f>IFERROR(Tarifold[[#This Row],[V. 3 meses]]/Tarifold[[#This Row],[Proj. de V. 3 meses]],"")</f>
        <v/>
      </c>
      <c r="X5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0" s="39">
        <f>IFERROR(VLOOKUP(Tarifold[[#This Row],[Código]],Venda_12meses[],2,FALSE),0)</f>
        <v>0</v>
      </c>
      <c r="Z50" s="44" t="str">
        <f>IFERROR(Tarifold[[#This Row],[V. 12 meses]]/Tarifold[[#This Row],[Proj. de V. 12 meses]],"")</f>
        <v/>
      </c>
      <c r="AA50" s="22"/>
    </row>
    <row r="51" spans="1:27" x14ac:dyDescent="0.25">
      <c r="A51" s="22" t="str">
        <f>VLOOKUP(Tarifold[[#This Row],[Código]],BD_Produto[#All],7,FALSE)</f>
        <v>Fora de Linha</v>
      </c>
      <c r="B5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1" s="23">
        <v>33070763420</v>
      </c>
      <c r="D51" s="22" t="s">
        <v>1283</v>
      </c>
      <c r="E51" s="22" t="s">
        <v>1724</v>
      </c>
      <c r="F51" s="22" t="s">
        <v>1724</v>
      </c>
      <c r="G51" s="24"/>
      <c r="H51" s="25"/>
      <c r="I51" s="22"/>
      <c r="J51" s="24"/>
      <c r="K51" s="24" t="str">
        <f>IFERROR(VLOOKUP(Tarifold[[#This Row],[Código]],Importação!P:R,3,FALSE),"")</f>
        <v/>
      </c>
      <c r="L51" s="24">
        <f>IFERROR(VLOOKUP(Tarifold[[#This Row],[Código]],Saldo[],3,FALSE),0)</f>
        <v>94</v>
      </c>
      <c r="M51" s="24">
        <f>SUM(Tarifold[[#This Row],[Produção]:[Estoque]])</f>
        <v>94</v>
      </c>
      <c r="N51" s="24" t="str">
        <f>IFERROR(Tarifold[[#This Row],[Estoque+Importação]]/Tarifold[[#This Row],[Proj. de V. No prox. mes]],"Sem Projeção")</f>
        <v>Sem Projeção</v>
      </c>
      <c r="O51" s="24" t="str">
        <f>IF(OR(Tarifold[[#This Row],[Status]]="Em Linha",Tarifold[[#This Row],[Status]]="Componente",Tarifold[[#This Row],[Status]]="Materia Prima"),Tarifold[[#This Row],[Proj. de V. No prox. mes]]*10,"-")</f>
        <v>-</v>
      </c>
      <c r="P5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1" s="75">
        <f>VLOOKUP(Tarifold[[#This Row],[Código]],Projeção[#All],15,FALSE)</f>
        <v>0</v>
      </c>
      <c r="R51" s="39">
        <f>VLOOKUP(Tarifold[[#This Row],[Código]],Projeção[#All],14,FALSE)</f>
        <v>0</v>
      </c>
      <c r="S51" s="39">
        <f>IFERROR(VLOOKUP(Tarifold[[#This Row],[Código]],Venda_mes[],2,FALSE),0)</f>
        <v>0</v>
      </c>
      <c r="T51" s="44" t="str">
        <f>IFERROR(Tarifold[[#This Row],[V. No mes]]/Tarifold[[#This Row],[Proj. de V. No mes]],"")</f>
        <v/>
      </c>
      <c r="U51" s="43">
        <f>VLOOKUP(Tarifold[[#This Row],[Código]],Projeção[#All],14,FALSE)+VLOOKUP(Tarifold[[#This Row],[Código]],Projeção[#All],13,FALSE)+VLOOKUP(Tarifold[[#This Row],[Código]],Projeção[#All],12,FALSE)</f>
        <v>0</v>
      </c>
      <c r="V51" s="39">
        <f>IFERROR(VLOOKUP(Tarifold[[#This Row],[Código]],Venda_3meses[],2,FALSE),0)</f>
        <v>0</v>
      </c>
      <c r="W51" s="44" t="str">
        <f>IFERROR(Tarifold[[#This Row],[V. 3 meses]]/Tarifold[[#This Row],[Proj. de V. 3 meses]],"")</f>
        <v/>
      </c>
      <c r="X5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1" s="39">
        <f>IFERROR(VLOOKUP(Tarifold[[#This Row],[Código]],Venda_12meses[],2,FALSE),0)</f>
        <v>0</v>
      </c>
      <c r="Z51" s="44" t="str">
        <f>IFERROR(Tarifold[[#This Row],[V. 12 meses]]/Tarifold[[#This Row],[Proj. de V. 12 meses]],"")</f>
        <v/>
      </c>
      <c r="AA51" s="22"/>
    </row>
    <row r="52" spans="1:27" x14ac:dyDescent="0.25">
      <c r="A52" s="22" t="str">
        <f>VLOOKUP(Tarifold[[#This Row],[Código]],BD_Produto[#All],7,FALSE)</f>
        <v>Fora de Linha</v>
      </c>
      <c r="B5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2" s="23">
        <v>33070763418</v>
      </c>
      <c r="D52" s="22" t="s">
        <v>1284</v>
      </c>
      <c r="E52" s="22" t="s">
        <v>1724</v>
      </c>
      <c r="F52" s="22" t="s">
        <v>1724</v>
      </c>
      <c r="G52" s="24"/>
      <c r="H52" s="25"/>
      <c r="I52" s="22"/>
      <c r="J52" s="24"/>
      <c r="K52" s="24" t="str">
        <f>IFERROR(VLOOKUP(Tarifold[[#This Row],[Código]],Importação!P:R,3,FALSE),"")</f>
        <v/>
      </c>
      <c r="L52" s="24">
        <f>IFERROR(VLOOKUP(Tarifold[[#This Row],[Código]],Saldo[],3,FALSE),0)</f>
        <v>93</v>
      </c>
      <c r="M52" s="24">
        <f>SUM(Tarifold[[#This Row],[Produção]:[Estoque]])</f>
        <v>93</v>
      </c>
      <c r="N52" s="24" t="str">
        <f>IFERROR(Tarifold[[#This Row],[Estoque+Importação]]/Tarifold[[#This Row],[Proj. de V. No prox. mes]],"Sem Projeção")</f>
        <v>Sem Projeção</v>
      </c>
      <c r="O52" s="24" t="str">
        <f>IF(OR(Tarifold[[#This Row],[Status]]="Em Linha",Tarifold[[#This Row],[Status]]="Componente",Tarifold[[#This Row],[Status]]="Materia Prima"),Tarifold[[#This Row],[Proj. de V. No prox. mes]]*10,"-")</f>
        <v>-</v>
      </c>
      <c r="P5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2" s="75">
        <f>VLOOKUP(Tarifold[[#This Row],[Código]],Projeção[#All],15,FALSE)</f>
        <v>0</v>
      </c>
      <c r="R52" s="39">
        <f>VLOOKUP(Tarifold[[#This Row],[Código]],Projeção[#All],14,FALSE)</f>
        <v>0</v>
      </c>
      <c r="S52" s="39">
        <f>IFERROR(VLOOKUP(Tarifold[[#This Row],[Código]],Venda_mes[],2,FALSE),0)</f>
        <v>0</v>
      </c>
      <c r="T52" s="44" t="str">
        <f>IFERROR(Tarifold[[#This Row],[V. No mes]]/Tarifold[[#This Row],[Proj. de V. No mes]],"")</f>
        <v/>
      </c>
      <c r="U52" s="43">
        <f>VLOOKUP(Tarifold[[#This Row],[Código]],Projeção[#All],14,FALSE)+VLOOKUP(Tarifold[[#This Row],[Código]],Projeção[#All],13,FALSE)+VLOOKUP(Tarifold[[#This Row],[Código]],Projeção[#All],12,FALSE)</f>
        <v>0</v>
      </c>
      <c r="V52" s="39">
        <f>IFERROR(VLOOKUP(Tarifold[[#This Row],[Código]],Venda_3meses[],2,FALSE),0)</f>
        <v>0</v>
      </c>
      <c r="W52" s="44" t="str">
        <f>IFERROR(Tarifold[[#This Row],[V. 3 meses]]/Tarifold[[#This Row],[Proj. de V. 3 meses]],"")</f>
        <v/>
      </c>
      <c r="X5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2" s="39">
        <f>IFERROR(VLOOKUP(Tarifold[[#This Row],[Código]],Venda_12meses[],2,FALSE),0)</f>
        <v>0</v>
      </c>
      <c r="Z52" s="44" t="str">
        <f>IFERROR(Tarifold[[#This Row],[V. 12 meses]]/Tarifold[[#This Row],[Proj. de V. 12 meses]],"")</f>
        <v/>
      </c>
      <c r="AA52" s="22"/>
    </row>
    <row r="53" spans="1:27" x14ac:dyDescent="0.25">
      <c r="A53" s="22" t="str">
        <f>VLOOKUP(Tarifold[[#This Row],[Código]],BD_Produto[#All],7,FALSE)</f>
        <v>Fora de Linha</v>
      </c>
      <c r="B5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3" s="23">
        <v>33070763424</v>
      </c>
      <c r="D53" s="22" t="s">
        <v>1285</v>
      </c>
      <c r="E53" s="22" t="s">
        <v>1724</v>
      </c>
      <c r="F53" s="22" t="s">
        <v>1724</v>
      </c>
      <c r="G53" s="24"/>
      <c r="H53" s="25"/>
      <c r="I53" s="22"/>
      <c r="J53" s="24"/>
      <c r="K53" s="24" t="str">
        <f>IFERROR(VLOOKUP(Tarifold[[#This Row],[Código]],Importação!P:R,3,FALSE),"")</f>
        <v/>
      </c>
      <c r="L53" s="24">
        <f>IFERROR(VLOOKUP(Tarifold[[#This Row],[Código]],Saldo[],3,FALSE),0)</f>
        <v>49</v>
      </c>
      <c r="M53" s="24">
        <f>SUM(Tarifold[[#This Row],[Produção]:[Estoque]])</f>
        <v>49</v>
      </c>
      <c r="N53" s="24" t="str">
        <f>IFERROR(Tarifold[[#This Row],[Estoque+Importação]]/Tarifold[[#This Row],[Proj. de V. No prox. mes]],"Sem Projeção")</f>
        <v>Sem Projeção</v>
      </c>
      <c r="O53" s="24" t="str">
        <f>IF(OR(Tarifold[[#This Row],[Status]]="Em Linha",Tarifold[[#This Row],[Status]]="Componente",Tarifold[[#This Row],[Status]]="Materia Prima"),Tarifold[[#This Row],[Proj. de V. No prox. mes]]*10,"-")</f>
        <v>-</v>
      </c>
      <c r="P5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3" s="75">
        <f>VLOOKUP(Tarifold[[#This Row],[Código]],Projeção[#All],15,FALSE)</f>
        <v>0</v>
      </c>
      <c r="R53" s="39">
        <f>VLOOKUP(Tarifold[[#This Row],[Código]],Projeção[#All],14,FALSE)</f>
        <v>0</v>
      </c>
      <c r="S53" s="39">
        <f>IFERROR(VLOOKUP(Tarifold[[#This Row],[Código]],Venda_mes[],2,FALSE),0)</f>
        <v>0</v>
      </c>
      <c r="T53" s="44" t="str">
        <f>IFERROR(Tarifold[[#This Row],[V. No mes]]/Tarifold[[#This Row],[Proj. de V. No mes]],"")</f>
        <v/>
      </c>
      <c r="U53" s="43">
        <f>VLOOKUP(Tarifold[[#This Row],[Código]],Projeção[#All],14,FALSE)+VLOOKUP(Tarifold[[#This Row],[Código]],Projeção[#All],13,FALSE)+VLOOKUP(Tarifold[[#This Row],[Código]],Projeção[#All],12,FALSE)</f>
        <v>0</v>
      </c>
      <c r="V53" s="39">
        <f>IFERROR(VLOOKUP(Tarifold[[#This Row],[Código]],Venda_3meses[],2,FALSE),0)</f>
        <v>0</v>
      </c>
      <c r="W53" s="44" t="str">
        <f>IFERROR(Tarifold[[#This Row],[V. 3 meses]]/Tarifold[[#This Row],[Proj. de V. 3 meses]],"")</f>
        <v/>
      </c>
      <c r="X5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3" s="39">
        <f>IFERROR(VLOOKUP(Tarifold[[#This Row],[Código]],Venda_12meses[],2,FALSE),0)</f>
        <v>0</v>
      </c>
      <c r="Z53" s="44" t="str">
        <f>IFERROR(Tarifold[[#This Row],[V. 12 meses]]/Tarifold[[#This Row],[Proj. de V. 12 meses]],"")</f>
        <v/>
      </c>
      <c r="AA53" s="22"/>
    </row>
    <row r="54" spans="1:27" x14ac:dyDescent="0.25">
      <c r="A54" s="22" t="str">
        <f>VLOOKUP(Tarifold[[#This Row],[Código]],BD_Produto[#All],7,FALSE)</f>
        <v>Fora de Linha</v>
      </c>
      <c r="B5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4" s="23">
        <v>33070763421</v>
      </c>
      <c r="D54" s="22" t="s">
        <v>1286</v>
      </c>
      <c r="E54" s="22" t="s">
        <v>1724</v>
      </c>
      <c r="F54" s="22" t="s">
        <v>1724</v>
      </c>
      <c r="G54" s="24"/>
      <c r="H54" s="25"/>
      <c r="I54" s="22"/>
      <c r="J54" s="24"/>
      <c r="K54" s="24" t="str">
        <f>IFERROR(VLOOKUP(Tarifold[[#This Row],[Código]],Importação!P:R,3,FALSE),"")</f>
        <v/>
      </c>
      <c r="L54" s="24">
        <f>IFERROR(VLOOKUP(Tarifold[[#This Row],[Código]],Saldo[],3,FALSE),0)</f>
        <v>43</v>
      </c>
      <c r="M54" s="24">
        <f>SUM(Tarifold[[#This Row],[Produção]:[Estoque]])</f>
        <v>43</v>
      </c>
      <c r="N54" s="24" t="str">
        <f>IFERROR(Tarifold[[#This Row],[Estoque+Importação]]/Tarifold[[#This Row],[Proj. de V. No prox. mes]],"Sem Projeção")</f>
        <v>Sem Projeção</v>
      </c>
      <c r="O54" s="24" t="str">
        <f>IF(OR(Tarifold[[#This Row],[Status]]="Em Linha",Tarifold[[#This Row],[Status]]="Componente",Tarifold[[#This Row],[Status]]="Materia Prima"),Tarifold[[#This Row],[Proj. de V. No prox. mes]]*10,"-")</f>
        <v>-</v>
      </c>
      <c r="P5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4" s="75">
        <f>VLOOKUP(Tarifold[[#This Row],[Código]],Projeção[#All],15,FALSE)</f>
        <v>0</v>
      </c>
      <c r="R54" s="39">
        <f>VLOOKUP(Tarifold[[#This Row],[Código]],Projeção[#All],14,FALSE)</f>
        <v>0</v>
      </c>
      <c r="S54" s="39">
        <f>IFERROR(VLOOKUP(Tarifold[[#This Row],[Código]],Venda_mes[],2,FALSE),0)</f>
        <v>0</v>
      </c>
      <c r="T54" s="44" t="str">
        <f>IFERROR(Tarifold[[#This Row],[V. No mes]]/Tarifold[[#This Row],[Proj. de V. No mes]],"")</f>
        <v/>
      </c>
      <c r="U54" s="43">
        <f>VLOOKUP(Tarifold[[#This Row],[Código]],Projeção[#All],14,FALSE)+VLOOKUP(Tarifold[[#This Row],[Código]],Projeção[#All],13,FALSE)+VLOOKUP(Tarifold[[#This Row],[Código]],Projeção[#All],12,FALSE)</f>
        <v>0</v>
      </c>
      <c r="V54" s="39">
        <f>IFERROR(VLOOKUP(Tarifold[[#This Row],[Código]],Venda_3meses[],2,FALSE),0)</f>
        <v>0</v>
      </c>
      <c r="W54" s="44" t="str">
        <f>IFERROR(Tarifold[[#This Row],[V. 3 meses]]/Tarifold[[#This Row],[Proj. de V. 3 meses]],"")</f>
        <v/>
      </c>
      <c r="X5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4" s="39">
        <f>IFERROR(VLOOKUP(Tarifold[[#This Row],[Código]],Venda_12meses[],2,FALSE),0)</f>
        <v>0</v>
      </c>
      <c r="Z54" s="44" t="str">
        <f>IFERROR(Tarifold[[#This Row],[V. 12 meses]]/Tarifold[[#This Row],[Proj. de V. 12 meses]],"")</f>
        <v/>
      </c>
      <c r="AA54" s="22"/>
    </row>
    <row r="55" spans="1:27" x14ac:dyDescent="0.25">
      <c r="A55" s="22" t="str">
        <f>VLOOKUP(Tarifold[[#This Row],[Código]],BD_Produto[#All],7,FALSE)</f>
        <v>Fora de Linha</v>
      </c>
      <c r="B5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5" s="23">
        <v>33070763422</v>
      </c>
      <c r="D55" s="22" t="s">
        <v>1287</v>
      </c>
      <c r="E55" s="22" t="s">
        <v>1724</v>
      </c>
      <c r="F55" s="22" t="s">
        <v>1724</v>
      </c>
      <c r="G55" s="24"/>
      <c r="H55" s="25"/>
      <c r="I55" s="22"/>
      <c r="J55" s="24"/>
      <c r="K55" s="24" t="str">
        <f>IFERROR(VLOOKUP(Tarifold[[#This Row],[Código]],Importação!P:R,3,FALSE),"")</f>
        <v/>
      </c>
      <c r="L55" s="24">
        <f>IFERROR(VLOOKUP(Tarifold[[#This Row],[Código]],Saldo[],3,FALSE),0)</f>
        <v>42</v>
      </c>
      <c r="M55" s="24">
        <f>SUM(Tarifold[[#This Row],[Produção]:[Estoque]])</f>
        <v>42</v>
      </c>
      <c r="N55" s="24" t="str">
        <f>IFERROR(Tarifold[[#This Row],[Estoque+Importação]]/Tarifold[[#This Row],[Proj. de V. No prox. mes]],"Sem Projeção")</f>
        <v>Sem Projeção</v>
      </c>
      <c r="O55" s="24" t="str">
        <f>IF(OR(Tarifold[[#This Row],[Status]]="Em Linha",Tarifold[[#This Row],[Status]]="Componente",Tarifold[[#This Row],[Status]]="Materia Prima"),Tarifold[[#This Row],[Proj. de V. No prox. mes]]*10,"-")</f>
        <v>-</v>
      </c>
      <c r="P5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5" s="75">
        <f>VLOOKUP(Tarifold[[#This Row],[Código]],Projeção[#All],15,FALSE)</f>
        <v>0</v>
      </c>
      <c r="R55" s="39">
        <f>VLOOKUP(Tarifold[[#This Row],[Código]],Projeção[#All],14,FALSE)</f>
        <v>0</v>
      </c>
      <c r="S55" s="39">
        <f>IFERROR(VLOOKUP(Tarifold[[#This Row],[Código]],Venda_mes[],2,FALSE),0)</f>
        <v>0</v>
      </c>
      <c r="T55" s="44" t="str">
        <f>IFERROR(Tarifold[[#This Row],[V. No mes]]/Tarifold[[#This Row],[Proj. de V. No mes]],"")</f>
        <v/>
      </c>
      <c r="U55" s="43">
        <f>VLOOKUP(Tarifold[[#This Row],[Código]],Projeção[#All],14,FALSE)+VLOOKUP(Tarifold[[#This Row],[Código]],Projeção[#All],13,FALSE)+VLOOKUP(Tarifold[[#This Row],[Código]],Projeção[#All],12,FALSE)</f>
        <v>0</v>
      </c>
      <c r="V55" s="39">
        <f>IFERROR(VLOOKUP(Tarifold[[#This Row],[Código]],Venda_3meses[],2,FALSE),0)</f>
        <v>0</v>
      </c>
      <c r="W55" s="44" t="str">
        <f>IFERROR(Tarifold[[#This Row],[V. 3 meses]]/Tarifold[[#This Row],[Proj. de V. 3 meses]],"")</f>
        <v/>
      </c>
      <c r="X5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5" s="39">
        <f>IFERROR(VLOOKUP(Tarifold[[#This Row],[Código]],Venda_12meses[],2,FALSE),0)</f>
        <v>0</v>
      </c>
      <c r="Z55" s="44" t="str">
        <f>IFERROR(Tarifold[[#This Row],[V. 12 meses]]/Tarifold[[#This Row],[Proj. de V. 12 meses]],"")</f>
        <v/>
      </c>
      <c r="AA55" s="22"/>
    </row>
    <row r="56" spans="1:27" x14ac:dyDescent="0.25">
      <c r="A56" s="22" t="str">
        <f>VLOOKUP(Tarifold[[#This Row],[Código]],BD_Produto[#All],7,FALSE)</f>
        <v>Fora de Linha</v>
      </c>
      <c r="B5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6" s="23">
        <v>33070763425</v>
      </c>
      <c r="D56" s="22" t="s">
        <v>1288</v>
      </c>
      <c r="E56" s="22" t="s">
        <v>1724</v>
      </c>
      <c r="F56" s="22" t="s">
        <v>1724</v>
      </c>
      <c r="G56" s="24"/>
      <c r="H56" s="25"/>
      <c r="I56" s="22"/>
      <c r="J56" s="24"/>
      <c r="K56" s="24" t="str">
        <f>IFERROR(VLOOKUP(Tarifold[[#This Row],[Código]],Importação!P:R,3,FALSE),"")</f>
        <v/>
      </c>
      <c r="L56" s="24">
        <f>IFERROR(VLOOKUP(Tarifold[[#This Row],[Código]],Saldo[],3,FALSE),0)</f>
        <v>48</v>
      </c>
      <c r="M56" s="24">
        <f>SUM(Tarifold[[#This Row],[Produção]:[Estoque]])</f>
        <v>48</v>
      </c>
      <c r="N56" s="24" t="str">
        <f>IFERROR(Tarifold[[#This Row],[Estoque+Importação]]/Tarifold[[#This Row],[Proj. de V. No prox. mes]],"Sem Projeção")</f>
        <v>Sem Projeção</v>
      </c>
      <c r="O56" s="24" t="str">
        <f>IF(OR(Tarifold[[#This Row],[Status]]="Em Linha",Tarifold[[#This Row],[Status]]="Componente",Tarifold[[#This Row],[Status]]="Materia Prima"),Tarifold[[#This Row],[Proj. de V. No prox. mes]]*10,"-")</f>
        <v>-</v>
      </c>
      <c r="P5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6" s="75">
        <f>VLOOKUP(Tarifold[[#This Row],[Código]],Projeção[#All],15,FALSE)</f>
        <v>0</v>
      </c>
      <c r="R56" s="39">
        <f>VLOOKUP(Tarifold[[#This Row],[Código]],Projeção[#All],14,FALSE)</f>
        <v>0</v>
      </c>
      <c r="S56" s="39">
        <f>IFERROR(VLOOKUP(Tarifold[[#This Row],[Código]],Venda_mes[],2,FALSE),0)</f>
        <v>0</v>
      </c>
      <c r="T56" s="44" t="str">
        <f>IFERROR(Tarifold[[#This Row],[V. No mes]]/Tarifold[[#This Row],[Proj. de V. No mes]],"")</f>
        <v/>
      </c>
      <c r="U56" s="43">
        <f>VLOOKUP(Tarifold[[#This Row],[Código]],Projeção[#All],14,FALSE)+VLOOKUP(Tarifold[[#This Row],[Código]],Projeção[#All],13,FALSE)+VLOOKUP(Tarifold[[#This Row],[Código]],Projeção[#All],12,FALSE)</f>
        <v>0</v>
      </c>
      <c r="V56" s="39">
        <f>IFERROR(VLOOKUP(Tarifold[[#This Row],[Código]],Venda_3meses[],2,FALSE),0)</f>
        <v>0</v>
      </c>
      <c r="W56" s="44" t="str">
        <f>IFERROR(Tarifold[[#This Row],[V. 3 meses]]/Tarifold[[#This Row],[Proj. de V. 3 meses]],"")</f>
        <v/>
      </c>
      <c r="X5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6" s="39">
        <f>IFERROR(VLOOKUP(Tarifold[[#This Row],[Código]],Venda_12meses[],2,FALSE),0)</f>
        <v>0</v>
      </c>
      <c r="Z56" s="44" t="str">
        <f>IFERROR(Tarifold[[#This Row],[V. 12 meses]]/Tarifold[[#This Row],[Proj. de V. 12 meses]],"")</f>
        <v/>
      </c>
      <c r="AA56" s="22"/>
    </row>
    <row r="57" spans="1:27" x14ac:dyDescent="0.25">
      <c r="A57" s="22" t="str">
        <f>VLOOKUP(Tarifold[[#This Row],[Código]],BD_Produto[#All],7,FALSE)</f>
        <v>Fora de Linha</v>
      </c>
      <c r="B5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7" s="23">
        <v>33070763423</v>
      </c>
      <c r="D57" s="22" t="s">
        <v>1289</v>
      </c>
      <c r="E57" s="22" t="s">
        <v>1724</v>
      </c>
      <c r="F57" s="22" t="s">
        <v>1724</v>
      </c>
      <c r="G57" s="24"/>
      <c r="H57" s="25"/>
      <c r="I57" s="22"/>
      <c r="J57" s="24"/>
      <c r="K57" s="24" t="str">
        <f>IFERROR(VLOOKUP(Tarifold[[#This Row],[Código]],Importação!P:R,3,FALSE),"")</f>
        <v/>
      </c>
      <c r="L57" s="24">
        <f>IFERROR(VLOOKUP(Tarifold[[#This Row],[Código]],Saldo[],3,FALSE),0)</f>
        <v>50</v>
      </c>
      <c r="M57" s="24">
        <f>SUM(Tarifold[[#This Row],[Produção]:[Estoque]])</f>
        <v>50</v>
      </c>
      <c r="N57" s="24" t="str">
        <f>IFERROR(Tarifold[[#This Row],[Estoque+Importação]]/Tarifold[[#This Row],[Proj. de V. No prox. mes]],"Sem Projeção")</f>
        <v>Sem Projeção</v>
      </c>
      <c r="O57" s="24" t="str">
        <f>IF(OR(Tarifold[[#This Row],[Status]]="Em Linha",Tarifold[[#This Row],[Status]]="Componente",Tarifold[[#This Row],[Status]]="Materia Prima"),Tarifold[[#This Row],[Proj. de V. No prox. mes]]*10,"-")</f>
        <v>-</v>
      </c>
      <c r="P5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7" s="75">
        <f>VLOOKUP(Tarifold[[#This Row],[Código]],Projeção[#All],15,FALSE)</f>
        <v>0</v>
      </c>
      <c r="R57" s="39">
        <f>VLOOKUP(Tarifold[[#This Row],[Código]],Projeção[#All],14,FALSE)</f>
        <v>0</v>
      </c>
      <c r="S57" s="39">
        <f>IFERROR(VLOOKUP(Tarifold[[#This Row],[Código]],Venda_mes[],2,FALSE),0)</f>
        <v>0</v>
      </c>
      <c r="T57" s="44" t="str">
        <f>IFERROR(Tarifold[[#This Row],[V. No mes]]/Tarifold[[#This Row],[Proj. de V. No mes]],"")</f>
        <v/>
      </c>
      <c r="U57" s="43">
        <f>VLOOKUP(Tarifold[[#This Row],[Código]],Projeção[#All],14,FALSE)+VLOOKUP(Tarifold[[#This Row],[Código]],Projeção[#All],13,FALSE)+VLOOKUP(Tarifold[[#This Row],[Código]],Projeção[#All],12,FALSE)</f>
        <v>0</v>
      </c>
      <c r="V57" s="39">
        <f>IFERROR(VLOOKUP(Tarifold[[#This Row],[Código]],Venda_3meses[],2,FALSE),0)</f>
        <v>0</v>
      </c>
      <c r="W57" s="44" t="str">
        <f>IFERROR(Tarifold[[#This Row],[V. 3 meses]]/Tarifold[[#This Row],[Proj. de V. 3 meses]],"")</f>
        <v/>
      </c>
      <c r="X5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7" s="39">
        <f>IFERROR(VLOOKUP(Tarifold[[#This Row],[Código]],Venda_12meses[],2,FALSE),0)</f>
        <v>0</v>
      </c>
      <c r="Z57" s="44" t="str">
        <f>IFERROR(Tarifold[[#This Row],[V. 12 meses]]/Tarifold[[#This Row],[Proj. de V. 12 meses]],"")</f>
        <v/>
      </c>
      <c r="AA57" s="22"/>
    </row>
    <row r="58" spans="1:27" x14ac:dyDescent="0.25">
      <c r="A58" s="22" t="str">
        <f>VLOOKUP(Tarifold[[#This Row],[Código]],BD_Produto[#All],7,FALSE)</f>
        <v>Fora de Linha</v>
      </c>
      <c r="B5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8" s="23">
        <v>33070763429</v>
      </c>
      <c r="D58" s="22" t="s">
        <v>1290</v>
      </c>
      <c r="E58" s="22" t="s">
        <v>1724</v>
      </c>
      <c r="F58" s="22" t="s">
        <v>1724</v>
      </c>
      <c r="G58" s="24"/>
      <c r="H58" s="25"/>
      <c r="I58" s="22"/>
      <c r="J58" s="24"/>
      <c r="K58" s="24" t="str">
        <f>IFERROR(VLOOKUP(Tarifold[[#This Row],[Código]],Importação!P:R,3,FALSE),"")</f>
        <v/>
      </c>
      <c r="L58" s="24">
        <f>IFERROR(VLOOKUP(Tarifold[[#This Row],[Código]],Saldo[],3,FALSE),0)</f>
        <v>50</v>
      </c>
      <c r="M58" s="24">
        <f>SUM(Tarifold[[#This Row],[Produção]:[Estoque]])</f>
        <v>50</v>
      </c>
      <c r="N58" s="24" t="str">
        <f>IFERROR(Tarifold[[#This Row],[Estoque+Importação]]/Tarifold[[#This Row],[Proj. de V. No prox. mes]],"Sem Projeção")</f>
        <v>Sem Projeção</v>
      </c>
      <c r="O58" s="24" t="str">
        <f>IF(OR(Tarifold[[#This Row],[Status]]="Em Linha",Tarifold[[#This Row],[Status]]="Componente",Tarifold[[#This Row],[Status]]="Materia Prima"),Tarifold[[#This Row],[Proj. de V. No prox. mes]]*10,"-")</f>
        <v>-</v>
      </c>
      <c r="P5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8" s="75">
        <f>VLOOKUP(Tarifold[[#This Row],[Código]],Projeção[#All],15,FALSE)</f>
        <v>0</v>
      </c>
      <c r="R58" s="39">
        <f>VLOOKUP(Tarifold[[#This Row],[Código]],Projeção[#All],14,FALSE)</f>
        <v>0</v>
      </c>
      <c r="S58" s="39">
        <f>IFERROR(VLOOKUP(Tarifold[[#This Row],[Código]],Venda_mes[],2,FALSE),0)</f>
        <v>0</v>
      </c>
      <c r="T58" s="44" t="str">
        <f>IFERROR(Tarifold[[#This Row],[V. No mes]]/Tarifold[[#This Row],[Proj. de V. No mes]],"")</f>
        <v/>
      </c>
      <c r="U58" s="43">
        <f>VLOOKUP(Tarifold[[#This Row],[Código]],Projeção[#All],14,FALSE)+VLOOKUP(Tarifold[[#This Row],[Código]],Projeção[#All],13,FALSE)+VLOOKUP(Tarifold[[#This Row],[Código]],Projeção[#All],12,FALSE)</f>
        <v>0</v>
      </c>
      <c r="V58" s="39">
        <f>IFERROR(VLOOKUP(Tarifold[[#This Row],[Código]],Venda_3meses[],2,FALSE),0)</f>
        <v>0</v>
      </c>
      <c r="W58" s="44" t="str">
        <f>IFERROR(Tarifold[[#This Row],[V. 3 meses]]/Tarifold[[#This Row],[Proj. de V. 3 meses]],"")</f>
        <v/>
      </c>
      <c r="X5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8" s="39">
        <f>IFERROR(VLOOKUP(Tarifold[[#This Row],[Código]],Venda_12meses[],2,FALSE),0)</f>
        <v>0</v>
      </c>
      <c r="Z58" s="44" t="str">
        <f>IFERROR(Tarifold[[#This Row],[V. 12 meses]]/Tarifold[[#This Row],[Proj. de V. 12 meses]],"")</f>
        <v/>
      </c>
      <c r="AA58" s="22"/>
    </row>
    <row r="59" spans="1:27" x14ac:dyDescent="0.25">
      <c r="A59" s="22" t="str">
        <f>VLOOKUP(Tarifold[[#This Row],[Código]],BD_Produto[#All],7,FALSE)</f>
        <v>Fora de Linha</v>
      </c>
      <c r="B5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59" s="23">
        <v>33070763426</v>
      </c>
      <c r="D59" s="22" t="s">
        <v>1291</v>
      </c>
      <c r="E59" s="22" t="s">
        <v>1724</v>
      </c>
      <c r="F59" s="22" t="s">
        <v>1724</v>
      </c>
      <c r="G59" s="24"/>
      <c r="H59" s="25"/>
      <c r="I59" s="22"/>
      <c r="J59" s="24"/>
      <c r="K59" s="24" t="str">
        <f>IFERROR(VLOOKUP(Tarifold[[#This Row],[Código]],Importação!P:R,3,FALSE),"")</f>
        <v/>
      </c>
      <c r="L59" s="24">
        <f>IFERROR(VLOOKUP(Tarifold[[#This Row],[Código]],Saldo[],3,FALSE),0)</f>
        <v>50</v>
      </c>
      <c r="M59" s="24">
        <f>SUM(Tarifold[[#This Row],[Produção]:[Estoque]])</f>
        <v>50</v>
      </c>
      <c r="N59" s="24" t="str">
        <f>IFERROR(Tarifold[[#This Row],[Estoque+Importação]]/Tarifold[[#This Row],[Proj. de V. No prox. mes]],"Sem Projeção")</f>
        <v>Sem Projeção</v>
      </c>
      <c r="O59" s="24" t="str">
        <f>IF(OR(Tarifold[[#This Row],[Status]]="Em Linha",Tarifold[[#This Row],[Status]]="Componente",Tarifold[[#This Row],[Status]]="Materia Prima"),Tarifold[[#This Row],[Proj. de V. No prox. mes]]*10,"-")</f>
        <v>-</v>
      </c>
      <c r="P5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59" s="75">
        <f>VLOOKUP(Tarifold[[#This Row],[Código]],Projeção[#All],15,FALSE)</f>
        <v>0</v>
      </c>
      <c r="R59" s="39">
        <f>VLOOKUP(Tarifold[[#This Row],[Código]],Projeção[#All],14,FALSE)</f>
        <v>0</v>
      </c>
      <c r="S59" s="39">
        <f>IFERROR(VLOOKUP(Tarifold[[#This Row],[Código]],Venda_mes[],2,FALSE),0)</f>
        <v>0</v>
      </c>
      <c r="T59" s="44" t="str">
        <f>IFERROR(Tarifold[[#This Row],[V. No mes]]/Tarifold[[#This Row],[Proj. de V. No mes]],"")</f>
        <v/>
      </c>
      <c r="U59" s="43">
        <f>VLOOKUP(Tarifold[[#This Row],[Código]],Projeção[#All],14,FALSE)+VLOOKUP(Tarifold[[#This Row],[Código]],Projeção[#All],13,FALSE)+VLOOKUP(Tarifold[[#This Row],[Código]],Projeção[#All],12,FALSE)</f>
        <v>0</v>
      </c>
      <c r="V59" s="39">
        <f>IFERROR(VLOOKUP(Tarifold[[#This Row],[Código]],Venda_3meses[],2,FALSE),0)</f>
        <v>0</v>
      </c>
      <c r="W59" s="44" t="str">
        <f>IFERROR(Tarifold[[#This Row],[V. 3 meses]]/Tarifold[[#This Row],[Proj. de V. 3 meses]],"")</f>
        <v/>
      </c>
      <c r="X5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59" s="39">
        <f>IFERROR(VLOOKUP(Tarifold[[#This Row],[Código]],Venda_12meses[],2,FALSE),0)</f>
        <v>0</v>
      </c>
      <c r="Z59" s="44" t="str">
        <f>IFERROR(Tarifold[[#This Row],[V. 12 meses]]/Tarifold[[#This Row],[Proj. de V. 12 meses]],"")</f>
        <v/>
      </c>
      <c r="AA59" s="22"/>
    </row>
    <row r="60" spans="1:27" x14ac:dyDescent="0.25">
      <c r="A60" s="22" t="str">
        <f>VLOOKUP(Tarifold[[#This Row],[Código]],BD_Produto[#All],7,FALSE)</f>
        <v>Fora de Linha</v>
      </c>
      <c r="B6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0" s="23">
        <v>33070763427</v>
      </c>
      <c r="D60" s="22" t="s">
        <v>1292</v>
      </c>
      <c r="E60" s="22" t="s">
        <v>1724</v>
      </c>
      <c r="F60" s="22" t="s">
        <v>1724</v>
      </c>
      <c r="G60" s="24"/>
      <c r="H60" s="25"/>
      <c r="I60" s="22"/>
      <c r="J60" s="24"/>
      <c r="K60" s="24" t="str">
        <f>IFERROR(VLOOKUP(Tarifold[[#This Row],[Código]],Importação!P:R,3,FALSE),"")</f>
        <v/>
      </c>
      <c r="L60" s="24">
        <f>IFERROR(VLOOKUP(Tarifold[[#This Row],[Código]],Saldo[],3,FALSE),0)</f>
        <v>46</v>
      </c>
      <c r="M60" s="24">
        <f>SUM(Tarifold[[#This Row],[Produção]:[Estoque]])</f>
        <v>46</v>
      </c>
      <c r="N60" s="24" t="str">
        <f>IFERROR(Tarifold[[#This Row],[Estoque+Importação]]/Tarifold[[#This Row],[Proj. de V. No prox. mes]],"Sem Projeção")</f>
        <v>Sem Projeção</v>
      </c>
      <c r="O60" s="24" t="str">
        <f>IF(OR(Tarifold[[#This Row],[Status]]="Em Linha",Tarifold[[#This Row],[Status]]="Componente",Tarifold[[#This Row],[Status]]="Materia Prima"),Tarifold[[#This Row],[Proj. de V. No prox. mes]]*10,"-")</f>
        <v>-</v>
      </c>
      <c r="P6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0" s="75">
        <f>VLOOKUP(Tarifold[[#This Row],[Código]],Projeção[#All],15,FALSE)</f>
        <v>0</v>
      </c>
      <c r="R60" s="39">
        <f>VLOOKUP(Tarifold[[#This Row],[Código]],Projeção[#All],14,FALSE)</f>
        <v>0</v>
      </c>
      <c r="S60" s="39">
        <f>IFERROR(VLOOKUP(Tarifold[[#This Row],[Código]],Venda_mes[],2,FALSE),0)</f>
        <v>0</v>
      </c>
      <c r="T60" s="44" t="str">
        <f>IFERROR(Tarifold[[#This Row],[V. No mes]]/Tarifold[[#This Row],[Proj. de V. No mes]],"")</f>
        <v/>
      </c>
      <c r="U60" s="43">
        <f>VLOOKUP(Tarifold[[#This Row],[Código]],Projeção[#All],14,FALSE)+VLOOKUP(Tarifold[[#This Row],[Código]],Projeção[#All],13,FALSE)+VLOOKUP(Tarifold[[#This Row],[Código]],Projeção[#All],12,FALSE)</f>
        <v>0</v>
      </c>
      <c r="V60" s="39">
        <f>IFERROR(VLOOKUP(Tarifold[[#This Row],[Código]],Venda_3meses[],2,FALSE),0)</f>
        <v>0</v>
      </c>
      <c r="W60" s="44" t="str">
        <f>IFERROR(Tarifold[[#This Row],[V. 3 meses]]/Tarifold[[#This Row],[Proj. de V. 3 meses]],"")</f>
        <v/>
      </c>
      <c r="X6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0" s="39">
        <f>IFERROR(VLOOKUP(Tarifold[[#This Row],[Código]],Venda_12meses[],2,FALSE),0)</f>
        <v>0</v>
      </c>
      <c r="Z60" s="44" t="str">
        <f>IFERROR(Tarifold[[#This Row],[V. 12 meses]]/Tarifold[[#This Row],[Proj. de V. 12 meses]],"")</f>
        <v/>
      </c>
      <c r="AA60" s="22"/>
    </row>
    <row r="61" spans="1:27" x14ac:dyDescent="0.25">
      <c r="A61" s="22" t="str">
        <f>VLOOKUP(Tarifold[[#This Row],[Código]],BD_Produto[#All],7,FALSE)</f>
        <v>Fora de Linha</v>
      </c>
      <c r="B6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1" s="23">
        <v>33070763430</v>
      </c>
      <c r="D61" s="22" t="s">
        <v>1293</v>
      </c>
      <c r="E61" s="22" t="s">
        <v>1724</v>
      </c>
      <c r="F61" s="22" t="s">
        <v>1724</v>
      </c>
      <c r="G61" s="24"/>
      <c r="H61" s="25"/>
      <c r="I61" s="22"/>
      <c r="J61" s="24"/>
      <c r="K61" s="24" t="str">
        <f>IFERROR(VLOOKUP(Tarifold[[#This Row],[Código]],Importação!P:R,3,FALSE),"")</f>
        <v/>
      </c>
      <c r="L61" s="24">
        <f>IFERROR(VLOOKUP(Tarifold[[#This Row],[Código]],Saldo[],3,FALSE),0)</f>
        <v>50</v>
      </c>
      <c r="M61" s="24">
        <f>SUM(Tarifold[[#This Row],[Produção]:[Estoque]])</f>
        <v>50</v>
      </c>
      <c r="N61" s="24" t="str">
        <f>IFERROR(Tarifold[[#This Row],[Estoque+Importação]]/Tarifold[[#This Row],[Proj. de V. No prox. mes]],"Sem Projeção")</f>
        <v>Sem Projeção</v>
      </c>
      <c r="O61" s="24" t="str">
        <f>IF(OR(Tarifold[[#This Row],[Status]]="Em Linha",Tarifold[[#This Row],[Status]]="Componente",Tarifold[[#This Row],[Status]]="Materia Prima"),Tarifold[[#This Row],[Proj. de V. No prox. mes]]*10,"-")</f>
        <v>-</v>
      </c>
      <c r="P6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1" s="75">
        <f>VLOOKUP(Tarifold[[#This Row],[Código]],Projeção[#All],15,FALSE)</f>
        <v>0</v>
      </c>
      <c r="R61" s="39">
        <f>VLOOKUP(Tarifold[[#This Row],[Código]],Projeção[#All],14,FALSE)</f>
        <v>0</v>
      </c>
      <c r="S61" s="39">
        <f>IFERROR(VLOOKUP(Tarifold[[#This Row],[Código]],Venda_mes[],2,FALSE),0)</f>
        <v>0</v>
      </c>
      <c r="T61" s="44" t="str">
        <f>IFERROR(Tarifold[[#This Row],[V. No mes]]/Tarifold[[#This Row],[Proj. de V. No mes]],"")</f>
        <v/>
      </c>
      <c r="U61" s="43">
        <f>VLOOKUP(Tarifold[[#This Row],[Código]],Projeção[#All],14,FALSE)+VLOOKUP(Tarifold[[#This Row],[Código]],Projeção[#All],13,FALSE)+VLOOKUP(Tarifold[[#This Row],[Código]],Projeção[#All],12,FALSE)</f>
        <v>0</v>
      </c>
      <c r="V61" s="39">
        <f>IFERROR(VLOOKUP(Tarifold[[#This Row],[Código]],Venda_3meses[],2,FALSE),0)</f>
        <v>0</v>
      </c>
      <c r="W61" s="44" t="str">
        <f>IFERROR(Tarifold[[#This Row],[V. 3 meses]]/Tarifold[[#This Row],[Proj. de V. 3 meses]],"")</f>
        <v/>
      </c>
      <c r="X6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1" s="39">
        <f>IFERROR(VLOOKUP(Tarifold[[#This Row],[Código]],Venda_12meses[],2,FALSE),0)</f>
        <v>0</v>
      </c>
      <c r="Z61" s="44" t="str">
        <f>IFERROR(Tarifold[[#This Row],[V. 12 meses]]/Tarifold[[#This Row],[Proj. de V. 12 meses]],"")</f>
        <v/>
      </c>
      <c r="AA61" s="22"/>
    </row>
    <row r="62" spans="1:27" x14ac:dyDescent="0.25">
      <c r="A62" s="22" t="str">
        <f>VLOOKUP(Tarifold[[#This Row],[Código]],BD_Produto[#All],7,FALSE)</f>
        <v>Fora de Linha</v>
      </c>
      <c r="B6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2" s="23">
        <v>33070763428</v>
      </c>
      <c r="D62" s="22" t="s">
        <v>1294</v>
      </c>
      <c r="E62" s="22" t="s">
        <v>1724</v>
      </c>
      <c r="F62" s="22" t="s">
        <v>1724</v>
      </c>
      <c r="G62" s="24"/>
      <c r="H62" s="25"/>
      <c r="I62" s="22"/>
      <c r="J62" s="24"/>
      <c r="K62" s="24" t="str">
        <f>IFERROR(VLOOKUP(Tarifold[[#This Row],[Código]],Importação!P:R,3,FALSE),"")</f>
        <v/>
      </c>
      <c r="L62" s="24">
        <f>IFERROR(VLOOKUP(Tarifold[[#This Row],[Código]],Saldo[],3,FALSE),0)</f>
        <v>49</v>
      </c>
      <c r="M62" s="24">
        <f>SUM(Tarifold[[#This Row],[Produção]:[Estoque]])</f>
        <v>49</v>
      </c>
      <c r="N62" s="24" t="str">
        <f>IFERROR(Tarifold[[#This Row],[Estoque+Importação]]/Tarifold[[#This Row],[Proj. de V. No prox. mes]],"Sem Projeção")</f>
        <v>Sem Projeção</v>
      </c>
      <c r="O62" s="24" t="str">
        <f>IF(OR(Tarifold[[#This Row],[Status]]="Em Linha",Tarifold[[#This Row],[Status]]="Componente",Tarifold[[#This Row],[Status]]="Materia Prima"),Tarifold[[#This Row],[Proj. de V. No prox. mes]]*10,"-")</f>
        <v>-</v>
      </c>
      <c r="P6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2" s="75">
        <f>VLOOKUP(Tarifold[[#This Row],[Código]],Projeção[#All],15,FALSE)</f>
        <v>0</v>
      </c>
      <c r="R62" s="39">
        <f>VLOOKUP(Tarifold[[#This Row],[Código]],Projeção[#All],14,FALSE)</f>
        <v>0</v>
      </c>
      <c r="S62" s="39">
        <f>IFERROR(VLOOKUP(Tarifold[[#This Row],[Código]],Venda_mes[],2,FALSE),0)</f>
        <v>0</v>
      </c>
      <c r="T62" s="44" t="str">
        <f>IFERROR(Tarifold[[#This Row],[V. No mes]]/Tarifold[[#This Row],[Proj. de V. No mes]],"")</f>
        <v/>
      </c>
      <c r="U62" s="43">
        <f>VLOOKUP(Tarifold[[#This Row],[Código]],Projeção[#All],14,FALSE)+VLOOKUP(Tarifold[[#This Row],[Código]],Projeção[#All],13,FALSE)+VLOOKUP(Tarifold[[#This Row],[Código]],Projeção[#All],12,FALSE)</f>
        <v>0</v>
      </c>
      <c r="V62" s="39">
        <f>IFERROR(VLOOKUP(Tarifold[[#This Row],[Código]],Venda_3meses[],2,FALSE),0)</f>
        <v>0</v>
      </c>
      <c r="W62" s="44" t="str">
        <f>IFERROR(Tarifold[[#This Row],[V. 3 meses]]/Tarifold[[#This Row],[Proj. de V. 3 meses]],"")</f>
        <v/>
      </c>
      <c r="X6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2" s="39">
        <f>IFERROR(VLOOKUP(Tarifold[[#This Row],[Código]],Venda_12meses[],2,FALSE),0)</f>
        <v>0</v>
      </c>
      <c r="Z62" s="44" t="str">
        <f>IFERROR(Tarifold[[#This Row],[V. 12 meses]]/Tarifold[[#This Row],[Proj. de V. 12 meses]],"")</f>
        <v/>
      </c>
      <c r="AA62" s="22"/>
    </row>
    <row r="63" spans="1:27" x14ac:dyDescent="0.25">
      <c r="A63" s="22" t="str">
        <f>VLOOKUP(Tarifold[[#This Row],[Código]],BD_Produto[#All],7,FALSE)</f>
        <v>Fora de Linha</v>
      </c>
      <c r="B6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3" s="23">
        <v>33070763452</v>
      </c>
      <c r="D63" s="22" t="s">
        <v>1295</v>
      </c>
      <c r="E63" s="22" t="s">
        <v>1724</v>
      </c>
      <c r="F63" s="22" t="s">
        <v>1724</v>
      </c>
      <c r="G63" s="24"/>
      <c r="H63" s="25"/>
      <c r="I63" s="22"/>
      <c r="J63" s="24"/>
      <c r="K63" s="24" t="str">
        <f>IFERROR(VLOOKUP(Tarifold[[#This Row],[Código]],Importação!P:R,3,FALSE),"")</f>
        <v/>
      </c>
      <c r="L63" s="24">
        <f>IFERROR(VLOOKUP(Tarifold[[#This Row],[Código]],Saldo[],3,FALSE),0)</f>
        <v>95</v>
      </c>
      <c r="M63" s="24">
        <f>SUM(Tarifold[[#This Row],[Produção]:[Estoque]])</f>
        <v>95</v>
      </c>
      <c r="N63" s="24" t="str">
        <f>IFERROR(Tarifold[[#This Row],[Estoque+Importação]]/Tarifold[[#This Row],[Proj. de V. No prox. mes]],"Sem Projeção")</f>
        <v>Sem Projeção</v>
      </c>
      <c r="O63" s="24" t="str">
        <f>IF(OR(Tarifold[[#This Row],[Status]]="Em Linha",Tarifold[[#This Row],[Status]]="Componente",Tarifold[[#This Row],[Status]]="Materia Prima"),Tarifold[[#This Row],[Proj. de V. No prox. mes]]*10,"-")</f>
        <v>-</v>
      </c>
      <c r="P6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3" s="75">
        <f>VLOOKUP(Tarifold[[#This Row],[Código]],Projeção[#All],15,FALSE)</f>
        <v>0</v>
      </c>
      <c r="R63" s="39">
        <f>VLOOKUP(Tarifold[[#This Row],[Código]],Projeção[#All],14,FALSE)</f>
        <v>0</v>
      </c>
      <c r="S63" s="39">
        <f>IFERROR(VLOOKUP(Tarifold[[#This Row],[Código]],Venda_mes[],2,FALSE),0)</f>
        <v>0</v>
      </c>
      <c r="T63" s="44" t="str">
        <f>IFERROR(Tarifold[[#This Row],[V. No mes]]/Tarifold[[#This Row],[Proj. de V. No mes]],"")</f>
        <v/>
      </c>
      <c r="U63" s="43">
        <f>VLOOKUP(Tarifold[[#This Row],[Código]],Projeção[#All],14,FALSE)+VLOOKUP(Tarifold[[#This Row],[Código]],Projeção[#All],13,FALSE)+VLOOKUP(Tarifold[[#This Row],[Código]],Projeção[#All],12,FALSE)</f>
        <v>0</v>
      </c>
      <c r="V63" s="39">
        <f>IFERROR(VLOOKUP(Tarifold[[#This Row],[Código]],Venda_3meses[],2,FALSE),0)</f>
        <v>0</v>
      </c>
      <c r="W63" s="44" t="str">
        <f>IFERROR(Tarifold[[#This Row],[V. 3 meses]]/Tarifold[[#This Row],[Proj. de V. 3 meses]],"")</f>
        <v/>
      </c>
      <c r="X6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3" s="39">
        <f>IFERROR(VLOOKUP(Tarifold[[#This Row],[Código]],Venda_12meses[],2,FALSE),0)</f>
        <v>0</v>
      </c>
      <c r="Z63" s="44" t="str">
        <f>IFERROR(Tarifold[[#This Row],[V. 12 meses]]/Tarifold[[#This Row],[Proj. de V. 12 meses]],"")</f>
        <v/>
      </c>
      <c r="AA63" s="22"/>
    </row>
    <row r="64" spans="1:27" x14ac:dyDescent="0.25">
      <c r="A64" s="22" t="str">
        <f>VLOOKUP(Tarifold[[#This Row],[Código]],BD_Produto[#All],7,FALSE)</f>
        <v>Fora de Linha</v>
      </c>
      <c r="B6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4" s="23">
        <v>33070763451</v>
      </c>
      <c r="D64" s="22" t="s">
        <v>1296</v>
      </c>
      <c r="E64" s="22" t="s">
        <v>1724</v>
      </c>
      <c r="F64" s="22" t="s">
        <v>1724</v>
      </c>
      <c r="G64" s="24"/>
      <c r="H64" s="25"/>
      <c r="I64" s="22"/>
      <c r="J64" s="24"/>
      <c r="K64" s="24" t="str">
        <f>IFERROR(VLOOKUP(Tarifold[[#This Row],[Código]],Importação!P:R,3,FALSE),"")</f>
        <v/>
      </c>
      <c r="L64" s="24">
        <f>IFERROR(VLOOKUP(Tarifold[[#This Row],[Código]],Saldo[],3,FALSE),0)</f>
        <v>96</v>
      </c>
      <c r="M64" s="24">
        <f>SUM(Tarifold[[#This Row],[Produção]:[Estoque]])</f>
        <v>96</v>
      </c>
      <c r="N64" s="24" t="str">
        <f>IFERROR(Tarifold[[#This Row],[Estoque+Importação]]/Tarifold[[#This Row],[Proj. de V. No prox. mes]],"Sem Projeção")</f>
        <v>Sem Projeção</v>
      </c>
      <c r="O64" s="24" t="str">
        <f>IF(OR(Tarifold[[#This Row],[Status]]="Em Linha",Tarifold[[#This Row],[Status]]="Componente",Tarifold[[#This Row],[Status]]="Materia Prima"),Tarifold[[#This Row],[Proj. de V. No prox. mes]]*10,"-")</f>
        <v>-</v>
      </c>
      <c r="P6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4" s="75">
        <f>VLOOKUP(Tarifold[[#This Row],[Código]],Projeção[#All],15,FALSE)</f>
        <v>0</v>
      </c>
      <c r="R64" s="39">
        <f>VLOOKUP(Tarifold[[#This Row],[Código]],Projeção[#All],14,FALSE)</f>
        <v>0</v>
      </c>
      <c r="S64" s="39">
        <f>IFERROR(VLOOKUP(Tarifold[[#This Row],[Código]],Venda_mes[],2,FALSE),0)</f>
        <v>0</v>
      </c>
      <c r="T64" s="44" t="str">
        <f>IFERROR(Tarifold[[#This Row],[V. No mes]]/Tarifold[[#This Row],[Proj. de V. No mes]],"")</f>
        <v/>
      </c>
      <c r="U64" s="43">
        <f>VLOOKUP(Tarifold[[#This Row],[Código]],Projeção[#All],14,FALSE)+VLOOKUP(Tarifold[[#This Row],[Código]],Projeção[#All],13,FALSE)+VLOOKUP(Tarifold[[#This Row],[Código]],Projeção[#All],12,FALSE)</f>
        <v>0</v>
      </c>
      <c r="V64" s="39">
        <f>IFERROR(VLOOKUP(Tarifold[[#This Row],[Código]],Venda_3meses[],2,FALSE),0)</f>
        <v>0</v>
      </c>
      <c r="W64" s="44" t="str">
        <f>IFERROR(Tarifold[[#This Row],[V. 3 meses]]/Tarifold[[#This Row],[Proj. de V. 3 meses]],"")</f>
        <v/>
      </c>
      <c r="X6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4" s="39">
        <f>IFERROR(VLOOKUP(Tarifold[[#This Row],[Código]],Venda_12meses[],2,FALSE),0)</f>
        <v>0</v>
      </c>
      <c r="Z64" s="44" t="str">
        <f>IFERROR(Tarifold[[#This Row],[V. 12 meses]]/Tarifold[[#This Row],[Proj. de V. 12 meses]],"")</f>
        <v/>
      </c>
      <c r="AA64" s="22"/>
    </row>
    <row r="65" spans="1:27" x14ac:dyDescent="0.25">
      <c r="A65" s="22" t="str">
        <f>VLOOKUP(Tarifold[[#This Row],[Código]],BD_Produto[#All],7,FALSE)</f>
        <v>Fora de Linha</v>
      </c>
      <c r="B6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5" s="23">
        <v>33070763453</v>
      </c>
      <c r="D65" s="22" t="s">
        <v>1297</v>
      </c>
      <c r="E65" s="22" t="s">
        <v>1724</v>
      </c>
      <c r="F65" s="22" t="s">
        <v>1724</v>
      </c>
      <c r="G65" s="24"/>
      <c r="H65" s="25"/>
      <c r="I65" s="22"/>
      <c r="J65" s="24"/>
      <c r="K65" s="24" t="str">
        <f>IFERROR(VLOOKUP(Tarifold[[#This Row],[Código]],Importação!P:R,3,FALSE),"")</f>
        <v/>
      </c>
      <c r="L65" s="24">
        <f>IFERROR(VLOOKUP(Tarifold[[#This Row],[Código]],Saldo[],3,FALSE),0)</f>
        <v>91</v>
      </c>
      <c r="M65" s="24">
        <f>SUM(Tarifold[[#This Row],[Produção]:[Estoque]])</f>
        <v>91</v>
      </c>
      <c r="N65" s="24" t="str">
        <f>IFERROR(Tarifold[[#This Row],[Estoque+Importação]]/Tarifold[[#This Row],[Proj. de V. No prox. mes]],"Sem Projeção")</f>
        <v>Sem Projeção</v>
      </c>
      <c r="O65" s="24" t="str">
        <f>IF(OR(Tarifold[[#This Row],[Status]]="Em Linha",Tarifold[[#This Row],[Status]]="Componente",Tarifold[[#This Row],[Status]]="Materia Prima"),Tarifold[[#This Row],[Proj. de V. No prox. mes]]*10,"-")</f>
        <v>-</v>
      </c>
      <c r="P6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5" s="75">
        <f>VLOOKUP(Tarifold[[#This Row],[Código]],Projeção[#All],15,FALSE)</f>
        <v>0</v>
      </c>
      <c r="R65" s="39">
        <f>VLOOKUP(Tarifold[[#This Row],[Código]],Projeção[#All],14,FALSE)</f>
        <v>0</v>
      </c>
      <c r="S65" s="39">
        <f>IFERROR(VLOOKUP(Tarifold[[#This Row],[Código]],Venda_mes[],2,FALSE),0)</f>
        <v>0</v>
      </c>
      <c r="T65" s="44" t="str">
        <f>IFERROR(Tarifold[[#This Row],[V. No mes]]/Tarifold[[#This Row],[Proj. de V. No mes]],"")</f>
        <v/>
      </c>
      <c r="U65" s="43">
        <f>VLOOKUP(Tarifold[[#This Row],[Código]],Projeção[#All],14,FALSE)+VLOOKUP(Tarifold[[#This Row],[Código]],Projeção[#All],13,FALSE)+VLOOKUP(Tarifold[[#This Row],[Código]],Projeção[#All],12,FALSE)</f>
        <v>0</v>
      </c>
      <c r="V65" s="39">
        <f>IFERROR(VLOOKUP(Tarifold[[#This Row],[Código]],Venda_3meses[],2,FALSE),0)</f>
        <v>0</v>
      </c>
      <c r="W65" s="44" t="str">
        <f>IFERROR(Tarifold[[#This Row],[V. 3 meses]]/Tarifold[[#This Row],[Proj. de V. 3 meses]],"")</f>
        <v/>
      </c>
      <c r="X6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5" s="39">
        <f>IFERROR(VLOOKUP(Tarifold[[#This Row],[Código]],Venda_12meses[],2,FALSE),0)</f>
        <v>0</v>
      </c>
      <c r="Z65" s="44" t="str">
        <f>IFERROR(Tarifold[[#This Row],[V. 12 meses]]/Tarifold[[#This Row],[Proj. de V. 12 meses]],"")</f>
        <v/>
      </c>
      <c r="AA65" s="22"/>
    </row>
    <row r="66" spans="1:27" x14ac:dyDescent="0.25">
      <c r="A66" s="22" t="str">
        <f>VLOOKUP(Tarifold[[#This Row],[Código]],BD_Produto[#All],7,FALSE)</f>
        <v>Fora de Linha</v>
      </c>
      <c r="B6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6" s="23">
        <v>33070763455</v>
      </c>
      <c r="D66" s="22" t="s">
        <v>1298</v>
      </c>
      <c r="E66" s="22" t="s">
        <v>1724</v>
      </c>
      <c r="F66" s="22" t="s">
        <v>1724</v>
      </c>
      <c r="G66" s="24"/>
      <c r="H66" s="25"/>
      <c r="I66" s="22"/>
      <c r="J66" s="24"/>
      <c r="K66" s="24" t="str">
        <f>IFERROR(VLOOKUP(Tarifold[[#This Row],[Código]],Importação!P:R,3,FALSE),"")</f>
        <v/>
      </c>
      <c r="L66" s="24">
        <f>IFERROR(VLOOKUP(Tarifold[[#This Row],[Código]],Saldo[],3,FALSE),0)</f>
        <v>96</v>
      </c>
      <c r="M66" s="24">
        <f>SUM(Tarifold[[#This Row],[Produção]:[Estoque]])</f>
        <v>96</v>
      </c>
      <c r="N66" s="24" t="str">
        <f>IFERROR(Tarifold[[#This Row],[Estoque+Importação]]/Tarifold[[#This Row],[Proj. de V. No prox. mes]],"Sem Projeção")</f>
        <v>Sem Projeção</v>
      </c>
      <c r="O66" s="24" t="str">
        <f>IF(OR(Tarifold[[#This Row],[Status]]="Em Linha",Tarifold[[#This Row],[Status]]="Componente",Tarifold[[#This Row],[Status]]="Materia Prima"),Tarifold[[#This Row],[Proj. de V. No prox. mes]]*10,"-")</f>
        <v>-</v>
      </c>
      <c r="P6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6" s="75">
        <f>VLOOKUP(Tarifold[[#This Row],[Código]],Projeção[#All],15,FALSE)</f>
        <v>0</v>
      </c>
      <c r="R66" s="39">
        <f>VLOOKUP(Tarifold[[#This Row],[Código]],Projeção[#All],14,FALSE)</f>
        <v>0</v>
      </c>
      <c r="S66" s="39">
        <f>IFERROR(VLOOKUP(Tarifold[[#This Row],[Código]],Venda_mes[],2,FALSE),0)</f>
        <v>0</v>
      </c>
      <c r="T66" s="44" t="str">
        <f>IFERROR(Tarifold[[#This Row],[V. No mes]]/Tarifold[[#This Row],[Proj. de V. No mes]],"")</f>
        <v/>
      </c>
      <c r="U66" s="43">
        <f>VLOOKUP(Tarifold[[#This Row],[Código]],Projeção[#All],14,FALSE)+VLOOKUP(Tarifold[[#This Row],[Código]],Projeção[#All],13,FALSE)+VLOOKUP(Tarifold[[#This Row],[Código]],Projeção[#All],12,FALSE)</f>
        <v>0</v>
      </c>
      <c r="V66" s="39">
        <f>IFERROR(VLOOKUP(Tarifold[[#This Row],[Código]],Venda_3meses[],2,FALSE),0)</f>
        <v>0</v>
      </c>
      <c r="W66" s="44" t="str">
        <f>IFERROR(Tarifold[[#This Row],[V. 3 meses]]/Tarifold[[#This Row],[Proj. de V. 3 meses]],"")</f>
        <v/>
      </c>
      <c r="X6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6" s="39">
        <f>IFERROR(VLOOKUP(Tarifold[[#This Row],[Código]],Venda_12meses[],2,FALSE),0)</f>
        <v>0</v>
      </c>
      <c r="Z66" s="44" t="str">
        <f>IFERROR(Tarifold[[#This Row],[V. 12 meses]]/Tarifold[[#This Row],[Proj. de V. 12 meses]],"")</f>
        <v/>
      </c>
      <c r="AA66" s="22"/>
    </row>
    <row r="67" spans="1:27" x14ac:dyDescent="0.25">
      <c r="A67" s="22" t="str">
        <f>VLOOKUP(Tarifold[[#This Row],[Código]],BD_Produto[#All],7,FALSE)</f>
        <v>Fora de Linha</v>
      </c>
      <c r="B6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7" s="23">
        <v>33070763454</v>
      </c>
      <c r="D67" s="22" t="s">
        <v>1299</v>
      </c>
      <c r="E67" s="22" t="s">
        <v>1724</v>
      </c>
      <c r="F67" s="22" t="s">
        <v>1724</v>
      </c>
      <c r="G67" s="24"/>
      <c r="H67" s="25"/>
      <c r="I67" s="22"/>
      <c r="J67" s="24"/>
      <c r="K67" s="24" t="str">
        <f>IFERROR(VLOOKUP(Tarifold[[#This Row],[Código]],Importação!P:R,3,FALSE),"")</f>
        <v/>
      </c>
      <c r="L67" s="24">
        <f>IFERROR(VLOOKUP(Tarifold[[#This Row],[Código]],Saldo[],3,FALSE),0)</f>
        <v>96</v>
      </c>
      <c r="M67" s="24">
        <f>SUM(Tarifold[[#This Row],[Produção]:[Estoque]])</f>
        <v>96</v>
      </c>
      <c r="N67" s="24" t="str">
        <f>IFERROR(Tarifold[[#This Row],[Estoque+Importação]]/Tarifold[[#This Row],[Proj. de V. No prox. mes]],"Sem Projeção")</f>
        <v>Sem Projeção</v>
      </c>
      <c r="O67" s="24" t="str">
        <f>IF(OR(Tarifold[[#This Row],[Status]]="Em Linha",Tarifold[[#This Row],[Status]]="Componente",Tarifold[[#This Row],[Status]]="Materia Prima"),Tarifold[[#This Row],[Proj. de V. No prox. mes]]*10,"-")</f>
        <v>-</v>
      </c>
      <c r="P6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7" s="75">
        <f>VLOOKUP(Tarifold[[#This Row],[Código]],Projeção[#All],15,FALSE)</f>
        <v>0</v>
      </c>
      <c r="R67" s="39">
        <f>VLOOKUP(Tarifold[[#This Row],[Código]],Projeção[#All],14,FALSE)</f>
        <v>0</v>
      </c>
      <c r="S67" s="39">
        <f>IFERROR(VLOOKUP(Tarifold[[#This Row],[Código]],Venda_mes[],2,FALSE),0)</f>
        <v>0</v>
      </c>
      <c r="T67" s="44" t="str">
        <f>IFERROR(Tarifold[[#This Row],[V. No mes]]/Tarifold[[#This Row],[Proj. de V. No mes]],"")</f>
        <v/>
      </c>
      <c r="U67" s="43">
        <f>VLOOKUP(Tarifold[[#This Row],[Código]],Projeção[#All],14,FALSE)+VLOOKUP(Tarifold[[#This Row],[Código]],Projeção[#All],13,FALSE)+VLOOKUP(Tarifold[[#This Row],[Código]],Projeção[#All],12,FALSE)</f>
        <v>0</v>
      </c>
      <c r="V67" s="39">
        <f>IFERROR(VLOOKUP(Tarifold[[#This Row],[Código]],Venda_3meses[],2,FALSE),0)</f>
        <v>0</v>
      </c>
      <c r="W67" s="44" t="str">
        <f>IFERROR(Tarifold[[#This Row],[V. 3 meses]]/Tarifold[[#This Row],[Proj. de V. 3 meses]],"")</f>
        <v/>
      </c>
      <c r="X6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7" s="39">
        <f>IFERROR(VLOOKUP(Tarifold[[#This Row],[Código]],Venda_12meses[],2,FALSE),0)</f>
        <v>0</v>
      </c>
      <c r="Z67" s="44" t="str">
        <f>IFERROR(Tarifold[[#This Row],[V. 12 meses]]/Tarifold[[#This Row],[Proj. de V. 12 meses]],"")</f>
        <v/>
      </c>
      <c r="AA67" s="22"/>
    </row>
    <row r="68" spans="1:27" x14ac:dyDescent="0.25">
      <c r="A68" s="22" t="str">
        <f>VLOOKUP(Tarifold[[#This Row],[Código]],BD_Produto[#All],7,FALSE)</f>
        <v>Fora de Linha</v>
      </c>
      <c r="B6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8" s="23">
        <v>33070763439</v>
      </c>
      <c r="D68" s="22" t="s">
        <v>1300</v>
      </c>
      <c r="E68" s="22" t="s">
        <v>1724</v>
      </c>
      <c r="F68" s="22" t="s">
        <v>1724</v>
      </c>
      <c r="G68" s="24"/>
      <c r="H68" s="25"/>
      <c r="I68" s="22"/>
      <c r="J68" s="24"/>
      <c r="K68" s="24" t="str">
        <f>IFERROR(VLOOKUP(Tarifold[[#This Row],[Código]],Importação!P:R,3,FALSE),"")</f>
        <v/>
      </c>
      <c r="L68" s="24">
        <f>IFERROR(VLOOKUP(Tarifold[[#This Row],[Código]],Saldo[],3,FALSE),0)</f>
        <v>99</v>
      </c>
      <c r="M68" s="24">
        <f>SUM(Tarifold[[#This Row],[Produção]:[Estoque]])</f>
        <v>99</v>
      </c>
      <c r="N68" s="24" t="str">
        <f>IFERROR(Tarifold[[#This Row],[Estoque+Importação]]/Tarifold[[#This Row],[Proj. de V. No prox. mes]],"Sem Projeção")</f>
        <v>Sem Projeção</v>
      </c>
      <c r="O68" s="24" t="str">
        <f>IF(OR(Tarifold[[#This Row],[Status]]="Em Linha",Tarifold[[#This Row],[Status]]="Componente",Tarifold[[#This Row],[Status]]="Materia Prima"),Tarifold[[#This Row],[Proj. de V. No prox. mes]]*10,"-")</f>
        <v>-</v>
      </c>
      <c r="P6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8" s="75">
        <f>VLOOKUP(Tarifold[[#This Row],[Código]],Projeção[#All],15,FALSE)</f>
        <v>0</v>
      </c>
      <c r="R68" s="39">
        <f>VLOOKUP(Tarifold[[#This Row],[Código]],Projeção[#All],14,FALSE)</f>
        <v>0</v>
      </c>
      <c r="S68" s="39">
        <f>IFERROR(VLOOKUP(Tarifold[[#This Row],[Código]],Venda_mes[],2,FALSE),0)</f>
        <v>0</v>
      </c>
      <c r="T68" s="44" t="str">
        <f>IFERROR(Tarifold[[#This Row],[V. No mes]]/Tarifold[[#This Row],[Proj. de V. No mes]],"")</f>
        <v/>
      </c>
      <c r="U68" s="43">
        <f>VLOOKUP(Tarifold[[#This Row],[Código]],Projeção[#All],14,FALSE)+VLOOKUP(Tarifold[[#This Row],[Código]],Projeção[#All],13,FALSE)+VLOOKUP(Tarifold[[#This Row],[Código]],Projeção[#All],12,FALSE)</f>
        <v>0</v>
      </c>
      <c r="V68" s="39">
        <f>IFERROR(VLOOKUP(Tarifold[[#This Row],[Código]],Venda_3meses[],2,FALSE),0)</f>
        <v>0</v>
      </c>
      <c r="W68" s="44" t="str">
        <f>IFERROR(Tarifold[[#This Row],[V. 3 meses]]/Tarifold[[#This Row],[Proj. de V. 3 meses]],"")</f>
        <v/>
      </c>
      <c r="X6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8" s="39">
        <f>IFERROR(VLOOKUP(Tarifold[[#This Row],[Código]],Venda_12meses[],2,FALSE),0)</f>
        <v>0</v>
      </c>
      <c r="Z68" s="44" t="str">
        <f>IFERROR(Tarifold[[#This Row],[V. 12 meses]]/Tarifold[[#This Row],[Proj. de V. 12 meses]],"")</f>
        <v/>
      </c>
      <c r="AA68" s="22"/>
    </row>
    <row r="69" spans="1:27" x14ac:dyDescent="0.25">
      <c r="A69" s="22" t="str">
        <f>VLOOKUP(Tarifold[[#This Row],[Código]],BD_Produto[#All],7,FALSE)</f>
        <v>Fora de Linha</v>
      </c>
      <c r="B6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69" s="23">
        <v>33070763436</v>
      </c>
      <c r="D69" s="22" t="s">
        <v>1301</v>
      </c>
      <c r="E69" s="22" t="s">
        <v>1724</v>
      </c>
      <c r="F69" s="22" t="s">
        <v>1724</v>
      </c>
      <c r="G69" s="24"/>
      <c r="H69" s="25"/>
      <c r="I69" s="22"/>
      <c r="J69" s="24"/>
      <c r="K69" s="24" t="str">
        <f>IFERROR(VLOOKUP(Tarifold[[#This Row],[Código]],Importação!P:R,3,FALSE),"")</f>
        <v/>
      </c>
      <c r="L69" s="24">
        <f>IFERROR(VLOOKUP(Tarifold[[#This Row],[Código]],Saldo[],3,FALSE),0)</f>
        <v>100</v>
      </c>
      <c r="M69" s="24">
        <f>SUM(Tarifold[[#This Row],[Produção]:[Estoque]])</f>
        <v>100</v>
      </c>
      <c r="N69" s="24" t="str">
        <f>IFERROR(Tarifold[[#This Row],[Estoque+Importação]]/Tarifold[[#This Row],[Proj. de V. No prox. mes]],"Sem Projeção")</f>
        <v>Sem Projeção</v>
      </c>
      <c r="O69" s="24" t="str">
        <f>IF(OR(Tarifold[[#This Row],[Status]]="Em Linha",Tarifold[[#This Row],[Status]]="Componente",Tarifold[[#This Row],[Status]]="Materia Prima"),Tarifold[[#This Row],[Proj. de V. No prox. mes]]*10,"-")</f>
        <v>-</v>
      </c>
      <c r="P6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69" s="75">
        <f>VLOOKUP(Tarifold[[#This Row],[Código]],Projeção[#All],15,FALSE)</f>
        <v>0</v>
      </c>
      <c r="R69" s="39">
        <f>VLOOKUP(Tarifold[[#This Row],[Código]],Projeção[#All],14,FALSE)</f>
        <v>0</v>
      </c>
      <c r="S69" s="39">
        <f>IFERROR(VLOOKUP(Tarifold[[#This Row],[Código]],Venda_mes[],2,FALSE),0)</f>
        <v>0</v>
      </c>
      <c r="T69" s="44" t="str">
        <f>IFERROR(Tarifold[[#This Row],[V. No mes]]/Tarifold[[#This Row],[Proj. de V. No mes]],"")</f>
        <v/>
      </c>
      <c r="U69" s="43">
        <f>VLOOKUP(Tarifold[[#This Row],[Código]],Projeção[#All],14,FALSE)+VLOOKUP(Tarifold[[#This Row],[Código]],Projeção[#All],13,FALSE)+VLOOKUP(Tarifold[[#This Row],[Código]],Projeção[#All],12,FALSE)</f>
        <v>0</v>
      </c>
      <c r="V69" s="39">
        <f>IFERROR(VLOOKUP(Tarifold[[#This Row],[Código]],Venda_3meses[],2,FALSE),0)</f>
        <v>0</v>
      </c>
      <c r="W69" s="44" t="str">
        <f>IFERROR(Tarifold[[#This Row],[V. 3 meses]]/Tarifold[[#This Row],[Proj. de V. 3 meses]],"")</f>
        <v/>
      </c>
      <c r="X6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69" s="39">
        <f>IFERROR(VLOOKUP(Tarifold[[#This Row],[Código]],Venda_12meses[],2,FALSE),0)</f>
        <v>0</v>
      </c>
      <c r="Z69" s="44" t="str">
        <f>IFERROR(Tarifold[[#This Row],[V. 12 meses]]/Tarifold[[#This Row],[Proj. de V. 12 meses]],"")</f>
        <v/>
      </c>
      <c r="AA69" s="22"/>
    </row>
    <row r="70" spans="1:27" x14ac:dyDescent="0.25">
      <c r="A70" s="22" t="str">
        <f>VLOOKUP(Tarifold[[#This Row],[Código]],BD_Produto[#All],7,FALSE)</f>
        <v>Fora de Linha</v>
      </c>
      <c r="B7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0" s="23">
        <v>33070763437</v>
      </c>
      <c r="D70" s="22" t="s">
        <v>1302</v>
      </c>
      <c r="E70" s="22" t="s">
        <v>1724</v>
      </c>
      <c r="F70" s="22" t="s">
        <v>1724</v>
      </c>
      <c r="G70" s="24"/>
      <c r="H70" s="25"/>
      <c r="I70" s="22"/>
      <c r="J70" s="24"/>
      <c r="K70" s="24" t="str">
        <f>IFERROR(VLOOKUP(Tarifold[[#This Row],[Código]],Importação!P:R,3,FALSE),"")</f>
        <v/>
      </c>
      <c r="L70" s="24">
        <f>IFERROR(VLOOKUP(Tarifold[[#This Row],[Código]],Saldo[],3,FALSE),0)</f>
        <v>98</v>
      </c>
      <c r="M70" s="24">
        <f>SUM(Tarifold[[#This Row],[Produção]:[Estoque]])</f>
        <v>98</v>
      </c>
      <c r="N70" s="24" t="str">
        <f>IFERROR(Tarifold[[#This Row],[Estoque+Importação]]/Tarifold[[#This Row],[Proj. de V. No prox. mes]],"Sem Projeção")</f>
        <v>Sem Projeção</v>
      </c>
      <c r="O70" s="24" t="str">
        <f>IF(OR(Tarifold[[#This Row],[Status]]="Em Linha",Tarifold[[#This Row],[Status]]="Componente",Tarifold[[#This Row],[Status]]="Materia Prima"),Tarifold[[#This Row],[Proj. de V. No prox. mes]]*10,"-")</f>
        <v>-</v>
      </c>
      <c r="P7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0" s="75">
        <f>VLOOKUP(Tarifold[[#This Row],[Código]],Projeção[#All],15,FALSE)</f>
        <v>0</v>
      </c>
      <c r="R70" s="39">
        <f>VLOOKUP(Tarifold[[#This Row],[Código]],Projeção[#All],14,FALSE)</f>
        <v>0</v>
      </c>
      <c r="S70" s="39">
        <f>IFERROR(VLOOKUP(Tarifold[[#This Row],[Código]],Venda_mes[],2,FALSE),0)</f>
        <v>0</v>
      </c>
      <c r="T70" s="44" t="str">
        <f>IFERROR(Tarifold[[#This Row],[V. No mes]]/Tarifold[[#This Row],[Proj. de V. No mes]],"")</f>
        <v/>
      </c>
      <c r="U70" s="43">
        <f>VLOOKUP(Tarifold[[#This Row],[Código]],Projeção[#All],14,FALSE)+VLOOKUP(Tarifold[[#This Row],[Código]],Projeção[#All],13,FALSE)+VLOOKUP(Tarifold[[#This Row],[Código]],Projeção[#All],12,FALSE)</f>
        <v>0</v>
      </c>
      <c r="V70" s="39">
        <f>IFERROR(VLOOKUP(Tarifold[[#This Row],[Código]],Venda_3meses[],2,FALSE),0)</f>
        <v>0</v>
      </c>
      <c r="W70" s="44" t="str">
        <f>IFERROR(Tarifold[[#This Row],[V. 3 meses]]/Tarifold[[#This Row],[Proj. de V. 3 meses]],"")</f>
        <v/>
      </c>
      <c r="X7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0" s="39">
        <f>IFERROR(VLOOKUP(Tarifold[[#This Row],[Código]],Venda_12meses[],2,FALSE),0)</f>
        <v>0</v>
      </c>
      <c r="Z70" s="44" t="str">
        <f>IFERROR(Tarifold[[#This Row],[V. 12 meses]]/Tarifold[[#This Row],[Proj. de V. 12 meses]],"")</f>
        <v/>
      </c>
      <c r="AA70" s="22"/>
    </row>
    <row r="71" spans="1:27" x14ac:dyDescent="0.25">
      <c r="A71" s="22" t="str">
        <f>VLOOKUP(Tarifold[[#This Row],[Código]],BD_Produto[#All],7,FALSE)</f>
        <v>Fora de Linha</v>
      </c>
      <c r="B7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1" s="23">
        <v>33070763440</v>
      </c>
      <c r="D71" s="22" t="s">
        <v>1303</v>
      </c>
      <c r="E71" s="22" t="s">
        <v>1724</v>
      </c>
      <c r="F71" s="22" t="s">
        <v>1724</v>
      </c>
      <c r="G71" s="24"/>
      <c r="H71" s="25"/>
      <c r="I71" s="22"/>
      <c r="J71" s="24"/>
      <c r="K71" s="24" t="str">
        <f>IFERROR(VLOOKUP(Tarifold[[#This Row],[Código]],Importação!P:R,3,FALSE),"")</f>
        <v/>
      </c>
      <c r="L71" s="24">
        <f>IFERROR(VLOOKUP(Tarifold[[#This Row],[Código]],Saldo[],3,FALSE),0)</f>
        <v>99</v>
      </c>
      <c r="M71" s="24">
        <f>SUM(Tarifold[[#This Row],[Produção]:[Estoque]])</f>
        <v>99</v>
      </c>
      <c r="N71" s="24" t="str">
        <f>IFERROR(Tarifold[[#This Row],[Estoque+Importação]]/Tarifold[[#This Row],[Proj. de V. No prox. mes]],"Sem Projeção")</f>
        <v>Sem Projeção</v>
      </c>
      <c r="O71" s="24" t="str">
        <f>IF(OR(Tarifold[[#This Row],[Status]]="Em Linha",Tarifold[[#This Row],[Status]]="Componente",Tarifold[[#This Row],[Status]]="Materia Prima"),Tarifold[[#This Row],[Proj. de V. No prox. mes]]*10,"-")</f>
        <v>-</v>
      </c>
      <c r="P7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1" s="75">
        <f>VLOOKUP(Tarifold[[#This Row],[Código]],Projeção[#All],15,FALSE)</f>
        <v>0</v>
      </c>
      <c r="R71" s="39">
        <f>VLOOKUP(Tarifold[[#This Row],[Código]],Projeção[#All],14,FALSE)</f>
        <v>0</v>
      </c>
      <c r="S71" s="39">
        <f>IFERROR(VLOOKUP(Tarifold[[#This Row],[Código]],Venda_mes[],2,FALSE),0)</f>
        <v>0</v>
      </c>
      <c r="T71" s="44" t="str">
        <f>IFERROR(Tarifold[[#This Row],[V. No mes]]/Tarifold[[#This Row],[Proj. de V. No mes]],"")</f>
        <v/>
      </c>
      <c r="U71" s="43">
        <f>VLOOKUP(Tarifold[[#This Row],[Código]],Projeção[#All],14,FALSE)+VLOOKUP(Tarifold[[#This Row],[Código]],Projeção[#All],13,FALSE)+VLOOKUP(Tarifold[[#This Row],[Código]],Projeção[#All],12,FALSE)</f>
        <v>0</v>
      </c>
      <c r="V71" s="39">
        <f>IFERROR(VLOOKUP(Tarifold[[#This Row],[Código]],Venda_3meses[],2,FALSE),0)</f>
        <v>0</v>
      </c>
      <c r="W71" s="44" t="str">
        <f>IFERROR(Tarifold[[#This Row],[V. 3 meses]]/Tarifold[[#This Row],[Proj. de V. 3 meses]],"")</f>
        <v/>
      </c>
      <c r="X7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1" s="39">
        <f>IFERROR(VLOOKUP(Tarifold[[#This Row],[Código]],Venda_12meses[],2,FALSE),0)</f>
        <v>0</v>
      </c>
      <c r="Z71" s="44" t="str">
        <f>IFERROR(Tarifold[[#This Row],[V. 12 meses]]/Tarifold[[#This Row],[Proj. de V. 12 meses]],"")</f>
        <v/>
      </c>
      <c r="AA71" s="22"/>
    </row>
    <row r="72" spans="1:27" x14ac:dyDescent="0.25">
      <c r="A72" s="22" t="str">
        <f>VLOOKUP(Tarifold[[#This Row],[Código]],BD_Produto[#All],7,FALSE)</f>
        <v>Fora de Linha</v>
      </c>
      <c r="B7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2" s="23">
        <v>33070763438</v>
      </c>
      <c r="D72" s="22" t="s">
        <v>1304</v>
      </c>
      <c r="E72" s="22" t="s">
        <v>1724</v>
      </c>
      <c r="F72" s="22" t="s">
        <v>1724</v>
      </c>
      <c r="G72" s="24"/>
      <c r="H72" s="25"/>
      <c r="I72" s="22"/>
      <c r="J72" s="24"/>
      <c r="K72" s="24" t="str">
        <f>IFERROR(VLOOKUP(Tarifold[[#This Row],[Código]],Importação!P:R,3,FALSE),"")</f>
        <v/>
      </c>
      <c r="L72" s="24">
        <f>IFERROR(VLOOKUP(Tarifold[[#This Row],[Código]],Saldo[],3,FALSE),0)</f>
        <v>100</v>
      </c>
      <c r="M72" s="24">
        <f>SUM(Tarifold[[#This Row],[Produção]:[Estoque]])</f>
        <v>100</v>
      </c>
      <c r="N72" s="24" t="str">
        <f>IFERROR(Tarifold[[#This Row],[Estoque+Importação]]/Tarifold[[#This Row],[Proj. de V. No prox. mes]],"Sem Projeção")</f>
        <v>Sem Projeção</v>
      </c>
      <c r="O72" s="24" t="str">
        <f>IF(OR(Tarifold[[#This Row],[Status]]="Em Linha",Tarifold[[#This Row],[Status]]="Componente",Tarifold[[#This Row],[Status]]="Materia Prima"),Tarifold[[#This Row],[Proj. de V. No prox. mes]]*10,"-")</f>
        <v>-</v>
      </c>
      <c r="P7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2" s="75">
        <f>VLOOKUP(Tarifold[[#This Row],[Código]],Projeção[#All],15,FALSE)</f>
        <v>0</v>
      </c>
      <c r="R72" s="39">
        <f>VLOOKUP(Tarifold[[#This Row],[Código]],Projeção[#All],14,FALSE)</f>
        <v>0</v>
      </c>
      <c r="S72" s="39">
        <f>IFERROR(VLOOKUP(Tarifold[[#This Row],[Código]],Venda_mes[],2,FALSE),0)</f>
        <v>0</v>
      </c>
      <c r="T72" s="44" t="str">
        <f>IFERROR(Tarifold[[#This Row],[V. No mes]]/Tarifold[[#This Row],[Proj. de V. No mes]],"")</f>
        <v/>
      </c>
      <c r="U72" s="43">
        <f>VLOOKUP(Tarifold[[#This Row],[Código]],Projeção[#All],14,FALSE)+VLOOKUP(Tarifold[[#This Row],[Código]],Projeção[#All],13,FALSE)+VLOOKUP(Tarifold[[#This Row],[Código]],Projeção[#All],12,FALSE)</f>
        <v>0</v>
      </c>
      <c r="V72" s="39">
        <f>IFERROR(VLOOKUP(Tarifold[[#This Row],[Código]],Venda_3meses[],2,FALSE),0)</f>
        <v>0</v>
      </c>
      <c r="W72" s="44" t="str">
        <f>IFERROR(Tarifold[[#This Row],[V. 3 meses]]/Tarifold[[#This Row],[Proj. de V. 3 meses]],"")</f>
        <v/>
      </c>
      <c r="X7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2" s="39">
        <f>IFERROR(VLOOKUP(Tarifold[[#This Row],[Código]],Venda_12meses[],2,FALSE),0)</f>
        <v>0</v>
      </c>
      <c r="Z72" s="44" t="str">
        <f>IFERROR(Tarifold[[#This Row],[V. 12 meses]]/Tarifold[[#This Row],[Proj. de V. 12 meses]],"")</f>
        <v/>
      </c>
      <c r="AA72" s="22"/>
    </row>
    <row r="73" spans="1:27" x14ac:dyDescent="0.25">
      <c r="A73" s="22" t="str">
        <f>VLOOKUP(Tarifold[[#This Row],[Código]],BD_Produto[#All],7,FALSE)</f>
        <v>Fora de Linha</v>
      </c>
      <c r="B7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3" s="23">
        <v>33070763444</v>
      </c>
      <c r="D73" s="22" t="s">
        <v>1305</v>
      </c>
      <c r="E73" s="22" t="s">
        <v>1724</v>
      </c>
      <c r="F73" s="22" t="s">
        <v>1724</v>
      </c>
      <c r="G73" s="24"/>
      <c r="H73" s="25"/>
      <c r="I73" s="22"/>
      <c r="J73" s="24"/>
      <c r="K73" s="24" t="str">
        <f>IFERROR(VLOOKUP(Tarifold[[#This Row],[Código]],Importação!P:R,3,FALSE),"")</f>
        <v/>
      </c>
      <c r="L73" s="24">
        <f>IFERROR(VLOOKUP(Tarifold[[#This Row],[Código]],Saldo[],3,FALSE),0)</f>
        <v>45</v>
      </c>
      <c r="M73" s="24">
        <f>SUM(Tarifold[[#This Row],[Produção]:[Estoque]])</f>
        <v>45</v>
      </c>
      <c r="N73" s="24" t="str">
        <f>IFERROR(Tarifold[[#This Row],[Estoque+Importação]]/Tarifold[[#This Row],[Proj. de V. No prox. mes]],"Sem Projeção")</f>
        <v>Sem Projeção</v>
      </c>
      <c r="O73" s="24" t="str">
        <f>IF(OR(Tarifold[[#This Row],[Status]]="Em Linha",Tarifold[[#This Row],[Status]]="Componente",Tarifold[[#This Row],[Status]]="Materia Prima"),Tarifold[[#This Row],[Proj. de V. No prox. mes]]*10,"-")</f>
        <v>-</v>
      </c>
      <c r="P7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3" s="75">
        <f>VLOOKUP(Tarifold[[#This Row],[Código]],Projeção[#All],15,FALSE)</f>
        <v>0</v>
      </c>
      <c r="R73" s="39">
        <f>VLOOKUP(Tarifold[[#This Row],[Código]],Projeção[#All],14,FALSE)</f>
        <v>0</v>
      </c>
      <c r="S73" s="39">
        <f>IFERROR(VLOOKUP(Tarifold[[#This Row],[Código]],Venda_mes[],2,FALSE),0)</f>
        <v>0</v>
      </c>
      <c r="T73" s="44" t="str">
        <f>IFERROR(Tarifold[[#This Row],[V. No mes]]/Tarifold[[#This Row],[Proj. de V. No mes]],"")</f>
        <v/>
      </c>
      <c r="U73" s="43">
        <f>VLOOKUP(Tarifold[[#This Row],[Código]],Projeção[#All],14,FALSE)+VLOOKUP(Tarifold[[#This Row],[Código]],Projeção[#All],13,FALSE)+VLOOKUP(Tarifold[[#This Row],[Código]],Projeção[#All],12,FALSE)</f>
        <v>0</v>
      </c>
      <c r="V73" s="39">
        <f>IFERROR(VLOOKUP(Tarifold[[#This Row],[Código]],Venda_3meses[],2,FALSE),0)</f>
        <v>0</v>
      </c>
      <c r="W73" s="44" t="str">
        <f>IFERROR(Tarifold[[#This Row],[V. 3 meses]]/Tarifold[[#This Row],[Proj. de V. 3 meses]],"")</f>
        <v/>
      </c>
      <c r="X7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3" s="39">
        <f>IFERROR(VLOOKUP(Tarifold[[#This Row],[Código]],Venda_12meses[],2,FALSE),0)</f>
        <v>0</v>
      </c>
      <c r="Z73" s="44" t="str">
        <f>IFERROR(Tarifold[[#This Row],[V. 12 meses]]/Tarifold[[#This Row],[Proj. de V. 12 meses]],"")</f>
        <v/>
      </c>
      <c r="AA73" s="22"/>
    </row>
    <row r="74" spans="1:27" x14ac:dyDescent="0.25">
      <c r="A74" s="22" t="str">
        <f>VLOOKUP(Tarifold[[#This Row],[Código]],BD_Produto[#All],7,FALSE)</f>
        <v>Fora de Linha</v>
      </c>
      <c r="B7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4" s="23">
        <v>33070763441</v>
      </c>
      <c r="D74" s="22" t="s">
        <v>1306</v>
      </c>
      <c r="E74" s="22" t="s">
        <v>1724</v>
      </c>
      <c r="F74" s="22" t="s">
        <v>1724</v>
      </c>
      <c r="G74" s="24"/>
      <c r="H74" s="25"/>
      <c r="I74" s="22"/>
      <c r="J74" s="24"/>
      <c r="K74" s="24" t="str">
        <f>IFERROR(VLOOKUP(Tarifold[[#This Row],[Código]],Importação!P:R,3,FALSE),"")</f>
        <v/>
      </c>
      <c r="L74" s="24">
        <f>IFERROR(VLOOKUP(Tarifold[[#This Row],[Código]],Saldo[],3,FALSE),0)</f>
        <v>41</v>
      </c>
      <c r="M74" s="24">
        <f>SUM(Tarifold[[#This Row],[Produção]:[Estoque]])</f>
        <v>41</v>
      </c>
      <c r="N74" s="24" t="str">
        <f>IFERROR(Tarifold[[#This Row],[Estoque+Importação]]/Tarifold[[#This Row],[Proj. de V. No prox. mes]],"Sem Projeção")</f>
        <v>Sem Projeção</v>
      </c>
      <c r="O74" s="24" t="str">
        <f>IF(OR(Tarifold[[#This Row],[Status]]="Em Linha",Tarifold[[#This Row],[Status]]="Componente",Tarifold[[#This Row],[Status]]="Materia Prima"),Tarifold[[#This Row],[Proj. de V. No prox. mes]]*10,"-")</f>
        <v>-</v>
      </c>
      <c r="P7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4" s="75">
        <f>VLOOKUP(Tarifold[[#This Row],[Código]],Projeção[#All],15,FALSE)</f>
        <v>0</v>
      </c>
      <c r="R74" s="39">
        <f>VLOOKUP(Tarifold[[#This Row],[Código]],Projeção[#All],14,FALSE)</f>
        <v>0</v>
      </c>
      <c r="S74" s="39">
        <f>IFERROR(VLOOKUP(Tarifold[[#This Row],[Código]],Venda_mes[],2,FALSE),0)</f>
        <v>0</v>
      </c>
      <c r="T74" s="44" t="str">
        <f>IFERROR(Tarifold[[#This Row],[V. No mes]]/Tarifold[[#This Row],[Proj. de V. No mes]],"")</f>
        <v/>
      </c>
      <c r="U74" s="43">
        <f>VLOOKUP(Tarifold[[#This Row],[Código]],Projeção[#All],14,FALSE)+VLOOKUP(Tarifold[[#This Row],[Código]],Projeção[#All],13,FALSE)+VLOOKUP(Tarifold[[#This Row],[Código]],Projeção[#All],12,FALSE)</f>
        <v>0</v>
      </c>
      <c r="V74" s="39">
        <f>IFERROR(VLOOKUP(Tarifold[[#This Row],[Código]],Venda_3meses[],2,FALSE),0)</f>
        <v>0</v>
      </c>
      <c r="W74" s="44" t="str">
        <f>IFERROR(Tarifold[[#This Row],[V. 3 meses]]/Tarifold[[#This Row],[Proj. de V. 3 meses]],"")</f>
        <v/>
      </c>
      <c r="X7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4" s="39">
        <f>IFERROR(VLOOKUP(Tarifold[[#This Row],[Código]],Venda_12meses[],2,FALSE),0)</f>
        <v>0</v>
      </c>
      <c r="Z74" s="44" t="str">
        <f>IFERROR(Tarifold[[#This Row],[V. 12 meses]]/Tarifold[[#This Row],[Proj. de V. 12 meses]],"")</f>
        <v/>
      </c>
      <c r="AA74" s="22"/>
    </row>
    <row r="75" spans="1:27" x14ac:dyDescent="0.25">
      <c r="A75" s="22" t="str">
        <f>VLOOKUP(Tarifold[[#This Row],[Código]],BD_Produto[#All],7,FALSE)</f>
        <v>Fora de Linha</v>
      </c>
      <c r="B7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5" s="23">
        <v>33070763442</v>
      </c>
      <c r="D75" s="22" t="s">
        <v>1307</v>
      </c>
      <c r="E75" s="22" t="s">
        <v>1724</v>
      </c>
      <c r="F75" s="22" t="s">
        <v>1724</v>
      </c>
      <c r="G75" s="24"/>
      <c r="H75" s="25"/>
      <c r="I75" s="22"/>
      <c r="J75" s="24"/>
      <c r="K75" s="24" t="str">
        <f>IFERROR(VLOOKUP(Tarifold[[#This Row],[Código]],Importação!P:R,3,FALSE),"")</f>
        <v/>
      </c>
      <c r="L75" s="24">
        <f>IFERROR(VLOOKUP(Tarifold[[#This Row],[Código]],Saldo[],3,FALSE),0)</f>
        <v>45</v>
      </c>
      <c r="M75" s="24">
        <f>SUM(Tarifold[[#This Row],[Produção]:[Estoque]])</f>
        <v>45</v>
      </c>
      <c r="N75" s="24" t="str">
        <f>IFERROR(Tarifold[[#This Row],[Estoque+Importação]]/Tarifold[[#This Row],[Proj. de V. No prox. mes]],"Sem Projeção")</f>
        <v>Sem Projeção</v>
      </c>
      <c r="O75" s="24" t="str">
        <f>IF(OR(Tarifold[[#This Row],[Status]]="Em Linha",Tarifold[[#This Row],[Status]]="Componente",Tarifold[[#This Row],[Status]]="Materia Prima"),Tarifold[[#This Row],[Proj. de V. No prox. mes]]*10,"-")</f>
        <v>-</v>
      </c>
      <c r="P7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5" s="75">
        <f>VLOOKUP(Tarifold[[#This Row],[Código]],Projeção[#All],15,FALSE)</f>
        <v>0</v>
      </c>
      <c r="R75" s="39">
        <f>VLOOKUP(Tarifold[[#This Row],[Código]],Projeção[#All],14,FALSE)</f>
        <v>0</v>
      </c>
      <c r="S75" s="39">
        <f>IFERROR(VLOOKUP(Tarifold[[#This Row],[Código]],Venda_mes[],2,FALSE),0)</f>
        <v>0</v>
      </c>
      <c r="T75" s="44" t="str">
        <f>IFERROR(Tarifold[[#This Row],[V. No mes]]/Tarifold[[#This Row],[Proj. de V. No mes]],"")</f>
        <v/>
      </c>
      <c r="U75" s="43">
        <f>VLOOKUP(Tarifold[[#This Row],[Código]],Projeção[#All],14,FALSE)+VLOOKUP(Tarifold[[#This Row],[Código]],Projeção[#All],13,FALSE)+VLOOKUP(Tarifold[[#This Row],[Código]],Projeção[#All],12,FALSE)</f>
        <v>0</v>
      </c>
      <c r="V75" s="39">
        <f>IFERROR(VLOOKUP(Tarifold[[#This Row],[Código]],Venda_3meses[],2,FALSE),0)</f>
        <v>0</v>
      </c>
      <c r="W75" s="44" t="str">
        <f>IFERROR(Tarifold[[#This Row],[V. 3 meses]]/Tarifold[[#This Row],[Proj. de V. 3 meses]],"")</f>
        <v/>
      </c>
      <c r="X7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5" s="39">
        <f>IFERROR(VLOOKUP(Tarifold[[#This Row],[Código]],Venda_12meses[],2,FALSE),0)</f>
        <v>0</v>
      </c>
      <c r="Z75" s="44" t="str">
        <f>IFERROR(Tarifold[[#This Row],[V. 12 meses]]/Tarifold[[#This Row],[Proj. de V. 12 meses]],"")</f>
        <v/>
      </c>
      <c r="AA75" s="22"/>
    </row>
    <row r="76" spans="1:27" x14ac:dyDescent="0.25">
      <c r="A76" s="22" t="str">
        <f>VLOOKUP(Tarifold[[#This Row],[Código]],BD_Produto[#All],7,FALSE)</f>
        <v>Fora de Linha</v>
      </c>
      <c r="B7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6" s="23">
        <v>33070763445</v>
      </c>
      <c r="D76" s="22" t="s">
        <v>1308</v>
      </c>
      <c r="E76" s="22" t="s">
        <v>1724</v>
      </c>
      <c r="F76" s="22" t="s">
        <v>1724</v>
      </c>
      <c r="G76" s="24"/>
      <c r="H76" s="25"/>
      <c r="I76" s="22"/>
      <c r="J76" s="24"/>
      <c r="K76" s="24" t="str">
        <f>IFERROR(VLOOKUP(Tarifold[[#This Row],[Código]],Importação!P:R,3,FALSE),"")</f>
        <v/>
      </c>
      <c r="L76" s="24">
        <f>IFERROR(VLOOKUP(Tarifold[[#This Row],[Código]],Saldo[],3,FALSE),0)</f>
        <v>45</v>
      </c>
      <c r="M76" s="24">
        <f>SUM(Tarifold[[#This Row],[Produção]:[Estoque]])</f>
        <v>45</v>
      </c>
      <c r="N76" s="24" t="str">
        <f>IFERROR(Tarifold[[#This Row],[Estoque+Importação]]/Tarifold[[#This Row],[Proj. de V. No prox. mes]],"Sem Projeção")</f>
        <v>Sem Projeção</v>
      </c>
      <c r="O76" s="24" t="str">
        <f>IF(OR(Tarifold[[#This Row],[Status]]="Em Linha",Tarifold[[#This Row],[Status]]="Componente",Tarifold[[#This Row],[Status]]="Materia Prima"),Tarifold[[#This Row],[Proj. de V. No prox. mes]]*10,"-")</f>
        <v>-</v>
      </c>
      <c r="P7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6" s="75">
        <f>VLOOKUP(Tarifold[[#This Row],[Código]],Projeção[#All],15,FALSE)</f>
        <v>0</v>
      </c>
      <c r="R76" s="39">
        <f>VLOOKUP(Tarifold[[#This Row],[Código]],Projeção[#All],14,FALSE)</f>
        <v>0</v>
      </c>
      <c r="S76" s="39">
        <f>IFERROR(VLOOKUP(Tarifold[[#This Row],[Código]],Venda_mes[],2,FALSE),0)</f>
        <v>0</v>
      </c>
      <c r="T76" s="44" t="str">
        <f>IFERROR(Tarifold[[#This Row],[V. No mes]]/Tarifold[[#This Row],[Proj. de V. No mes]],"")</f>
        <v/>
      </c>
      <c r="U76" s="43">
        <f>VLOOKUP(Tarifold[[#This Row],[Código]],Projeção[#All],14,FALSE)+VLOOKUP(Tarifold[[#This Row],[Código]],Projeção[#All],13,FALSE)+VLOOKUP(Tarifold[[#This Row],[Código]],Projeção[#All],12,FALSE)</f>
        <v>0</v>
      </c>
      <c r="V76" s="39">
        <f>IFERROR(VLOOKUP(Tarifold[[#This Row],[Código]],Venda_3meses[],2,FALSE),0)</f>
        <v>0</v>
      </c>
      <c r="W76" s="44" t="str">
        <f>IFERROR(Tarifold[[#This Row],[V. 3 meses]]/Tarifold[[#This Row],[Proj. de V. 3 meses]],"")</f>
        <v/>
      </c>
      <c r="X7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6" s="39">
        <f>IFERROR(VLOOKUP(Tarifold[[#This Row],[Código]],Venda_12meses[],2,FALSE),0)</f>
        <v>0</v>
      </c>
      <c r="Z76" s="44" t="str">
        <f>IFERROR(Tarifold[[#This Row],[V. 12 meses]]/Tarifold[[#This Row],[Proj. de V. 12 meses]],"")</f>
        <v/>
      </c>
      <c r="AA76" s="22"/>
    </row>
    <row r="77" spans="1:27" x14ac:dyDescent="0.25">
      <c r="A77" s="22" t="str">
        <f>VLOOKUP(Tarifold[[#This Row],[Código]],BD_Produto[#All],7,FALSE)</f>
        <v>Fora de Linha</v>
      </c>
      <c r="B7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7" s="23">
        <v>33070763443</v>
      </c>
      <c r="D77" s="22" t="s">
        <v>1309</v>
      </c>
      <c r="E77" s="22" t="s">
        <v>1724</v>
      </c>
      <c r="F77" s="22" t="s">
        <v>1724</v>
      </c>
      <c r="G77" s="24"/>
      <c r="H77" s="25"/>
      <c r="I77" s="22"/>
      <c r="J77" s="24"/>
      <c r="K77" s="24" t="str">
        <f>IFERROR(VLOOKUP(Tarifold[[#This Row],[Código]],Importação!P:R,3,FALSE),"")</f>
        <v/>
      </c>
      <c r="L77" s="24">
        <f>IFERROR(VLOOKUP(Tarifold[[#This Row],[Código]],Saldo[],3,FALSE),0)</f>
        <v>46</v>
      </c>
      <c r="M77" s="24">
        <f>SUM(Tarifold[[#This Row],[Produção]:[Estoque]])</f>
        <v>46</v>
      </c>
      <c r="N77" s="24" t="str">
        <f>IFERROR(Tarifold[[#This Row],[Estoque+Importação]]/Tarifold[[#This Row],[Proj. de V. No prox. mes]],"Sem Projeção")</f>
        <v>Sem Projeção</v>
      </c>
      <c r="O77" s="24" t="str">
        <f>IF(OR(Tarifold[[#This Row],[Status]]="Em Linha",Tarifold[[#This Row],[Status]]="Componente",Tarifold[[#This Row],[Status]]="Materia Prima"),Tarifold[[#This Row],[Proj. de V. No prox. mes]]*10,"-")</f>
        <v>-</v>
      </c>
      <c r="P7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7" s="75">
        <f>VLOOKUP(Tarifold[[#This Row],[Código]],Projeção[#All],15,FALSE)</f>
        <v>0</v>
      </c>
      <c r="R77" s="39">
        <f>VLOOKUP(Tarifold[[#This Row],[Código]],Projeção[#All],14,FALSE)</f>
        <v>0</v>
      </c>
      <c r="S77" s="39">
        <f>IFERROR(VLOOKUP(Tarifold[[#This Row],[Código]],Venda_mes[],2,FALSE),0)</f>
        <v>0</v>
      </c>
      <c r="T77" s="44" t="str">
        <f>IFERROR(Tarifold[[#This Row],[V. No mes]]/Tarifold[[#This Row],[Proj. de V. No mes]],"")</f>
        <v/>
      </c>
      <c r="U77" s="43">
        <f>VLOOKUP(Tarifold[[#This Row],[Código]],Projeção[#All],14,FALSE)+VLOOKUP(Tarifold[[#This Row],[Código]],Projeção[#All],13,FALSE)+VLOOKUP(Tarifold[[#This Row],[Código]],Projeção[#All],12,FALSE)</f>
        <v>0</v>
      </c>
      <c r="V77" s="39">
        <f>IFERROR(VLOOKUP(Tarifold[[#This Row],[Código]],Venda_3meses[],2,FALSE),0)</f>
        <v>0</v>
      </c>
      <c r="W77" s="44" t="str">
        <f>IFERROR(Tarifold[[#This Row],[V. 3 meses]]/Tarifold[[#This Row],[Proj. de V. 3 meses]],"")</f>
        <v/>
      </c>
      <c r="X7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7" s="39">
        <f>IFERROR(VLOOKUP(Tarifold[[#This Row],[Código]],Venda_12meses[],2,FALSE),0)</f>
        <v>0</v>
      </c>
      <c r="Z77" s="44" t="str">
        <f>IFERROR(Tarifold[[#This Row],[V. 12 meses]]/Tarifold[[#This Row],[Proj. de V. 12 meses]],"")</f>
        <v/>
      </c>
      <c r="AA77" s="22"/>
    </row>
    <row r="78" spans="1:27" x14ac:dyDescent="0.25">
      <c r="A78" s="22" t="str">
        <f>VLOOKUP(Tarifold[[#This Row],[Código]],BD_Produto[#All],7,FALSE)</f>
        <v>Fora de Linha</v>
      </c>
      <c r="B7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8" s="23">
        <v>33070763449</v>
      </c>
      <c r="D78" s="22" t="s">
        <v>1310</v>
      </c>
      <c r="E78" s="22" t="s">
        <v>1724</v>
      </c>
      <c r="F78" s="22" t="s">
        <v>1724</v>
      </c>
      <c r="G78" s="24"/>
      <c r="H78" s="25"/>
      <c r="I78" s="22"/>
      <c r="J78" s="24"/>
      <c r="K78" s="24" t="str">
        <f>IFERROR(VLOOKUP(Tarifold[[#This Row],[Código]],Importação!P:R,3,FALSE),"")</f>
        <v/>
      </c>
      <c r="L78" s="24">
        <f>IFERROR(VLOOKUP(Tarifold[[#This Row],[Código]],Saldo[],3,FALSE),0)</f>
        <v>47</v>
      </c>
      <c r="M78" s="24">
        <f>SUM(Tarifold[[#This Row],[Produção]:[Estoque]])</f>
        <v>47</v>
      </c>
      <c r="N78" s="24" t="str">
        <f>IFERROR(Tarifold[[#This Row],[Estoque+Importação]]/Tarifold[[#This Row],[Proj. de V. No prox. mes]],"Sem Projeção")</f>
        <v>Sem Projeção</v>
      </c>
      <c r="O78" s="24" t="str">
        <f>IF(OR(Tarifold[[#This Row],[Status]]="Em Linha",Tarifold[[#This Row],[Status]]="Componente",Tarifold[[#This Row],[Status]]="Materia Prima"),Tarifold[[#This Row],[Proj. de V. No prox. mes]]*10,"-")</f>
        <v>-</v>
      </c>
      <c r="P7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8" s="75">
        <f>VLOOKUP(Tarifold[[#This Row],[Código]],Projeção[#All],15,FALSE)</f>
        <v>0</v>
      </c>
      <c r="R78" s="39">
        <f>VLOOKUP(Tarifold[[#This Row],[Código]],Projeção[#All],14,FALSE)</f>
        <v>0</v>
      </c>
      <c r="S78" s="39">
        <f>IFERROR(VLOOKUP(Tarifold[[#This Row],[Código]],Venda_mes[],2,FALSE),0)</f>
        <v>0</v>
      </c>
      <c r="T78" s="44" t="str">
        <f>IFERROR(Tarifold[[#This Row],[V. No mes]]/Tarifold[[#This Row],[Proj. de V. No mes]],"")</f>
        <v/>
      </c>
      <c r="U78" s="43">
        <f>VLOOKUP(Tarifold[[#This Row],[Código]],Projeção[#All],14,FALSE)+VLOOKUP(Tarifold[[#This Row],[Código]],Projeção[#All],13,FALSE)+VLOOKUP(Tarifold[[#This Row],[Código]],Projeção[#All],12,FALSE)</f>
        <v>0</v>
      </c>
      <c r="V78" s="39">
        <f>IFERROR(VLOOKUP(Tarifold[[#This Row],[Código]],Venda_3meses[],2,FALSE),0)</f>
        <v>0</v>
      </c>
      <c r="W78" s="44" t="str">
        <f>IFERROR(Tarifold[[#This Row],[V. 3 meses]]/Tarifold[[#This Row],[Proj. de V. 3 meses]],"")</f>
        <v/>
      </c>
      <c r="X7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8" s="39">
        <f>IFERROR(VLOOKUP(Tarifold[[#This Row],[Código]],Venda_12meses[],2,FALSE),0)</f>
        <v>0</v>
      </c>
      <c r="Z78" s="44" t="str">
        <f>IFERROR(Tarifold[[#This Row],[V. 12 meses]]/Tarifold[[#This Row],[Proj. de V. 12 meses]],"")</f>
        <v/>
      </c>
      <c r="AA78" s="22"/>
    </row>
    <row r="79" spans="1:27" x14ac:dyDescent="0.25">
      <c r="A79" s="22" t="str">
        <f>VLOOKUP(Tarifold[[#This Row],[Código]],BD_Produto[#All],7,FALSE)</f>
        <v>Fora de Linha</v>
      </c>
      <c r="B7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79" s="23">
        <v>33070763446</v>
      </c>
      <c r="D79" s="22" t="s">
        <v>1311</v>
      </c>
      <c r="E79" s="22" t="s">
        <v>1724</v>
      </c>
      <c r="F79" s="22" t="s">
        <v>1724</v>
      </c>
      <c r="G79" s="24"/>
      <c r="H79" s="25"/>
      <c r="I79" s="22"/>
      <c r="J79" s="24"/>
      <c r="K79" s="24" t="str">
        <f>IFERROR(VLOOKUP(Tarifold[[#This Row],[Código]],Importação!P:R,3,FALSE),"")</f>
        <v/>
      </c>
      <c r="L79" s="24">
        <f>IFERROR(VLOOKUP(Tarifold[[#This Row],[Código]],Saldo[],3,FALSE),0)</f>
        <v>46</v>
      </c>
      <c r="M79" s="24">
        <f>SUM(Tarifold[[#This Row],[Produção]:[Estoque]])</f>
        <v>46</v>
      </c>
      <c r="N79" s="24" t="str">
        <f>IFERROR(Tarifold[[#This Row],[Estoque+Importação]]/Tarifold[[#This Row],[Proj. de V. No prox. mes]],"Sem Projeção")</f>
        <v>Sem Projeção</v>
      </c>
      <c r="O79" s="24" t="str">
        <f>IF(OR(Tarifold[[#This Row],[Status]]="Em Linha",Tarifold[[#This Row],[Status]]="Componente",Tarifold[[#This Row],[Status]]="Materia Prima"),Tarifold[[#This Row],[Proj. de V. No prox. mes]]*10,"-")</f>
        <v>-</v>
      </c>
      <c r="P7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79" s="75">
        <f>VLOOKUP(Tarifold[[#This Row],[Código]],Projeção[#All],15,FALSE)</f>
        <v>0</v>
      </c>
      <c r="R79" s="39">
        <f>VLOOKUP(Tarifold[[#This Row],[Código]],Projeção[#All],14,FALSE)</f>
        <v>0</v>
      </c>
      <c r="S79" s="39">
        <f>IFERROR(VLOOKUP(Tarifold[[#This Row],[Código]],Venda_mes[],2,FALSE),0)</f>
        <v>0</v>
      </c>
      <c r="T79" s="44" t="str">
        <f>IFERROR(Tarifold[[#This Row],[V. No mes]]/Tarifold[[#This Row],[Proj. de V. No mes]],"")</f>
        <v/>
      </c>
      <c r="U79" s="43">
        <f>VLOOKUP(Tarifold[[#This Row],[Código]],Projeção[#All],14,FALSE)+VLOOKUP(Tarifold[[#This Row],[Código]],Projeção[#All],13,FALSE)+VLOOKUP(Tarifold[[#This Row],[Código]],Projeção[#All],12,FALSE)</f>
        <v>0</v>
      </c>
      <c r="V79" s="39">
        <f>IFERROR(VLOOKUP(Tarifold[[#This Row],[Código]],Venda_3meses[],2,FALSE),0)</f>
        <v>0</v>
      </c>
      <c r="W79" s="44" t="str">
        <f>IFERROR(Tarifold[[#This Row],[V. 3 meses]]/Tarifold[[#This Row],[Proj. de V. 3 meses]],"")</f>
        <v/>
      </c>
      <c r="X7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79" s="39">
        <f>IFERROR(VLOOKUP(Tarifold[[#This Row],[Código]],Venda_12meses[],2,FALSE),0)</f>
        <v>0</v>
      </c>
      <c r="Z79" s="44" t="str">
        <f>IFERROR(Tarifold[[#This Row],[V. 12 meses]]/Tarifold[[#This Row],[Proj. de V. 12 meses]],"")</f>
        <v/>
      </c>
      <c r="AA79" s="22"/>
    </row>
    <row r="80" spans="1:27" x14ac:dyDescent="0.25">
      <c r="A80" s="22" t="str">
        <f>VLOOKUP(Tarifold[[#This Row],[Código]],BD_Produto[#All],7,FALSE)</f>
        <v>Fora de Linha</v>
      </c>
      <c r="B8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0" s="23">
        <v>33070763447</v>
      </c>
      <c r="D80" s="22" t="s">
        <v>1312</v>
      </c>
      <c r="E80" s="22" t="s">
        <v>1724</v>
      </c>
      <c r="F80" s="22" t="s">
        <v>1724</v>
      </c>
      <c r="G80" s="24"/>
      <c r="H80" s="25"/>
      <c r="I80" s="22"/>
      <c r="J80" s="24"/>
      <c r="K80" s="24" t="str">
        <f>IFERROR(VLOOKUP(Tarifold[[#This Row],[Código]],Importação!P:R,3,FALSE),"")</f>
        <v/>
      </c>
      <c r="L80" s="24">
        <f>IFERROR(VLOOKUP(Tarifold[[#This Row],[Código]],Saldo[],3,FALSE),0)</f>
        <v>47</v>
      </c>
      <c r="M80" s="24">
        <f>SUM(Tarifold[[#This Row],[Produção]:[Estoque]])</f>
        <v>47</v>
      </c>
      <c r="N80" s="24" t="str">
        <f>IFERROR(Tarifold[[#This Row],[Estoque+Importação]]/Tarifold[[#This Row],[Proj. de V. No prox. mes]],"Sem Projeção")</f>
        <v>Sem Projeção</v>
      </c>
      <c r="O80" s="24" t="str">
        <f>IF(OR(Tarifold[[#This Row],[Status]]="Em Linha",Tarifold[[#This Row],[Status]]="Componente",Tarifold[[#This Row],[Status]]="Materia Prima"),Tarifold[[#This Row],[Proj. de V. No prox. mes]]*10,"-")</f>
        <v>-</v>
      </c>
      <c r="P8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0" s="75">
        <f>VLOOKUP(Tarifold[[#This Row],[Código]],Projeção[#All],15,FALSE)</f>
        <v>0</v>
      </c>
      <c r="R80" s="39">
        <f>VLOOKUP(Tarifold[[#This Row],[Código]],Projeção[#All],14,FALSE)</f>
        <v>0</v>
      </c>
      <c r="S80" s="39">
        <f>IFERROR(VLOOKUP(Tarifold[[#This Row],[Código]],Venda_mes[],2,FALSE),0)</f>
        <v>0</v>
      </c>
      <c r="T80" s="44" t="str">
        <f>IFERROR(Tarifold[[#This Row],[V. No mes]]/Tarifold[[#This Row],[Proj. de V. No mes]],"")</f>
        <v/>
      </c>
      <c r="U80" s="43">
        <f>VLOOKUP(Tarifold[[#This Row],[Código]],Projeção[#All],14,FALSE)+VLOOKUP(Tarifold[[#This Row],[Código]],Projeção[#All],13,FALSE)+VLOOKUP(Tarifold[[#This Row],[Código]],Projeção[#All],12,FALSE)</f>
        <v>0</v>
      </c>
      <c r="V80" s="39">
        <f>IFERROR(VLOOKUP(Tarifold[[#This Row],[Código]],Venda_3meses[],2,FALSE),0)</f>
        <v>0</v>
      </c>
      <c r="W80" s="44" t="str">
        <f>IFERROR(Tarifold[[#This Row],[V. 3 meses]]/Tarifold[[#This Row],[Proj. de V. 3 meses]],"")</f>
        <v/>
      </c>
      <c r="X8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0" s="39">
        <f>IFERROR(VLOOKUP(Tarifold[[#This Row],[Código]],Venda_12meses[],2,FALSE),0)</f>
        <v>0</v>
      </c>
      <c r="Z80" s="44" t="str">
        <f>IFERROR(Tarifold[[#This Row],[V. 12 meses]]/Tarifold[[#This Row],[Proj. de V. 12 meses]],"")</f>
        <v/>
      </c>
      <c r="AA80" s="22"/>
    </row>
    <row r="81" spans="1:27" x14ac:dyDescent="0.25">
      <c r="A81" s="22" t="str">
        <f>VLOOKUP(Tarifold[[#This Row],[Código]],BD_Produto[#All],7,FALSE)</f>
        <v>Fora de Linha</v>
      </c>
      <c r="B8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1" s="23">
        <v>33070763450</v>
      </c>
      <c r="D81" s="22" t="s">
        <v>1313</v>
      </c>
      <c r="E81" s="22" t="s">
        <v>1724</v>
      </c>
      <c r="F81" s="22" t="s">
        <v>1724</v>
      </c>
      <c r="G81" s="24"/>
      <c r="H81" s="25"/>
      <c r="I81" s="22"/>
      <c r="J81" s="24"/>
      <c r="K81" s="24" t="str">
        <f>IFERROR(VLOOKUP(Tarifold[[#This Row],[Código]],Importação!P:R,3,FALSE),"")</f>
        <v/>
      </c>
      <c r="L81" s="24">
        <f>IFERROR(VLOOKUP(Tarifold[[#This Row],[Código]],Saldo[],3,FALSE),0)</f>
        <v>46</v>
      </c>
      <c r="M81" s="24">
        <f>SUM(Tarifold[[#This Row],[Produção]:[Estoque]])</f>
        <v>46</v>
      </c>
      <c r="N81" s="24" t="str">
        <f>IFERROR(Tarifold[[#This Row],[Estoque+Importação]]/Tarifold[[#This Row],[Proj. de V. No prox. mes]],"Sem Projeção")</f>
        <v>Sem Projeção</v>
      </c>
      <c r="O81" s="24" t="str">
        <f>IF(OR(Tarifold[[#This Row],[Status]]="Em Linha",Tarifold[[#This Row],[Status]]="Componente",Tarifold[[#This Row],[Status]]="Materia Prima"),Tarifold[[#This Row],[Proj. de V. No prox. mes]]*10,"-")</f>
        <v>-</v>
      </c>
      <c r="P8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1" s="75">
        <f>VLOOKUP(Tarifold[[#This Row],[Código]],Projeção[#All],15,FALSE)</f>
        <v>0</v>
      </c>
      <c r="R81" s="39">
        <f>VLOOKUP(Tarifold[[#This Row],[Código]],Projeção[#All],14,FALSE)</f>
        <v>0</v>
      </c>
      <c r="S81" s="39">
        <f>IFERROR(VLOOKUP(Tarifold[[#This Row],[Código]],Venda_mes[],2,FALSE),0)</f>
        <v>0</v>
      </c>
      <c r="T81" s="44" t="str">
        <f>IFERROR(Tarifold[[#This Row],[V. No mes]]/Tarifold[[#This Row],[Proj. de V. No mes]],"")</f>
        <v/>
      </c>
      <c r="U81" s="43">
        <f>VLOOKUP(Tarifold[[#This Row],[Código]],Projeção[#All],14,FALSE)+VLOOKUP(Tarifold[[#This Row],[Código]],Projeção[#All],13,FALSE)+VLOOKUP(Tarifold[[#This Row],[Código]],Projeção[#All],12,FALSE)</f>
        <v>0</v>
      </c>
      <c r="V81" s="39">
        <f>IFERROR(VLOOKUP(Tarifold[[#This Row],[Código]],Venda_3meses[],2,FALSE),0)</f>
        <v>0</v>
      </c>
      <c r="W81" s="44" t="str">
        <f>IFERROR(Tarifold[[#This Row],[V. 3 meses]]/Tarifold[[#This Row],[Proj. de V. 3 meses]],"")</f>
        <v/>
      </c>
      <c r="X8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1" s="39">
        <f>IFERROR(VLOOKUP(Tarifold[[#This Row],[Código]],Venda_12meses[],2,FALSE),0)</f>
        <v>0</v>
      </c>
      <c r="Z81" s="44" t="str">
        <f>IFERROR(Tarifold[[#This Row],[V. 12 meses]]/Tarifold[[#This Row],[Proj. de V. 12 meses]],"")</f>
        <v/>
      </c>
      <c r="AA81" s="22"/>
    </row>
    <row r="82" spans="1:27" x14ac:dyDescent="0.25">
      <c r="A82" s="22" t="str">
        <f>VLOOKUP(Tarifold[[#This Row],[Código]],BD_Produto[#All],7,FALSE)</f>
        <v>Fora de Linha</v>
      </c>
      <c r="B8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2" s="23">
        <v>33070763448</v>
      </c>
      <c r="D82" s="22" t="s">
        <v>1314</v>
      </c>
      <c r="E82" s="22" t="s">
        <v>1724</v>
      </c>
      <c r="F82" s="22" t="s">
        <v>1724</v>
      </c>
      <c r="G82" s="24"/>
      <c r="H82" s="25"/>
      <c r="I82" s="22"/>
      <c r="J82" s="24"/>
      <c r="K82" s="24" t="str">
        <f>IFERROR(VLOOKUP(Tarifold[[#This Row],[Código]],Importação!P:R,3,FALSE),"")</f>
        <v/>
      </c>
      <c r="L82" s="24">
        <f>IFERROR(VLOOKUP(Tarifold[[#This Row],[Código]],Saldo[],3,FALSE),0)</f>
        <v>47</v>
      </c>
      <c r="M82" s="24">
        <f>SUM(Tarifold[[#This Row],[Produção]:[Estoque]])</f>
        <v>47</v>
      </c>
      <c r="N82" s="24" t="str">
        <f>IFERROR(Tarifold[[#This Row],[Estoque+Importação]]/Tarifold[[#This Row],[Proj. de V. No prox. mes]],"Sem Projeção")</f>
        <v>Sem Projeção</v>
      </c>
      <c r="O82" s="24" t="str">
        <f>IF(OR(Tarifold[[#This Row],[Status]]="Em Linha",Tarifold[[#This Row],[Status]]="Componente",Tarifold[[#This Row],[Status]]="Materia Prima"),Tarifold[[#This Row],[Proj. de V. No prox. mes]]*10,"-")</f>
        <v>-</v>
      </c>
      <c r="P8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2" s="75">
        <f>VLOOKUP(Tarifold[[#This Row],[Código]],Projeção[#All],15,FALSE)</f>
        <v>0</v>
      </c>
      <c r="R82" s="39">
        <f>VLOOKUP(Tarifold[[#This Row],[Código]],Projeção[#All],14,FALSE)</f>
        <v>0</v>
      </c>
      <c r="S82" s="39">
        <f>IFERROR(VLOOKUP(Tarifold[[#This Row],[Código]],Venda_mes[],2,FALSE),0)</f>
        <v>0</v>
      </c>
      <c r="T82" s="44" t="str">
        <f>IFERROR(Tarifold[[#This Row],[V. No mes]]/Tarifold[[#This Row],[Proj. de V. No mes]],"")</f>
        <v/>
      </c>
      <c r="U82" s="43">
        <f>VLOOKUP(Tarifold[[#This Row],[Código]],Projeção[#All],14,FALSE)+VLOOKUP(Tarifold[[#This Row],[Código]],Projeção[#All],13,FALSE)+VLOOKUP(Tarifold[[#This Row],[Código]],Projeção[#All],12,FALSE)</f>
        <v>0</v>
      </c>
      <c r="V82" s="39">
        <f>IFERROR(VLOOKUP(Tarifold[[#This Row],[Código]],Venda_3meses[],2,FALSE),0)</f>
        <v>0</v>
      </c>
      <c r="W82" s="44" t="str">
        <f>IFERROR(Tarifold[[#This Row],[V. 3 meses]]/Tarifold[[#This Row],[Proj. de V. 3 meses]],"")</f>
        <v/>
      </c>
      <c r="X8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2" s="39">
        <f>IFERROR(VLOOKUP(Tarifold[[#This Row],[Código]],Venda_12meses[],2,FALSE),0)</f>
        <v>0</v>
      </c>
      <c r="Z82" s="44" t="str">
        <f>IFERROR(Tarifold[[#This Row],[V. 12 meses]]/Tarifold[[#This Row],[Proj. de V. 12 meses]],"")</f>
        <v/>
      </c>
      <c r="AA82" s="22"/>
    </row>
    <row r="83" spans="1:27" x14ac:dyDescent="0.25">
      <c r="A83" s="22" t="str">
        <f>VLOOKUP(Tarifold[[#This Row],[Código]],BD_Produto[#All],7,FALSE)</f>
        <v>Fora de Linha</v>
      </c>
      <c r="B8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3" s="23">
        <v>33070754050</v>
      </c>
      <c r="D83" s="22" t="s">
        <v>1315</v>
      </c>
      <c r="E83" s="22" t="s">
        <v>1724</v>
      </c>
      <c r="F83" s="22" t="s">
        <v>1724</v>
      </c>
      <c r="G83" s="24"/>
      <c r="H83" s="25"/>
      <c r="I83" s="22"/>
      <c r="J83" s="24"/>
      <c r="K83" s="24" t="str">
        <f>IFERROR(VLOOKUP(Tarifold[[#This Row],[Código]],Importação!P:R,3,FALSE),"")</f>
        <v/>
      </c>
      <c r="L83" s="24">
        <f>IFERROR(VLOOKUP(Tarifold[[#This Row],[Código]],Saldo[],3,FALSE),0)</f>
        <v>23</v>
      </c>
      <c r="M83" s="24">
        <f>SUM(Tarifold[[#This Row],[Produção]:[Estoque]])</f>
        <v>23</v>
      </c>
      <c r="N83" s="24" t="str">
        <f>IFERROR(Tarifold[[#This Row],[Estoque+Importação]]/Tarifold[[#This Row],[Proj. de V. No prox. mes]],"Sem Projeção")</f>
        <v>Sem Projeção</v>
      </c>
      <c r="O83" s="24" t="str">
        <f>IF(OR(Tarifold[[#This Row],[Status]]="Em Linha",Tarifold[[#This Row],[Status]]="Componente",Tarifold[[#This Row],[Status]]="Materia Prima"),Tarifold[[#This Row],[Proj. de V. No prox. mes]]*10,"-")</f>
        <v>-</v>
      </c>
      <c r="P8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3" s="75">
        <f>VLOOKUP(Tarifold[[#This Row],[Código]],Projeção[#All],15,FALSE)</f>
        <v>0</v>
      </c>
      <c r="R83" s="39">
        <f>VLOOKUP(Tarifold[[#This Row],[Código]],Projeção[#All],14,FALSE)</f>
        <v>0</v>
      </c>
      <c r="S83" s="39">
        <f>IFERROR(VLOOKUP(Tarifold[[#This Row],[Código]],Venda_mes[],2,FALSE),0)</f>
        <v>0</v>
      </c>
      <c r="T83" s="44" t="str">
        <f>IFERROR(Tarifold[[#This Row],[V. No mes]]/Tarifold[[#This Row],[Proj. de V. No mes]],"")</f>
        <v/>
      </c>
      <c r="U83" s="43">
        <f>VLOOKUP(Tarifold[[#This Row],[Código]],Projeção[#All],14,FALSE)+VLOOKUP(Tarifold[[#This Row],[Código]],Projeção[#All],13,FALSE)+VLOOKUP(Tarifold[[#This Row],[Código]],Projeção[#All],12,FALSE)</f>
        <v>0</v>
      </c>
      <c r="V83" s="39">
        <f>IFERROR(VLOOKUP(Tarifold[[#This Row],[Código]],Venda_3meses[],2,FALSE),0)</f>
        <v>0</v>
      </c>
      <c r="W83" s="44" t="str">
        <f>IFERROR(Tarifold[[#This Row],[V. 3 meses]]/Tarifold[[#This Row],[Proj. de V. 3 meses]],"")</f>
        <v/>
      </c>
      <c r="X8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3" s="39">
        <f>IFERROR(VLOOKUP(Tarifold[[#This Row],[Código]],Venda_12meses[],2,FALSE),0)</f>
        <v>0</v>
      </c>
      <c r="Z83" s="44" t="str">
        <f>IFERROR(Tarifold[[#This Row],[V. 12 meses]]/Tarifold[[#This Row],[Proj. de V. 12 meses]],"")</f>
        <v/>
      </c>
      <c r="AA83" s="22"/>
    </row>
    <row r="84" spans="1:27" x14ac:dyDescent="0.25">
      <c r="A84" s="22" t="str">
        <f>VLOOKUP(Tarifold[[#This Row],[Código]],BD_Produto[#All],7,FALSE)</f>
        <v>Fora de Linha</v>
      </c>
      <c r="B8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4" s="23">
        <v>33070754055</v>
      </c>
      <c r="D84" s="22" t="s">
        <v>1316</v>
      </c>
      <c r="E84" s="22" t="s">
        <v>1724</v>
      </c>
      <c r="F84" s="22" t="s">
        <v>1724</v>
      </c>
      <c r="G84" s="24"/>
      <c r="H84" s="25"/>
      <c r="I84" s="22"/>
      <c r="J84" s="24"/>
      <c r="K84" s="24" t="str">
        <f>IFERROR(VLOOKUP(Tarifold[[#This Row],[Código]],Importação!P:R,3,FALSE),"")</f>
        <v/>
      </c>
      <c r="L84" s="24">
        <f>IFERROR(VLOOKUP(Tarifold[[#This Row],[Código]],Saldo[],3,FALSE),0)</f>
        <v>118</v>
      </c>
      <c r="M84" s="24">
        <f>SUM(Tarifold[[#This Row],[Produção]:[Estoque]])</f>
        <v>118</v>
      </c>
      <c r="N84" s="24" t="str">
        <f>IFERROR(Tarifold[[#This Row],[Estoque+Importação]]/Tarifold[[#This Row],[Proj. de V. No prox. mes]],"Sem Projeção")</f>
        <v>Sem Projeção</v>
      </c>
      <c r="O84" s="24" t="str">
        <f>IF(OR(Tarifold[[#This Row],[Status]]="Em Linha",Tarifold[[#This Row],[Status]]="Componente",Tarifold[[#This Row],[Status]]="Materia Prima"),Tarifold[[#This Row],[Proj. de V. No prox. mes]]*10,"-")</f>
        <v>-</v>
      </c>
      <c r="P8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4" s="75">
        <f>VLOOKUP(Tarifold[[#This Row],[Código]],Projeção[#All],15,FALSE)</f>
        <v>0</v>
      </c>
      <c r="R84" s="39">
        <f>VLOOKUP(Tarifold[[#This Row],[Código]],Projeção[#All],14,FALSE)</f>
        <v>0</v>
      </c>
      <c r="S84" s="39">
        <f>IFERROR(VLOOKUP(Tarifold[[#This Row],[Código]],Venda_mes[],2,FALSE),0)</f>
        <v>0</v>
      </c>
      <c r="T84" s="44" t="str">
        <f>IFERROR(Tarifold[[#This Row],[V. No mes]]/Tarifold[[#This Row],[Proj. de V. No mes]],"")</f>
        <v/>
      </c>
      <c r="U84" s="43">
        <f>VLOOKUP(Tarifold[[#This Row],[Código]],Projeção[#All],14,FALSE)+VLOOKUP(Tarifold[[#This Row],[Código]],Projeção[#All],13,FALSE)+VLOOKUP(Tarifold[[#This Row],[Código]],Projeção[#All],12,FALSE)</f>
        <v>0</v>
      </c>
      <c r="V84" s="39">
        <f>IFERROR(VLOOKUP(Tarifold[[#This Row],[Código]],Venda_3meses[],2,FALSE),0)</f>
        <v>0</v>
      </c>
      <c r="W84" s="44" t="str">
        <f>IFERROR(Tarifold[[#This Row],[V. 3 meses]]/Tarifold[[#This Row],[Proj. de V. 3 meses]],"")</f>
        <v/>
      </c>
      <c r="X8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4" s="39">
        <f>IFERROR(VLOOKUP(Tarifold[[#This Row],[Código]],Venda_12meses[],2,FALSE),0)</f>
        <v>0</v>
      </c>
      <c r="Z84" s="44" t="str">
        <f>IFERROR(Tarifold[[#This Row],[V. 12 meses]]/Tarifold[[#This Row],[Proj. de V. 12 meses]],"")</f>
        <v/>
      </c>
      <c r="AA84" s="22"/>
    </row>
    <row r="85" spans="1:27" x14ac:dyDescent="0.25">
      <c r="A85" s="22" t="str">
        <f>VLOOKUP(Tarifold[[#This Row],[Código]],BD_Produto[#All],7,FALSE)</f>
        <v>Fora de Linha</v>
      </c>
      <c r="B8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5" s="23">
        <v>33070754062</v>
      </c>
      <c r="D85" s="22" t="s">
        <v>954</v>
      </c>
      <c r="E85" s="22" t="s">
        <v>1724</v>
      </c>
      <c r="F85" s="22" t="s">
        <v>1724</v>
      </c>
      <c r="G85" s="24"/>
      <c r="H85" s="25"/>
      <c r="I85" s="22"/>
      <c r="J85" s="24"/>
      <c r="K85" s="24" t="str">
        <f>IFERROR(VLOOKUP(Tarifold[[#This Row],[Código]],Importação!P:R,3,FALSE),"")</f>
        <v/>
      </c>
      <c r="L85" s="24">
        <f>IFERROR(VLOOKUP(Tarifold[[#This Row],[Código]],Saldo[],3,FALSE),0)</f>
        <v>140</v>
      </c>
      <c r="M85" s="24">
        <f>SUM(Tarifold[[#This Row],[Produção]:[Estoque]])</f>
        <v>140</v>
      </c>
      <c r="N85" s="24" t="str">
        <f>IFERROR(Tarifold[[#This Row],[Estoque+Importação]]/Tarifold[[#This Row],[Proj. de V. No prox. mes]],"Sem Projeção")</f>
        <v>Sem Projeção</v>
      </c>
      <c r="O85" s="24" t="str">
        <f>IF(OR(Tarifold[[#This Row],[Status]]="Em Linha",Tarifold[[#This Row],[Status]]="Componente",Tarifold[[#This Row],[Status]]="Materia Prima"),Tarifold[[#This Row],[Proj. de V. No prox. mes]]*10,"-")</f>
        <v>-</v>
      </c>
      <c r="P8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5" s="75">
        <f>VLOOKUP(Tarifold[[#This Row],[Código]],Projeção[#All],15,FALSE)</f>
        <v>0</v>
      </c>
      <c r="R85" s="39">
        <f>VLOOKUP(Tarifold[[#This Row],[Código]],Projeção[#All],14,FALSE)</f>
        <v>0</v>
      </c>
      <c r="S85" s="39">
        <f>IFERROR(VLOOKUP(Tarifold[[#This Row],[Código]],Venda_mes[],2,FALSE),0)</f>
        <v>0</v>
      </c>
      <c r="T85" s="44" t="str">
        <f>IFERROR(Tarifold[[#This Row],[V. No mes]]/Tarifold[[#This Row],[Proj. de V. No mes]],"")</f>
        <v/>
      </c>
      <c r="U85" s="43">
        <f>VLOOKUP(Tarifold[[#This Row],[Código]],Projeção[#All],14,FALSE)+VLOOKUP(Tarifold[[#This Row],[Código]],Projeção[#All],13,FALSE)+VLOOKUP(Tarifold[[#This Row],[Código]],Projeção[#All],12,FALSE)</f>
        <v>0</v>
      </c>
      <c r="V85" s="39">
        <f>IFERROR(VLOOKUP(Tarifold[[#This Row],[Código]],Venda_3meses[],2,FALSE),0)</f>
        <v>0</v>
      </c>
      <c r="W85" s="44" t="str">
        <f>IFERROR(Tarifold[[#This Row],[V. 3 meses]]/Tarifold[[#This Row],[Proj. de V. 3 meses]],"")</f>
        <v/>
      </c>
      <c r="X8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3.3333333333333333E-2</v>
      </c>
      <c r="Y85" s="39">
        <f>IFERROR(VLOOKUP(Tarifold[[#This Row],[Código]],Venda_12meses[],2,FALSE),0)</f>
        <v>0</v>
      </c>
      <c r="Z85" s="44">
        <f>IFERROR(Tarifold[[#This Row],[V. 12 meses]]/Tarifold[[#This Row],[Proj. de V. 12 meses]],"")</f>
        <v>0</v>
      </c>
      <c r="AA85" s="22"/>
    </row>
    <row r="86" spans="1:27" x14ac:dyDescent="0.25">
      <c r="A86" s="22" t="str">
        <f>VLOOKUP(Tarifold[[#This Row],[Código]],BD_Produto[#All],7,FALSE)</f>
        <v>Fora de Linha</v>
      </c>
      <c r="B8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6" s="23">
        <v>33070754061</v>
      </c>
      <c r="D86" s="22" t="s">
        <v>1317</v>
      </c>
      <c r="E86" s="22" t="s">
        <v>1724</v>
      </c>
      <c r="F86" s="22" t="s">
        <v>1724</v>
      </c>
      <c r="G86" s="24"/>
      <c r="H86" s="25"/>
      <c r="I86" s="22"/>
      <c r="J86" s="24"/>
      <c r="K86" s="24" t="str">
        <f>IFERROR(VLOOKUP(Tarifold[[#This Row],[Código]],Importação!P:R,3,FALSE),"")</f>
        <v/>
      </c>
      <c r="L86" s="24">
        <f>IFERROR(VLOOKUP(Tarifold[[#This Row],[Código]],Saldo[],3,FALSE),0)</f>
        <v>145</v>
      </c>
      <c r="M86" s="24">
        <f>SUM(Tarifold[[#This Row],[Produção]:[Estoque]])</f>
        <v>145</v>
      </c>
      <c r="N86" s="24" t="str">
        <f>IFERROR(Tarifold[[#This Row],[Estoque+Importação]]/Tarifold[[#This Row],[Proj. de V. No prox. mes]],"Sem Projeção")</f>
        <v>Sem Projeção</v>
      </c>
      <c r="O86" s="24" t="str">
        <f>IF(OR(Tarifold[[#This Row],[Status]]="Em Linha",Tarifold[[#This Row],[Status]]="Componente",Tarifold[[#This Row],[Status]]="Materia Prima"),Tarifold[[#This Row],[Proj. de V. No prox. mes]]*10,"-")</f>
        <v>-</v>
      </c>
      <c r="P8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6" s="75">
        <f>VLOOKUP(Tarifold[[#This Row],[Código]],Projeção[#All],15,FALSE)</f>
        <v>0</v>
      </c>
      <c r="R86" s="39">
        <f>VLOOKUP(Tarifold[[#This Row],[Código]],Projeção[#All],14,FALSE)</f>
        <v>0</v>
      </c>
      <c r="S86" s="39">
        <f>IFERROR(VLOOKUP(Tarifold[[#This Row],[Código]],Venda_mes[],2,FALSE),0)</f>
        <v>0</v>
      </c>
      <c r="T86" s="44" t="str">
        <f>IFERROR(Tarifold[[#This Row],[V. No mes]]/Tarifold[[#This Row],[Proj. de V. No mes]],"")</f>
        <v/>
      </c>
      <c r="U86" s="43">
        <f>VLOOKUP(Tarifold[[#This Row],[Código]],Projeção[#All],14,FALSE)+VLOOKUP(Tarifold[[#This Row],[Código]],Projeção[#All],13,FALSE)+VLOOKUP(Tarifold[[#This Row],[Código]],Projeção[#All],12,FALSE)</f>
        <v>0</v>
      </c>
      <c r="V86" s="39">
        <f>IFERROR(VLOOKUP(Tarifold[[#This Row],[Código]],Venda_3meses[],2,FALSE),0)</f>
        <v>0</v>
      </c>
      <c r="W86" s="44" t="str">
        <f>IFERROR(Tarifold[[#This Row],[V. 3 meses]]/Tarifold[[#This Row],[Proj. de V. 3 meses]],"")</f>
        <v/>
      </c>
      <c r="X8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6" s="39">
        <f>IFERROR(VLOOKUP(Tarifold[[#This Row],[Código]],Venda_12meses[],2,FALSE),0)</f>
        <v>0</v>
      </c>
      <c r="Z86" s="44" t="str">
        <f>IFERROR(Tarifold[[#This Row],[V. 12 meses]]/Tarifold[[#This Row],[Proj. de V. 12 meses]],"")</f>
        <v/>
      </c>
      <c r="AA86" s="22"/>
    </row>
    <row r="87" spans="1:27" x14ac:dyDescent="0.25">
      <c r="A87" s="22" t="str">
        <f>VLOOKUP(Tarifold[[#This Row],[Código]],BD_Produto[#All],7,FALSE)</f>
        <v>Fora de Linha</v>
      </c>
      <c r="B8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7" s="23">
        <v>33070754065</v>
      </c>
      <c r="D87" s="22" t="s">
        <v>1318</v>
      </c>
      <c r="E87" s="22" t="s">
        <v>1724</v>
      </c>
      <c r="F87" s="22" t="s">
        <v>1724</v>
      </c>
      <c r="G87" s="24"/>
      <c r="H87" s="25"/>
      <c r="I87" s="22"/>
      <c r="J87" s="24"/>
      <c r="K87" s="24" t="str">
        <f>IFERROR(VLOOKUP(Tarifold[[#This Row],[Código]],Importação!P:R,3,FALSE),"")</f>
        <v/>
      </c>
      <c r="L87" s="24">
        <f>IFERROR(VLOOKUP(Tarifold[[#This Row],[Código]],Saldo[],3,FALSE),0)</f>
        <v>66</v>
      </c>
      <c r="M87" s="24">
        <f>SUM(Tarifold[[#This Row],[Produção]:[Estoque]])</f>
        <v>66</v>
      </c>
      <c r="N87" s="24" t="str">
        <f>IFERROR(Tarifold[[#This Row],[Estoque+Importação]]/Tarifold[[#This Row],[Proj. de V. No prox. mes]],"Sem Projeção")</f>
        <v>Sem Projeção</v>
      </c>
      <c r="O87" s="24" t="str">
        <f>IF(OR(Tarifold[[#This Row],[Status]]="Em Linha",Tarifold[[#This Row],[Status]]="Componente",Tarifold[[#This Row],[Status]]="Materia Prima"),Tarifold[[#This Row],[Proj. de V. No prox. mes]]*10,"-")</f>
        <v>-</v>
      </c>
      <c r="P8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7" s="75">
        <f>VLOOKUP(Tarifold[[#This Row],[Código]],Projeção[#All],15,FALSE)</f>
        <v>0</v>
      </c>
      <c r="R87" s="39">
        <f>VLOOKUP(Tarifold[[#This Row],[Código]],Projeção[#All],14,FALSE)</f>
        <v>0</v>
      </c>
      <c r="S87" s="39">
        <f>IFERROR(VLOOKUP(Tarifold[[#This Row],[Código]],Venda_mes[],2,FALSE),0)</f>
        <v>0</v>
      </c>
      <c r="T87" s="44" t="str">
        <f>IFERROR(Tarifold[[#This Row],[V. No mes]]/Tarifold[[#This Row],[Proj. de V. No mes]],"")</f>
        <v/>
      </c>
      <c r="U87" s="43">
        <f>VLOOKUP(Tarifold[[#This Row],[Código]],Projeção[#All],14,FALSE)+VLOOKUP(Tarifold[[#This Row],[Código]],Projeção[#All],13,FALSE)+VLOOKUP(Tarifold[[#This Row],[Código]],Projeção[#All],12,FALSE)</f>
        <v>0</v>
      </c>
      <c r="V87" s="39">
        <f>IFERROR(VLOOKUP(Tarifold[[#This Row],[Código]],Venda_3meses[],2,FALSE),0)</f>
        <v>0</v>
      </c>
      <c r="W87" s="44" t="str">
        <f>IFERROR(Tarifold[[#This Row],[V. 3 meses]]/Tarifold[[#This Row],[Proj. de V. 3 meses]],"")</f>
        <v/>
      </c>
      <c r="X8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7" s="39">
        <f>IFERROR(VLOOKUP(Tarifold[[#This Row],[Código]],Venda_12meses[],2,FALSE),0)</f>
        <v>0</v>
      </c>
      <c r="Z87" s="44" t="str">
        <f>IFERROR(Tarifold[[#This Row],[V. 12 meses]]/Tarifold[[#This Row],[Proj. de V. 12 meses]],"")</f>
        <v/>
      </c>
      <c r="AA87" s="22"/>
    </row>
    <row r="88" spans="1:27" x14ac:dyDescent="0.25">
      <c r="A88" s="22" t="str">
        <f>VLOOKUP(Tarifold[[#This Row],[Código]],BD_Produto[#All],7,FALSE)</f>
        <v>Fora de Linha</v>
      </c>
      <c r="B8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8" s="23">
        <v>33070754063</v>
      </c>
      <c r="D88" s="22" t="s">
        <v>1319</v>
      </c>
      <c r="E88" s="22" t="s">
        <v>1724</v>
      </c>
      <c r="F88" s="22" t="s">
        <v>1724</v>
      </c>
      <c r="G88" s="24"/>
      <c r="H88" s="25"/>
      <c r="I88" s="22"/>
      <c r="J88" s="24"/>
      <c r="K88" s="24" t="str">
        <f>IFERROR(VLOOKUP(Tarifold[[#This Row],[Código]],Importação!P:R,3,FALSE),"")</f>
        <v/>
      </c>
      <c r="L88" s="24">
        <f>IFERROR(VLOOKUP(Tarifold[[#This Row],[Código]],Saldo[],3,FALSE),0)</f>
        <v>94</v>
      </c>
      <c r="M88" s="24">
        <f>SUM(Tarifold[[#This Row],[Produção]:[Estoque]])</f>
        <v>94</v>
      </c>
      <c r="N88" s="24" t="str">
        <f>IFERROR(Tarifold[[#This Row],[Estoque+Importação]]/Tarifold[[#This Row],[Proj. de V. No prox. mes]],"Sem Projeção")</f>
        <v>Sem Projeção</v>
      </c>
      <c r="O88" s="24" t="str">
        <f>IF(OR(Tarifold[[#This Row],[Status]]="Em Linha",Tarifold[[#This Row],[Status]]="Componente",Tarifold[[#This Row],[Status]]="Materia Prima"),Tarifold[[#This Row],[Proj. de V. No prox. mes]]*10,"-")</f>
        <v>-</v>
      </c>
      <c r="P8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8" s="75">
        <f>VLOOKUP(Tarifold[[#This Row],[Código]],Projeção[#All],15,FALSE)</f>
        <v>0</v>
      </c>
      <c r="R88" s="39">
        <f>VLOOKUP(Tarifold[[#This Row],[Código]],Projeção[#All],14,FALSE)</f>
        <v>0</v>
      </c>
      <c r="S88" s="39">
        <f>IFERROR(VLOOKUP(Tarifold[[#This Row],[Código]],Venda_mes[],2,FALSE),0)</f>
        <v>0</v>
      </c>
      <c r="T88" s="44" t="str">
        <f>IFERROR(Tarifold[[#This Row],[V. No mes]]/Tarifold[[#This Row],[Proj. de V. No mes]],"")</f>
        <v/>
      </c>
      <c r="U88" s="43">
        <f>VLOOKUP(Tarifold[[#This Row],[Código]],Projeção[#All],14,FALSE)+VLOOKUP(Tarifold[[#This Row],[Código]],Projeção[#All],13,FALSE)+VLOOKUP(Tarifold[[#This Row],[Código]],Projeção[#All],12,FALSE)</f>
        <v>0</v>
      </c>
      <c r="V88" s="39">
        <f>IFERROR(VLOOKUP(Tarifold[[#This Row],[Código]],Venda_3meses[],2,FALSE),0)</f>
        <v>0</v>
      </c>
      <c r="W88" s="44" t="str">
        <f>IFERROR(Tarifold[[#This Row],[V. 3 meses]]/Tarifold[[#This Row],[Proj. de V. 3 meses]],"")</f>
        <v/>
      </c>
      <c r="X8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8" s="39">
        <f>IFERROR(VLOOKUP(Tarifold[[#This Row],[Código]],Venda_12meses[],2,FALSE),0)</f>
        <v>0</v>
      </c>
      <c r="Z88" s="44" t="str">
        <f>IFERROR(Tarifold[[#This Row],[V. 12 meses]]/Tarifold[[#This Row],[Proj. de V. 12 meses]],"")</f>
        <v/>
      </c>
      <c r="AA88" s="22"/>
    </row>
    <row r="89" spans="1:27" x14ac:dyDescent="0.25">
      <c r="A89" s="22" t="str">
        <f>VLOOKUP(Tarifold[[#This Row],[Código]],BD_Produto[#All],7,FALSE)</f>
        <v>Fora de Linha</v>
      </c>
      <c r="B8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89" s="23">
        <v>33070760268</v>
      </c>
      <c r="D89" s="22" t="s">
        <v>1320</v>
      </c>
      <c r="E89" s="22" t="s">
        <v>1724</v>
      </c>
      <c r="F89" s="22" t="s">
        <v>1724</v>
      </c>
      <c r="G89" s="24"/>
      <c r="H89" s="25"/>
      <c r="I89" s="22"/>
      <c r="J89" s="24"/>
      <c r="K89" s="24" t="str">
        <f>IFERROR(VLOOKUP(Tarifold[[#This Row],[Código]],Importação!P:R,3,FALSE),"")</f>
        <v/>
      </c>
      <c r="L89" s="24">
        <f>IFERROR(VLOOKUP(Tarifold[[#This Row],[Código]],Saldo[],3,FALSE),0)</f>
        <v>12</v>
      </c>
      <c r="M89" s="24">
        <f>SUM(Tarifold[[#This Row],[Produção]:[Estoque]])</f>
        <v>12</v>
      </c>
      <c r="N89" s="24" t="str">
        <f>IFERROR(Tarifold[[#This Row],[Estoque+Importação]]/Tarifold[[#This Row],[Proj. de V. No prox. mes]],"Sem Projeção")</f>
        <v>Sem Projeção</v>
      </c>
      <c r="O89" s="24" t="str">
        <f>IF(OR(Tarifold[[#This Row],[Status]]="Em Linha",Tarifold[[#This Row],[Status]]="Componente",Tarifold[[#This Row],[Status]]="Materia Prima"),Tarifold[[#This Row],[Proj. de V. No prox. mes]]*10,"-")</f>
        <v>-</v>
      </c>
      <c r="P8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89" s="75">
        <f>VLOOKUP(Tarifold[[#This Row],[Código]],Projeção[#All],15,FALSE)</f>
        <v>0</v>
      </c>
      <c r="R89" s="39">
        <f>VLOOKUP(Tarifold[[#This Row],[Código]],Projeção[#All],14,FALSE)</f>
        <v>0</v>
      </c>
      <c r="S89" s="39">
        <f>IFERROR(VLOOKUP(Tarifold[[#This Row],[Código]],Venda_mes[],2,FALSE),0)</f>
        <v>0</v>
      </c>
      <c r="T89" s="44" t="str">
        <f>IFERROR(Tarifold[[#This Row],[V. No mes]]/Tarifold[[#This Row],[Proj. de V. No mes]],"")</f>
        <v/>
      </c>
      <c r="U89" s="43">
        <f>VLOOKUP(Tarifold[[#This Row],[Código]],Projeção[#All],14,FALSE)+VLOOKUP(Tarifold[[#This Row],[Código]],Projeção[#All],13,FALSE)+VLOOKUP(Tarifold[[#This Row],[Código]],Projeção[#All],12,FALSE)</f>
        <v>0</v>
      </c>
      <c r="V89" s="39">
        <f>IFERROR(VLOOKUP(Tarifold[[#This Row],[Código]],Venda_3meses[],2,FALSE),0)</f>
        <v>0</v>
      </c>
      <c r="W89" s="44" t="str">
        <f>IFERROR(Tarifold[[#This Row],[V. 3 meses]]/Tarifold[[#This Row],[Proj. de V. 3 meses]],"")</f>
        <v/>
      </c>
      <c r="X8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89" s="39">
        <f>IFERROR(VLOOKUP(Tarifold[[#This Row],[Código]],Venda_12meses[],2,FALSE),0)</f>
        <v>0</v>
      </c>
      <c r="Z89" s="44" t="str">
        <f>IFERROR(Tarifold[[#This Row],[V. 12 meses]]/Tarifold[[#This Row],[Proj. de V. 12 meses]],"")</f>
        <v/>
      </c>
      <c r="AA89" s="22"/>
    </row>
    <row r="90" spans="1:27" x14ac:dyDescent="0.25">
      <c r="A90" s="22" t="str">
        <f>VLOOKUP(Tarifold[[#This Row],[Código]],BD_Produto[#All],7,FALSE)</f>
        <v>Fora de Linha</v>
      </c>
      <c r="B9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0" s="23">
        <v>33070760269</v>
      </c>
      <c r="D90" s="22" t="s">
        <v>1321</v>
      </c>
      <c r="E90" s="22" t="s">
        <v>1724</v>
      </c>
      <c r="F90" s="22" t="s">
        <v>1724</v>
      </c>
      <c r="G90" s="24"/>
      <c r="H90" s="25"/>
      <c r="I90" s="22"/>
      <c r="J90" s="24"/>
      <c r="K90" s="24" t="str">
        <f>IFERROR(VLOOKUP(Tarifold[[#This Row],[Código]],Importação!P:R,3,FALSE),"")</f>
        <v/>
      </c>
      <c r="L90" s="24">
        <f>IFERROR(VLOOKUP(Tarifold[[#This Row],[Código]],Saldo[],3,FALSE),0)</f>
        <v>45</v>
      </c>
      <c r="M90" s="24">
        <f>SUM(Tarifold[[#This Row],[Produção]:[Estoque]])</f>
        <v>45</v>
      </c>
      <c r="N90" s="24" t="str">
        <f>IFERROR(Tarifold[[#This Row],[Estoque+Importação]]/Tarifold[[#This Row],[Proj. de V. No prox. mes]],"Sem Projeção")</f>
        <v>Sem Projeção</v>
      </c>
      <c r="O90" s="24" t="str">
        <f>IF(OR(Tarifold[[#This Row],[Status]]="Em Linha",Tarifold[[#This Row],[Status]]="Componente",Tarifold[[#This Row],[Status]]="Materia Prima"),Tarifold[[#This Row],[Proj. de V. No prox. mes]]*10,"-")</f>
        <v>-</v>
      </c>
      <c r="P9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0" s="75">
        <f>VLOOKUP(Tarifold[[#This Row],[Código]],Projeção[#All],15,FALSE)</f>
        <v>0</v>
      </c>
      <c r="R90" s="39">
        <f>VLOOKUP(Tarifold[[#This Row],[Código]],Projeção[#All],14,FALSE)</f>
        <v>0</v>
      </c>
      <c r="S90" s="39">
        <f>IFERROR(VLOOKUP(Tarifold[[#This Row],[Código]],Venda_mes[],2,FALSE),0)</f>
        <v>0</v>
      </c>
      <c r="T90" s="44" t="str">
        <f>IFERROR(Tarifold[[#This Row],[V. No mes]]/Tarifold[[#This Row],[Proj. de V. No mes]],"")</f>
        <v/>
      </c>
      <c r="U90" s="43">
        <f>VLOOKUP(Tarifold[[#This Row],[Código]],Projeção[#All],14,FALSE)+VLOOKUP(Tarifold[[#This Row],[Código]],Projeção[#All],13,FALSE)+VLOOKUP(Tarifold[[#This Row],[Código]],Projeção[#All],12,FALSE)</f>
        <v>0</v>
      </c>
      <c r="V90" s="39">
        <f>IFERROR(VLOOKUP(Tarifold[[#This Row],[Código]],Venda_3meses[],2,FALSE),0)</f>
        <v>0</v>
      </c>
      <c r="W90" s="44" t="str">
        <f>IFERROR(Tarifold[[#This Row],[V. 3 meses]]/Tarifold[[#This Row],[Proj. de V. 3 meses]],"")</f>
        <v/>
      </c>
      <c r="X9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0" s="39">
        <f>IFERROR(VLOOKUP(Tarifold[[#This Row],[Código]],Venda_12meses[],2,FALSE),0)</f>
        <v>0</v>
      </c>
      <c r="Z90" s="44" t="str">
        <f>IFERROR(Tarifold[[#This Row],[V. 12 meses]]/Tarifold[[#This Row],[Proj. de V. 12 meses]],"")</f>
        <v/>
      </c>
      <c r="AA90" s="22"/>
    </row>
    <row r="91" spans="1:27" x14ac:dyDescent="0.25">
      <c r="A91" s="22" t="str">
        <f>VLOOKUP(Tarifold[[#This Row],[Código]],BD_Produto[#All],7,FALSE)</f>
        <v>Fora de Linha</v>
      </c>
      <c r="B9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1" s="23">
        <v>33070754121</v>
      </c>
      <c r="D91" s="22" t="s">
        <v>1322</v>
      </c>
      <c r="E91" s="22" t="s">
        <v>2676</v>
      </c>
      <c r="F91" s="22" t="s">
        <v>2676</v>
      </c>
      <c r="G91" s="24"/>
      <c r="H91" s="25"/>
      <c r="I91" s="22"/>
      <c r="J91" s="24"/>
      <c r="K91" s="24" t="str">
        <f>IFERROR(VLOOKUP(Tarifold[[#This Row],[Código]],Importação!P:R,3,FALSE),"")</f>
        <v/>
      </c>
      <c r="L91" s="24">
        <f>IFERROR(VLOOKUP(Tarifold[[#This Row],[Código]],Saldo[],3,FALSE),0)</f>
        <v>14</v>
      </c>
      <c r="M91" s="24">
        <f>SUM(Tarifold[[#This Row],[Produção]:[Estoque]])</f>
        <v>14</v>
      </c>
      <c r="N91" s="24" t="str">
        <f>IFERROR(Tarifold[[#This Row],[Estoque+Importação]]/Tarifold[[#This Row],[Proj. de V. No prox. mes]],"Sem Projeção")</f>
        <v>Sem Projeção</v>
      </c>
      <c r="O91" s="24" t="str">
        <f>IF(OR(Tarifold[[#This Row],[Status]]="Em Linha",Tarifold[[#This Row],[Status]]="Componente",Tarifold[[#This Row],[Status]]="Materia Prima"),Tarifold[[#This Row],[Proj. de V. No prox. mes]]*10,"-")</f>
        <v>-</v>
      </c>
      <c r="P9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1" s="75">
        <f>VLOOKUP(Tarifold[[#This Row],[Código]],Projeção[#All],15,FALSE)</f>
        <v>0</v>
      </c>
      <c r="R91" s="39">
        <f>VLOOKUP(Tarifold[[#This Row],[Código]],Projeção[#All],14,FALSE)</f>
        <v>0</v>
      </c>
      <c r="S91" s="39">
        <f>IFERROR(VLOOKUP(Tarifold[[#This Row],[Código]],Venda_mes[],2,FALSE),0)</f>
        <v>0</v>
      </c>
      <c r="T91" s="44" t="str">
        <f>IFERROR(Tarifold[[#This Row],[V. No mes]]/Tarifold[[#This Row],[Proj. de V. No mes]],"")</f>
        <v/>
      </c>
      <c r="U91" s="43">
        <f>VLOOKUP(Tarifold[[#This Row],[Código]],Projeção[#All],14,FALSE)+VLOOKUP(Tarifold[[#This Row],[Código]],Projeção[#All],13,FALSE)+VLOOKUP(Tarifold[[#This Row],[Código]],Projeção[#All],12,FALSE)</f>
        <v>0</v>
      </c>
      <c r="V91" s="39">
        <f>IFERROR(VLOOKUP(Tarifold[[#This Row],[Código]],Venda_3meses[],2,FALSE),0)</f>
        <v>0</v>
      </c>
      <c r="W91" s="44" t="str">
        <f>IFERROR(Tarifold[[#This Row],[V. 3 meses]]/Tarifold[[#This Row],[Proj. de V. 3 meses]],"")</f>
        <v/>
      </c>
      <c r="X9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1" s="39">
        <f>IFERROR(VLOOKUP(Tarifold[[#This Row],[Código]],Venda_12meses[],2,FALSE),0)</f>
        <v>0</v>
      </c>
      <c r="Z91" s="44" t="str">
        <f>IFERROR(Tarifold[[#This Row],[V. 12 meses]]/Tarifold[[#This Row],[Proj. de V. 12 meses]],"")</f>
        <v/>
      </c>
      <c r="AA91" s="22"/>
    </row>
    <row r="92" spans="1:27" x14ac:dyDescent="0.25">
      <c r="A92" s="22" t="str">
        <f>VLOOKUP(Tarifold[[#This Row],[Código]],BD_Produto[#All],7,FALSE)</f>
        <v>Fora de Linha</v>
      </c>
      <c r="B9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2" s="23">
        <v>33070754089</v>
      </c>
      <c r="D92" s="22" t="s">
        <v>1323</v>
      </c>
      <c r="E92" s="22" t="s">
        <v>2676</v>
      </c>
      <c r="F92" s="22" t="s">
        <v>2676</v>
      </c>
      <c r="G92" s="24"/>
      <c r="H92" s="25"/>
      <c r="I92" s="22"/>
      <c r="J92" s="24"/>
      <c r="K92" s="24" t="str">
        <f>IFERROR(VLOOKUP(Tarifold[[#This Row],[Código]],Importação!P:R,3,FALSE),"")</f>
        <v/>
      </c>
      <c r="L92" s="24">
        <f>IFERROR(VLOOKUP(Tarifold[[#This Row],[Código]],Saldo[],3,FALSE),0)</f>
        <v>29</v>
      </c>
      <c r="M92" s="24">
        <f>SUM(Tarifold[[#This Row],[Produção]:[Estoque]])</f>
        <v>29</v>
      </c>
      <c r="N92" s="24" t="str">
        <f>IFERROR(Tarifold[[#This Row],[Estoque+Importação]]/Tarifold[[#This Row],[Proj. de V. No prox. mes]],"Sem Projeção")</f>
        <v>Sem Projeção</v>
      </c>
      <c r="O92" s="24" t="str">
        <f>IF(OR(Tarifold[[#This Row],[Status]]="Em Linha",Tarifold[[#This Row],[Status]]="Componente",Tarifold[[#This Row],[Status]]="Materia Prima"),Tarifold[[#This Row],[Proj. de V. No prox. mes]]*10,"-")</f>
        <v>-</v>
      </c>
      <c r="P9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2" s="75">
        <f>VLOOKUP(Tarifold[[#This Row],[Código]],Projeção[#All],15,FALSE)</f>
        <v>0</v>
      </c>
      <c r="R92" s="39">
        <f>VLOOKUP(Tarifold[[#This Row],[Código]],Projeção[#All],14,FALSE)</f>
        <v>0</v>
      </c>
      <c r="S92" s="39">
        <f>IFERROR(VLOOKUP(Tarifold[[#This Row],[Código]],Venda_mes[],2,FALSE),0)</f>
        <v>0</v>
      </c>
      <c r="T92" s="44" t="str">
        <f>IFERROR(Tarifold[[#This Row],[V. No mes]]/Tarifold[[#This Row],[Proj. de V. No mes]],"")</f>
        <v/>
      </c>
      <c r="U92" s="43">
        <f>VLOOKUP(Tarifold[[#This Row],[Código]],Projeção[#All],14,FALSE)+VLOOKUP(Tarifold[[#This Row],[Código]],Projeção[#All],13,FALSE)+VLOOKUP(Tarifold[[#This Row],[Código]],Projeção[#All],12,FALSE)</f>
        <v>0</v>
      </c>
      <c r="V92" s="39">
        <f>IFERROR(VLOOKUP(Tarifold[[#This Row],[Código]],Venda_3meses[],2,FALSE),0)</f>
        <v>0</v>
      </c>
      <c r="W92" s="44" t="str">
        <f>IFERROR(Tarifold[[#This Row],[V. 3 meses]]/Tarifold[[#This Row],[Proj. de V. 3 meses]],"")</f>
        <v/>
      </c>
      <c r="X9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2" s="39">
        <f>IFERROR(VLOOKUP(Tarifold[[#This Row],[Código]],Venda_12meses[],2,FALSE),0)</f>
        <v>0</v>
      </c>
      <c r="Z92" s="44" t="str">
        <f>IFERROR(Tarifold[[#This Row],[V. 12 meses]]/Tarifold[[#This Row],[Proj. de V. 12 meses]],"")</f>
        <v/>
      </c>
      <c r="AA92" s="22"/>
    </row>
    <row r="93" spans="1:27" x14ac:dyDescent="0.25">
      <c r="A93" s="22" t="str">
        <f>VLOOKUP(Tarifold[[#This Row],[Código]],BD_Produto[#All],7,FALSE)</f>
        <v>Fora de Linha</v>
      </c>
      <c r="B9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3" s="23">
        <v>33070754118</v>
      </c>
      <c r="D93" s="22" t="s">
        <v>1324</v>
      </c>
      <c r="E93" s="22" t="s">
        <v>2676</v>
      </c>
      <c r="F93" s="22" t="s">
        <v>2676</v>
      </c>
      <c r="G93" s="24"/>
      <c r="H93" s="25"/>
      <c r="I93" s="22"/>
      <c r="J93" s="24"/>
      <c r="K93" s="24" t="str">
        <f>IFERROR(VLOOKUP(Tarifold[[#This Row],[Código]],Importação!P:R,3,FALSE),"")</f>
        <v/>
      </c>
      <c r="L93" s="24">
        <f>IFERROR(VLOOKUP(Tarifold[[#This Row],[Código]],Saldo[],3,FALSE),0)</f>
        <v>14</v>
      </c>
      <c r="M93" s="24">
        <f>SUM(Tarifold[[#This Row],[Produção]:[Estoque]])</f>
        <v>14</v>
      </c>
      <c r="N93" s="24" t="str">
        <f>IFERROR(Tarifold[[#This Row],[Estoque+Importação]]/Tarifold[[#This Row],[Proj. de V. No prox. mes]],"Sem Projeção")</f>
        <v>Sem Projeção</v>
      </c>
      <c r="O93" s="24" t="str">
        <f>IF(OR(Tarifold[[#This Row],[Status]]="Em Linha",Tarifold[[#This Row],[Status]]="Componente",Tarifold[[#This Row],[Status]]="Materia Prima"),Tarifold[[#This Row],[Proj. de V. No prox. mes]]*10,"-")</f>
        <v>-</v>
      </c>
      <c r="P9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3" s="83">
        <f>VLOOKUP(Tarifold[[#This Row],[Código]],Projeção[#All],15,FALSE)</f>
        <v>0</v>
      </c>
      <c r="R93" s="43">
        <f>VLOOKUP(Tarifold[[#This Row],[Código]],Projeção[#All],14,FALSE)</f>
        <v>0</v>
      </c>
      <c r="S93" s="39">
        <f>IFERROR(VLOOKUP(Tarifold[[#This Row],[Código]],Venda_mes[],2,FALSE),0)</f>
        <v>0</v>
      </c>
      <c r="T93" s="44" t="str">
        <f>IFERROR(Tarifold[[#This Row],[V. No mes]]/Tarifold[[#This Row],[Proj. de V. No mes]],"")</f>
        <v/>
      </c>
      <c r="U93" s="43">
        <f>VLOOKUP(Tarifold[[#This Row],[Código]],Projeção[#All],14,FALSE)+VLOOKUP(Tarifold[[#This Row],[Código]],Projeção[#All],13,FALSE)+VLOOKUP(Tarifold[[#This Row],[Código]],Projeção[#All],12,FALSE)</f>
        <v>0</v>
      </c>
      <c r="V93" s="39">
        <f>IFERROR(VLOOKUP(Tarifold[[#This Row],[Código]],Venda_3meses[],2,FALSE),0)</f>
        <v>0</v>
      </c>
      <c r="W93" s="44" t="str">
        <f>IFERROR(Tarifold[[#This Row],[V. 3 meses]]/Tarifold[[#This Row],[Proj. de V. 3 meses]],"")</f>
        <v/>
      </c>
      <c r="X9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3" s="39">
        <f>IFERROR(VLOOKUP(Tarifold[[#This Row],[Código]],Venda_12meses[],2,FALSE),0)</f>
        <v>0</v>
      </c>
      <c r="Z93" s="44" t="str">
        <f>IFERROR(Tarifold[[#This Row],[V. 12 meses]]/Tarifold[[#This Row],[Proj. de V. 12 meses]],"")</f>
        <v/>
      </c>
      <c r="AA93" s="22"/>
    </row>
    <row r="94" spans="1:27" x14ac:dyDescent="0.25">
      <c r="A94" s="22" t="str">
        <f>VLOOKUP(Tarifold[[#This Row],[Código]],BD_Produto[#All],7,FALSE)</f>
        <v>Fora de Linha</v>
      </c>
      <c r="B9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4" s="23">
        <v>33070754117</v>
      </c>
      <c r="D94" s="22" t="s">
        <v>1325</v>
      </c>
      <c r="E94" s="22" t="s">
        <v>2676</v>
      </c>
      <c r="F94" s="22" t="s">
        <v>2676</v>
      </c>
      <c r="G94" s="24"/>
      <c r="H94" s="25"/>
      <c r="I94" s="22"/>
      <c r="J94" s="24"/>
      <c r="K94" s="24" t="str">
        <f>IFERROR(VLOOKUP(Tarifold[[#This Row],[Código]],Importação!P:R,3,FALSE),"")</f>
        <v/>
      </c>
      <c r="L94" s="24">
        <f>IFERROR(VLOOKUP(Tarifold[[#This Row],[Código]],Saldo[],3,FALSE),0)</f>
        <v>313</v>
      </c>
      <c r="M94" s="24">
        <f>SUM(Tarifold[[#This Row],[Produção]:[Estoque]])</f>
        <v>313</v>
      </c>
      <c r="N94" s="24" t="str">
        <f>IFERROR(Tarifold[[#This Row],[Estoque+Importação]]/Tarifold[[#This Row],[Proj. de V. No prox. mes]],"Sem Projeção")</f>
        <v>Sem Projeção</v>
      </c>
      <c r="O94" s="24" t="str">
        <f>IF(OR(Tarifold[[#This Row],[Status]]="Em Linha",Tarifold[[#This Row],[Status]]="Componente",Tarifold[[#This Row],[Status]]="Materia Prima"),Tarifold[[#This Row],[Proj. de V. No prox. mes]]*10,"-")</f>
        <v>-</v>
      </c>
      <c r="P9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4" s="83">
        <f>VLOOKUP(Tarifold[[#This Row],[Código]],Projeção[#All],15,FALSE)</f>
        <v>0</v>
      </c>
      <c r="R94" s="43">
        <f>VLOOKUP(Tarifold[[#This Row],[Código]],Projeção[#All],14,FALSE)</f>
        <v>0</v>
      </c>
      <c r="S94" s="39">
        <f>IFERROR(VLOOKUP(Tarifold[[#This Row],[Código]],Venda_mes[],2,FALSE),0)</f>
        <v>0</v>
      </c>
      <c r="T94" s="44" t="str">
        <f>IFERROR(Tarifold[[#This Row],[V. No mes]]/Tarifold[[#This Row],[Proj. de V. No mes]],"")</f>
        <v/>
      </c>
      <c r="U94" s="43">
        <f>VLOOKUP(Tarifold[[#This Row],[Código]],Projeção[#All],14,FALSE)+VLOOKUP(Tarifold[[#This Row],[Código]],Projeção[#All],13,FALSE)+VLOOKUP(Tarifold[[#This Row],[Código]],Projeção[#All],12,FALSE)</f>
        <v>0</v>
      </c>
      <c r="V94" s="39">
        <f>IFERROR(VLOOKUP(Tarifold[[#This Row],[Código]],Venda_3meses[],2,FALSE),0)</f>
        <v>0</v>
      </c>
      <c r="W94" s="44" t="str">
        <f>IFERROR(Tarifold[[#This Row],[V. 3 meses]]/Tarifold[[#This Row],[Proj. de V. 3 meses]],"")</f>
        <v/>
      </c>
      <c r="X9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4" s="39">
        <f>IFERROR(VLOOKUP(Tarifold[[#This Row],[Código]],Venda_12meses[],2,FALSE),0)</f>
        <v>0</v>
      </c>
      <c r="Z94" s="44" t="str">
        <f>IFERROR(Tarifold[[#This Row],[V. 12 meses]]/Tarifold[[#This Row],[Proj. de V. 12 meses]],"")</f>
        <v/>
      </c>
      <c r="AA94" s="22"/>
    </row>
    <row r="95" spans="1:27" x14ac:dyDescent="0.25">
      <c r="A95" s="22" t="str">
        <f>VLOOKUP(Tarifold[[#This Row],[Código]],BD_Produto[#All],7,FALSE)</f>
        <v>Fora de Linha</v>
      </c>
      <c r="B9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5" s="23">
        <v>33070754086</v>
      </c>
      <c r="D95" s="22" t="s">
        <v>1326</v>
      </c>
      <c r="E95" s="22" t="s">
        <v>2676</v>
      </c>
      <c r="F95" s="22" t="s">
        <v>2676</v>
      </c>
      <c r="G95" s="24"/>
      <c r="H95" s="25"/>
      <c r="I95" s="22"/>
      <c r="J95" s="24"/>
      <c r="K95" s="24" t="str">
        <f>IFERROR(VLOOKUP(Tarifold[[#This Row],[Código]],Importação!P:R,3,FALSE),"")</f>
        <v/>
      </c>
      <c r="L95" s="24">
        <f>IFERROR(VLOOKUP(Tarifold[[#This Row],[Código]],Saldo[],3,FALSE),0)</f>
        <v>20</v>
      </c>
      <c r="M95" s="24">
        <f>SUM(Tarifold[[#This Row],[Produção]:[Estoque]])</f>
        <v>20</v>
      </c>
      <c r="N95" s="24" t="str">
        <f>IFERROR(Tarifold[[#This Row],[Estoque+Importação]]/Tarifold[[#This Row],[Proj. de V. No prox. mes]],"Sem Projeção")</f>
        <v>Sem Projeção</v>
      </c>
      <c r="O95" s="24" t="str">
        <f>IF(OR(Tarifold[[#This Row],[Status]]="Em Linha",Tarifold[[#This Row],[Status]]="Componente",Tarifold[[#This Row],[Status]]="Materia Prima"),Tarifold[[#This Row],[Proj. de V. No prox. mes]]*10,"-")</f>
        <v>-</v>
      </c>
      <c r="P9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5" s="75">
        <f>VLOOKUP(Tarifold[[#This Row],[Código]],Projeção[#All],15,FALSE)</f>
        <v>0</v>
      </c>
      <c r="R95" s="39">
        <f>VLOOKUP(Tarifold[[#This Row],[Código]],Projeção[#All],14,FALSE)</f>
        <v>0</v>
      </c>
      <c r="S95" s="39">
        <f>IFERROR(VLOOKUP(Tarifold[[#This Row],[Código]],Venda_mes[],2,FALSE),0)</f>
        <v>0</v>
      </c>
      <c r="T95" s="44" t="str">
        <f>IFERROR(Tarifold[[#This Row],[V. No mes]]/Tarifold[[#This Row],[Proj. de V. No mes]],"")</f>
        <v/>
      </c>
      <c r="U95" s="43">
        <f>VLOOKUP(Tarifold[[#This Row],[Código]],Projeção[#All],14,FALSE)+VLOOKUP(Tarifold[[#This Row],[Código]],Projeção[#All],13,FALSE)+VLOOKUP(Tarifold[[#This Row],[Código]],Projeção[#All],12,FALSE)</f>
        <v>0</v>
      </c>
      <c r="V95" s="39">
        <f>IFERROR(VLOOKUP(Tarifold[[#This Row],[Código]],Venda_3meses[],2,FALSE),0)</f>
        <v>0</v>
      </c>
      <c r="W95" s="44" t="str">
        <f>IFERROR(Tarifold[[#This Row],[V. 3 meses]]/Tarifold[[#This Row],[Proj. de V. 3 meses]],"")</f>
        <v/>
      </c>
      <c r="X9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5" s="39">
        <f>IFERROR(VLOOKUP(Tarifold[[#This Row],[Código]],Venda_12meses[],2,FALSE),0)</f>
        <v>0</v>
      </c>
      <c r="Z95" s="44" t="str">
        <f>IFERROR(Tarifold[[#This Row],[V. 12 meses]]/Tarifold[[#This Row],[Proj. de V. 12 meses]],"")</f>
        <v/>
      </c>
      <c r="AA95" s="22"/>
    </row>
    <row r="96" spans="1:27" x14ac:dyDescent="0.25">
      <c r="A96" s="22" t="str">
        <f>VLOOKUP(Tarifold[[#This Row],[Código]],BD_Produto[#All],7,FALSE)</f>
        <v>Fora de Linha</v>
      </c>
      <c r="B9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6" s="23">
        <v>33070754083</v>
      </c>
      <c r="D96" s="22" t="s">
        <v>1327</v>
      </c>
      <c r="E96" s="22" t="s">
        <v>2676</v>
      </c>
      <c r="F96" s="22" t="s">
        <v>2676</v>
      </c>
      <c r="G96" s="24"/>
      <c r="H96" s="25"/>
      <c r="I96" s="22"/>
      <c r="J96" s="24"/>
      <c r="K96" s="24" t="str">
        <f>IFERROR(VLOOKUP(Tarifold[[#This Row],[Código]],Importação!P:R,3,FALSE),"")</f>
        <v/>
      </c>
      <c r="L96" s="24">
        <f>IFERROR(VLOOKUP(Tarifold[[#This Row],[Código]],Saldo[],3,FALSE),0)</f>
        <v>56</v>
      </c>
      <c r="M96" s="24">
        <f>SUM(Tarifold[[#This Row],[Produção]:[Estoque]])</f>
        <v>56</v>
      </c>
      <c r="N96" s="24" t="str">
        <f>IFERROR(Tarifold[[#This Row],[Estoque+Importação]]/Tarifold[[#This Row],[Proj. de V. No prox. mes]],"Sem Projeção")</f>
        <v>Sem Projeção</v>
      </c>
      <c r="O96" s="24" t="str">
        <f>IF(OR(Tarifold[[#This Row],[Status]]="Em Linha",Tarifold[[#This Row],[Status]]="Componente",Tarifold[[#This Row],[Status]]="Materia Prima"),Tarifold[[#This Row],[Proj. de V. No prox. mes]]*10,"-")</f>
        <v>-</v>
      </c>
      <c r="P9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6" s="75">
        <f>VLOOKUP(Tarifold[[#This Row],[Código]],Projeção[#All],15,FALSE)</f>
        <v>0</v>
      </c>
      <c r="R96" s="39">
        <f>VLOOKUP(Tarifold[[#This Row],[Código]],Projeção[#All],14,FALSE)</f>
        <v>0</v>
      </c>
      <c r="S96" s="39">
        <f>IFERROR(VLOOKUP(Tarifold[[#This Row],[Código]],Venda_mes[],2,FALSE),0)</f>
        <v>0</v>
      </c>
      <c r="T96" s="44" t="str">
        <f>IFERROR(Tarifold[[#This Row],[V. No mes]]/Tarifold[[#This Row],[Proj. de V. No mes]],"")</f>
        <v/>
      </c>
      <c r="U96" s="43">
        <f>VLOOKUP(Tarifold[[#This Row],[Código]],Projeção[#All],14,FALSE)+VLOOKUP(Tarifold[[#This Row],[Código]],Projeção[#All],13,FALSE)+VLOOKUP(Tarifold[[#This Row],[Código]],Projeção[#All],12,FALSE)</f>
        <v>0</v>
      </c>
      <c r="V96" s="39">
        <f>IFERROR(VLOOKUP(Tarifold[[#This Row],[Código]],Venda_3meses[],2,FALSE),0)</f>
        <v>0</v>
      </c>
      <c r="W96" s="44" t="str">
        <f>IFERROR(Tarifold[[#This Row],[V. 3 meses]]/Tarifold[[#This Row],[Proj. de V. 3 meses]],"")</f>
        <v/>
      </c>
      <c r="X9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6" s="39">
        <f>IFERROR(VLOOKUP(Tarifold[[#This Row],[Código]],Venda_12meses[],2,FALSE),0)</f>
        <v>0</v>
      </c>
      <c r="Z96" s="44" t="str">
        <f>IFERROR(Tarifold[[#This Row],[V. 12 meses]]/Tarifold[[#This Row],[Proj. de V. 12 meses]],"")</f>
        <v/>
      </c>
      <c r="AA96" s="22"/>
    </row>
    <row r="97" spans="1:27" x14ac:dyDescent="0.25">
      <c r="A97" s="22" t="str">
        <f>VLOOKUP(Tarifold[[#This Row],[Código]],BD_Produto[#All],7,FALSE)</f>
        <v>Fora de Linha</v>
      </c>
      <c r="B9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7" s="23">
        <v>33070754080</v>
      </c>
      <c r="D97" s="22" t="s">
        <v>1328</v>
      </c>
      <c r="E97" s="22" t="s">
        <v>2676</v>
      </c>
      <c r="F97" s="22" t="s">
        <v>2676</v>
      </c>
      <c r="G97" s="24"/>
      <c r="H97" s="25"/>
      <c r="I97" s="22"/>
      <c r="J97" s="24"/>
      <c r="K97" s="24" t="str">
        <f>IFERROR(VLOOKUP(Tarifold[[#This Row],[Código]],Importação!P:R,3,FALSE),"")</f>
        <v/>
      </c>
      <c r="L97" s="24">
        <f>IFERROR(VLOOKUP(Tarifold[[#This Row],[Código]],Saldo[],3,FALSE),0)</f>
        <v>39</v>
      </c>
      <c r="M97" s="24">
        <f>SUM(Tarifold[[#This Row],[Produção]:[Estoque]])</f>
        <v>39</v>
      </c>
      <c r="N97" s="24" t="str">
        <f>IFERROR(Tarifold[[#This Row],[Estoque+Importação]]/Tarifold[[#This Row],[Proj. de V. No prox. mes]],"Sem Projeção")</f>
        <v>Sem Projeção</v>
      </c>
      <c r="O97" s="24" t="str">
        <f>IF(OR(Tarifold[[#This Row],[Status]]="Em Linha",Tarifold[[#This Row],[Status]]="Componente",Tarifold[[#This Row],[Status]]="Materia Prima"),Tarifold[[#This Row],[Proj. de V. No prox. mes]]*10,"-")</f>
        <v>-</v>
      </c>
      <c r="P9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7" s="75">
        <f>VLOOKUP(Tarifold[[#This Row],[Código]],Projeção[#All],15,FALSE)</f>
        <v>0</v>
      </c>
      <c r="R97" s="39">
        <f>VLOOKUP(Tarifold[[#This Row],[Código]],Projeção[#All],14,FALSE)</f>
        <v>0</v>
      </c>
      <c r="S97" s="39">
        <f>IFERROR(VLOOKUP(Tarifold[[#This Row],[Código]],Venda_mes[],2,FALSE),0)</f>
        <v>0</v>
      </c>
      <c r="T97" s="44" t="str">
        <f>IFERROR(Tarifold[[#This Row],[V. No mes]]/Tarifold[[#This Row],[Proj. de V. No mes]],"")</f>
        <v/>
      </c>
      <c r="U97" s="43">
        <f>VLOOKUP(Tarifold[[#This Row],[Código]],Projeção[#All],14,FALSE)+VLOOKUP(Tarifold[[#This Row],[Código]],Projeção[#All],13,FALSE)+VLOOKUP(Tarifold[[#This Row],[Código]],Projeção[#All],12,FALSE)</f>
        <v>0</v>
      </c>
      <c r="V97" s="39">
        <f>IFERROR(VLOOKUP(Tarifold[[#This Row],[Código]],Venda_3meses[],2,FALSE),0)</f>
        <v>0</v>
      </c>
      <c r="W97" s="44" t="str">
        <f>IFERROR(Tarifold[[#This Row],[V. 3 meses]]/Tarifold[[#This Row],[Proj. de V. 3 meses]],"")</f>
        <v/>
      </c>
      <c r="X9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7" s="39">
        <f>IFERROR(VLOOKUP(Tarifold[[#This Row],[Código]],Venda_12meses[],2,FALSE),0)</f>
        <v>0</v>
      </c>
      <c r="Z97" s="44" t="str">
        <f>IFERROR(Tarifold[[#This Row],[V. 12 meses]]/Tarifold[[#This Row],[Proj. de V. 12 meses]],"")</f>
        <v/>
      </c>
      <c r="AA97" s="22"/>
    </row>
    <row r="98" spans="1:27" x14ac:dyDescent="0.25">
      <c r="A98" s="22" t="str">
        <f>VLOOKUP(Tarifold[[#This Row],[Código]],BD_Produto[#All],7,FALSE)</f>
        <v>Fora de Linha</v>
      </c>
      <c r="B9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8" s="23">
        <v>33070754088</v>
      </c>
      <c r="D98" s="22" t="s">
        <v>1329</v>
      </c>
      <c r="E98" s="22" t="s">
        <v>2676</v>
      </c>
      <c r="F98" s="22" t="s">
        <v>2676</v>
      </c>
      <c r="G98" s="24"/>
      <c r="H98" s="25"/>
      <c r="I98" s="22"/>
      <c r="J98" s="24"/>
      <c r="K98" s="24" t="str">
        <f>IFERROR(VLOOKUP(Tarifold[[#This Row],[Código]],Importação!P:R,3,FALSE),"")</f>
        <v/>
      </c>
      <c r="L98" s="24">
        <f>IFERROR(VLOOKUP(Tarifold[[#This Row],[Código]],Saldo[],3,FALSE),0)</f>
        <v>15</v>
      </c>
      <c r="M98" s="24">
        <f>SUM(Tarifold[[#This Row],[Produção]:[Estoque]])</f>
        <v>15</v>
      </c>
      <c r="N98" s="24" t="str">
        <f>IFERROR(Tarifold[[#This Row],[Estoque+Importação]]/Tarifold[[#This Row],[Proj. de V. No prox. mes]],"Sem Projeção")</f>
        <v>Sem Projeção</v>
      </c>
      <c r="O98" s="24" t="str">
        <f>IF(OR(Tarifold[[#This Row],[Status]]="Em Linha",Tarifold[[#This Row],[Status]]="Componente",Tarifold[[#This Row],[Status]]="Materia Prima"),Tarifold[[#This Row],[Proj. de V. No prox. mes]]*10,"-")</f>
        <v>-</v>
      </c>
      <c r="P9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8" s="75">
        <f>VLOOKUP(Tarifold[[#This Row],[Código]],Projeção[#All],15,FALSE)</f>
        <v>0</v>
      </c>
      <c r="R98" s="39">
        <f>VLOOKUP(Tarifold[[#This Row],[Código]],Projeção[#All],14,FALSE)</f>
        <v>0</v>
      </c>
      <c r="S98" s="39">
        <f>IFERROR(VLOOKUP(Tarifold[[#This Row],[Código]],Venda_mes[],2,FALSE),0)</f>
        <v>0</v>
      </c>
      <c r="T98" s="44" t="str">
        <f>IFERROR(Tarifold[[#This Row],[V. No mes]]/Tarifold[[#This Row],[Proj. de V. No mes]],"")</f>
        <v/>
      </c>
      <c r="U98" s="43">
        <f>VLOOKUP(Tarifold[[#This Row],[Código]],Projeção[#All],14,FALSE)+VLOOKUP(Tarifold[[#This Row],[Código]],Projeção[#All],13,FALSE)+VLOOKUP(Tarifold[[#This Row],[Código]],Projeção[#All],12,FALSE)</f>
        <v>0</v>
      </c>
      <c r="V98" s="39">
        <f>IFERROR(VLOOKUP(Tarifold[[#This Row],[Código]],Venda_3meses[],2,FALSE),0)</f>
        <v>0</v>
      </c>
      <c r="W98" s="44" t="str">
        <f>IFERROR(Tarifold[[#This Row],[V. 3 meses]]/Tarifold[[#This Row],[Proj. de V. 3 meses]],"")</f>
        <v/>
      </c>
      <c r="X9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8" s="39">
        <f>IFERROR(VLOOKUP(Tarifold[[#This Row],[Código]],Venda_12meses[],2,FALSE),0)</f>
        <v>0</v>
      </c>
      <c r="Z98" s="44" t="str">
        <f>IFERROR(Tarifold[[#This Row],[V. 12 meses]]/Tarifold[[#This Row],[Proj. de V. 12 meses]],"")</f>
        <v/>
      </c>
      <c r="AA98" s="22"/>
    </row>
    <row r="99" spans="1:27" x14ac:dyDescent="0.25">
      <c r="A99" s="22" t="str">
        <f>VLOOKUP(Tarifold[[#This Row],[Código]],BD_Produto[#All],7,FALSE)</f>
        <v>Fora de Linha</v>
      </c>
      <c r="B9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99" s="23">
        <v>33070754085</v>
      </c>
      <c r="D99" s="22" t="s">
        <v>1331</v>
      </c>
      <c r="E99" s="22" t="s">
        <v>2676</v>
      </c>
      <c r="F99" s="22" t="s">
        <v>2676</v>
      </c>
      <c r="G99" s="24"/>
      <c r="H99" s="25"/>
      <c r="I99" s="22"/>
      <c r="J99" s="24"/>
      <c r="K99" s="24" t="str">
        <f>IFERROR(VLOOKUP(Tarifold[[#This Row],[Código]],Importação!P:R,3,FALSE),"")</f>
        <v/>
      </c>
      <c r="L99" s="24">
        <f>IFERROR(VLOOKUP(Tarifold[[#This Row],[Código]],Saldo[],3,FALSE),0)</f>
        <v>40</v>
      </c>
      <c r="M99" s="24">
        <f>SUM(Tarifold[[#This Row],[Produção]:[Estoque]])</f>
        <v>40</v>
      </c>
      <c r="N99" s="24" t="str">
        <f>IFERROR(Tarifold[[#This Row],[Estoque+Importação]]/Tarifold[[#This Row],[Proj. de V. No prox. mes]],"Sem Projeção")</f>
        <v>Sem Projeção</v>
      </c>
      <c r="O99" s="24" t="str">
        <f>IF(OR(Tarifold[[#This Row],[Status]]="Em Linha",Tarifold[[#This Row],[Status]]="Componente",Tarifold[[#This Row],[Status]]="Materia Prima"),Tarifold[[#This Row],[Proj. de V. No prox. mes]]*10,"-")</f>
        <v>-</v>
      </c>
      <c r="P9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99" s="75">
        <f>VLOOKUP(Tarifold[[#This Row],[Código]],Projeção[#All],15,FALSE)</f>
        <v>0</v>
      </c>
      <c r="R99" s="39">
        <f>VLOOKUP(Tarifold[[#This Row],[Código]],Projeção[#All],14,FALSE)</f>
        <v>0</v>
      </c>
      <c r="S99" s="39">
        <f>IFERROR(VLOOKUP(Tarifold[[#This Row],[Código]],Venda_mes[],2,FALSE),0)</f>
        <v>0</v>
      </c>
      <c r="T99" s="44" t="str">
        <f>IFERROR(Tarifold[[#This Row],[V. No mes]]/Tarifold[[#This Row],[Proj. de V. No mes]],"")</f>
        <v/>
      </c>
      <c r="U99" s="43">
        <f>VLOOKUP(Tarifold[[#This Row],[Código]],Projeção[#All],14,FALSE)+VLOOKUP(Tarifold[[#This Row],[Código]],Projeção[#All],13,FALSE)+VLOOKUP(Tarifold[[#This Row],[Código]],Projeção[#All],12,FALSE)</f>
        <v>0</v>
      </c>
      <c r="V99" s="39">
        <f>IFERROR(VLOOKUP(Tarifold[[#This Row],[Código]],Venda_3meses[],2,FALSE),0)</f>
        <v>0</v>
      </c>
      <c r="W99" s="44" t="str">
        <f>IFERROR(Tarifold[[#This Row],[V. 3 meses]]/Tarifold[[#This Row],[Proj. de V. 3 meses]],"")</f>
        <v/>
      </c>
      <c r="X9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99" s="39">
        <f>IFERROR(VLOOKUP(Tarifold[[#This Row],[Código]],Venda_12meses[],2,FALSE),0)</f>
        <v>0</v>
      </c>
      <c r="Z99" s="44" t="str">
        <f>IFERROR(Tarifold[[#This Row],[V. 12 meses]]/Tarifold[[#This Row],[Proj. de V. 12 meses]],"")</f>
        <v/>
      </c>
      <c r="AA99" s="22"/>
    </row>
    <row r="100" spans="1:27" x14ac:dyDescent="0.25">
      <c r="A100" s="22" t="str">
        <f>VLOOKUP(Tarifold[[#This Row],[Código]],BD_Produto[#All],7,FALSE)</f>
        <v>Fora de Linha</v>
      </c>
      <c r="B10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0" s="23">
        <v>33070754092</v>
      </c>
      <c r="D100" s="22" t="s">
        <v>753</v>
      </c>
      <c r="E100" s="22" t="s">
        <v>2676</v>
      </c>
      <c r="F100" s="22" t="s">
        <v>2676</v>
      </c>
      <c r="G100" s="24"/>
      <c r="H100" s="25"/>
      <c r="I100" s="22"/>
      <c r="J100" s="24"/>
      <c r="K100" s="24" t="str">
        <f>IFERROR(VLOOKUP(Tarifold[[#This Row],[Código]],Importação!P:R,3,FALSE),"")</f>
        <v/>
      </c>
      <c r="L100" s="24">
        <f>IFERROR(VLOOKUP(Tarifold[[#This Row],[Código]],Saldo[],3,FALSE),0)</f>
        <v>20</v>
      </c>
      <c r="M100" s="24">
        <f>SUM(Tarifold[[#This Row],[Produção]:[Estoque]])</f>
        <v>20</v>
      </c>
      <c r="N100" s="24" t="str">
        <f>IFERROR(Tarifold[[#This Row],[Estoque+Importação]]/Tarifold[[#This Row],[Proj. de V. No prox. mes]],"Sem Projeção")</f>
        <v>Sem Projeção</v>
      </c>
      <c r="O100" s="24" t="str">
        <f>IF(OR(Tarifold[[#This Row],[Status]]="Em Linha",Tarifold[[#This Row],[Status]]="Componente",Tarifold[[#This Row],[Status]]="Materia Prima"),Tarifold[[#This Row],[Proj. de V. No prox. mes]]*10,"-")</f>
        <v>-</v>
      </c>
      <c r="P10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0" s="75">
        <f>VLOOKUP(Tarifold[[#This Row],[Código]],Projeção[#All],15,FALSE)</f>
        <v>0</v>
      </c>
      <c r="R100" s="39">
        <f>VLOOKUP(Tarifold[[#This Row],[Código]],Projeção[#All],14,FALSE)</f>
        <v>0</v>
      </c>
      <c r="S100" s="39">
        <f>IFERROR(VLOOKUP(Tarifold[[#This Row],[Código]],Venda_mes[],2,FALSE),0)</f>
        <v>0</v>
      </c>
      <c r="T100" s="44" t="str">
        <f>IFERROR(Tarifold[[#This Row],[V. No mes]]/Tarifold[[#This Row],[Proj. de V. No mes]],"")</f>
        <v/>
      </c>
      <c r="U100" s="43">
        <f>VLOOKUP(Tarifold[[#This Row],[Código]],Projeção[#All],14,FALSE)+VLOOKUP(Tarifold[[#This Row],[Código]],Projeção[#All],13,FALSE)+VLOOKUP(Tarifold[[#This Row],[Código]],Projeção[#All],12,FALSE)</f>
        <v>0</v>
      </c>
      <c r="V100" s="39">
        <f>IFERROR(VLOOKUP(Tarifold[[#This Row],[Código]],Venda_3meses[],2,FALSE),0)</f>
        <v>0</v>
      </c>
      <c r="W100" s="44" t="str">
        <f>IFERROR(Tarifold[[#This Row],[V. 3 meses]]/Tarifold[[#This Row],[Proj. de V. 3 meses]],"")</f>
        <v/>
      </c>
      <c r="X10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0" s="39">
        <f>IFERROR(VLOOKUP(Tarifold[[#This Row],[Código]],Venda_12meses[],2,FALSE),0)</f>
        <v>0</v>
      </c>
      <c r="Z100" s="44" t="str">
        <f>IFERROR(Tarifold[[#This Row],[V. 12 meses]]/Tarifold[[#This Row],[Proj. de V. 12 meses]],"")</f>
        <v/>
      </c>
      <c r="AA100" s="22"/>
    </row>
    <row r="101" spans="1:27" x14ac:dyDescent="0.25">
      <c r="A101" s="22" t="str">
        <f>VLOOKUP(Tarifold[[#This Row],[Código]],BD_Produto[#All],7,FALSE)</f>
        <v>Fora de Linha</v>
      </c>
      <c r="B10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1" s="23">
        <v>33070754109</v>
      </c>
      <c r="D101" s="22" t="s">
        <v>1332</v>
      </c>
      <c r="E101" s="22" t="s">
        <v>2676</v>
      </c>
      <c r="F101" s="22" t="s">
        <v>2676</v>
      </c>
      <c r="G101" s="24"/>
      <c r="H101" s="25"/>
      <c r="I101" s="22"/>
      <c r="J101" s="24"/>
      <c r="K101" s="24" t="str">
        <f>IFERROR(VLOOKUP(Tarifold[[#This Row],[Código]],Importação!P:R,3,FALSE),"")</f>
        <v/>
      </c>
      <c r="L101" s="24">
        <f>IFERROR(VLOOKUP(Tarifold[[#This Row],[Código]],Saldo[],3,FALSE),0)</f>
        <v>6</v>
      </c>
      <c r="M101" s="24">
        <f>SUM(Tarifold[[#This Row],[Produção]:[Estoque]])</f>
        <v>6</v>
      </c>
      <c r="N101" s="24" t="str">
        <f>IFERROR(Tarifold[[#This Row],[Estoque+Importação]]/Tarifold[[#This Row],[Proj. de V. No prox. mes]],"Sem Projeção")</f>
        <v>Sem Projeção</v>
      </c>
      <c r="O101" s="24" t="str">
        <f>IF(OR(Tarifold[[#This Row],[Status]]="Em Linha",Tarifold[[#This Row],[Status]]="Componente",Tarifold[[#This Row],[Status]]="Materia Prima"),Tarifold[[#This Row],[Proj. de V. No prox. mes]]*10,"-")</f>
        <v>-</v>
      </c>
      <c r="P10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1" s="75">
        <f>VLOOKUP(Tarifold[[#This Row],[Código]],Projeção[#All],15,FALSE)</f>
        <v>0</v>
      </c>
      <c r="R101" s="39">
        <f>VLOOKUP(Tarifold[[#This Row],[Código]],Projeção[#All],14,FALSE)</f>
        <v>0</v>
      </c>
      <c r="S101" s="39">
        <f>IFERROR(VLOOKUP(Tarifold[[#This Row],[Código]],Venda_mes[],2,FALSE),0)</f>
        <v>0</v>
      </c>
      <c r="T101" s="44" t="str">
        <f>IFERROR(Tarifold[[#This Row],[V. No mes]]/Tarifold[[#This Row],[Proj. de V. No mes]],"")</f>
        <v/>
      </c>
      <c r="U101" s="43">
        <f>VLOOKUP(Tarifold[[#This Row],[Código]],Projeção[#All],14,FALSE)+VLOOKUP(Tarifold[[#This Row],[Código]],Projeção[#All],13,FALSE)+VLOOKUP(Tarifold[[#This Row],[Código]],Projeção[#All],12,FALSE)</f>
        <v>0</v>
      </c>
      <c r="V101" s="39">
        <f>IFERROR(VLOOKUP(Tarifold[[#This Row],[Código]],Venda_3meses[],2,FALSE),0)</f>
        <v>0</v>
      </c>
      <c r="W101" s="44" t="str">
        <f>IFERROR(Tarifold[[#This Row],[V. 3 meses]]/Tarifold[[#This Row],[Proj. de V. 3 meses]],"")</f>
        <v/>
      </c>
      <c r="X10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1" s="39">
        <f>IFERROR(VLOOKUP(Tarifold[[#This Row],[Código]],Venda_12meses[],2,FALSE),0)</f>
        <v>0</v>
      </c>
      <c r="Z101" s="44" t="str">
        <f>IFERROR(Tarifold[[#This Row],[V. 12 meses]]/Tarifold[[#This Row],[Proj. de V. 12 meses]],"")</f>
        <v/>
      </c>
      <c r="AA101" s="22"/>
    </row>
    <row r="102" spans="1:27" x14ac:dyDescent="0.25">
      <c r="A102" s="22" t="str">
        <f>VLOOKUP(Tarifold[[#This Row],[Código]],BD_Produto[#All],7,FALSE)</f>
        <v>Fora de Linha</v>
      </c>
      <c r="B10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2" s="23">
        <v>33070754098</v>
      </c>
      <c r="D102" s="22" t="s">
        <v>905</v>
      </c>
      <c r="E102" s="22" t="s">
        <v>2676</v>
      </c>
      <c r="F102" s="22" t="s">
        <v>2676</v>
      </c>
      <c r="G102" s="24"/>
      <c r="H102" s="25"/>
      <c r="I102" s="22"/>
      <c r="J102" s="24"/>
      <c r="K102" s="24" t="str">
        <f>IFERROR(VLOOKUP(Tarifold[[#This Row],[Código]],Importação!P:R,3,FALSE),"")</f>
        <v/>
      </c>
      <c r="L102" s="24">
        <f>IFERROR(VLOOKUP(Tarifold[[#This Row],[Código]],Saldo[],3,FALSE),0)</f>
        <v>12</v>
      </c>
      <c r="M102" s="24">
        <f>SUM(Tarifold[[#This Row],[Produção]:[Estoque]])</f>
        <v>12</v>
      </c>
      <c r="N102" s="24" t="str">
        <f>IFERROR(Tarifold[[#This Row],[Estoque+Importação]]/Tarifold[[#This Row],[Proj. de V. No prox. mes]],"Sem Projeção")</f>
        <v>Sem Projeção</v>
      </c>
      <c r="O102" s="24" t="str">
        <f>IF(OR(Tarifold[[#This Row],[Status]]="Em Linha",Tarifold[[#This Row],[Status]]="Componente",Tarifold[[#This Row],[Status]]="Materia Prima"),Tarifold[[#This Row],[Proj. de V. No prox. mes]]*10,"-")</f>
        <v>-</v>
      </c>
      <c r="P10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2" s="75">
        <f>VLOOKUP(Tarifold[[#This Row],[Código]],Projeção[#All],15,FALSE)</f>
        <v>0</v>
      </c>
      <c r="R102" s="39">
        <f>VLOOKUP(Tarifold[[#This Row],[Código]],Projeção[#All],14,FALSE)</f>
        <v>0</v>
      </c>
      <c r="S102" s="39">
        <f>IFERROR(VLOOKUP(Tarifold[[#This Row],[Código]],Venda_mes[],2,FALSE),0)</f>
        <v>0</v>
      </c>
      <c r="T102" s="44" t="str">
        <f>IFERROR(Tarifold[[#This Row],[V. No mes]]/Tarifold[[#This Row],[Proj. de V. No mes]],"")</f>
        <v/>
      </c>
      <c r="U102" s="43">
        <f>VLOOKUP(Tarifold[[#This Row],[Código]],Projeção[#All],14,FALSE)+VLOOKUP(Tarifold[[#This Row],[Código]],Projeção[#All],13,FALSE)+VLOOKUP(Tarifold[[#This Row],[Código]],Projeção[#All],12,FALSE)</f>
        <v>0</v>
      </c>
      <c r="V102" s="39">
        <f>IFERROR(VLOOKUP(Tarifold[[#This Row],[Código]],Venda_3meses[],2,FALSE),0)</f>
        <v>0</v>
      </c>
      <c r="W102" s="44" t="str">
        <f>IFERROR(Tarifold[[#This Row],[V. 3 meses]]/Tarifold[[#This Row],[Proj. de V. 3 meses]],"")</f>
        <v/>
      </c>
      <c r="X10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2" s="39">
        <f>IFERROR(VLOOKUP(Tarifold[[#This Row],[Código]],Venda_12meses[],2,FALSE),0)</f>
        <v>0</v>
      </c>
      <c r="Z102" s="44" t="str">
        <f>IFERROR(Tarifold[[#This Row],[V. 12 meses]]/Tarifold[[#This Row],[Proj. de V. 12 meses]],"")</f>
        <v/>
      </c>
      <c r="AA102" s="22"/>
    </row>
    <row r="103" spans="1:27" x14ac:dyDescent="0.25">
      <c r="A103" s="22" t="str">
        <f>VLOOKUP(Tarifold[[#This Row],[Código]],BD_Produto[#All],7,FALSE)</f>
        <v>Fora de Linha</v>
      </c>
      <c r="B10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3" s="23">
        <v>33070754099</v>
      </c>
      <c r="D103" s="22" t="s">
        <v>1333</v>
      </c>
      <c r="E103" s="22" t="s">
        <v>2676</v>
      </c>
      <c r="F103" s="22" t="s">
        <v>2676</v>
      </c>
      <c r="G103" s="24"/>
      <c r="H103" s="25"/>
      <c r="I103" s="22"/>
      <c r="J103" s="24"/>
      <c r="K103" s="24" t="str">
        <f>IFERROR(VLOOKUP(Tarifold[[#This Row],[Código]],Importação!P:R,3,FALSE),"")</f>
        <v/>
      </c>
      <c r="L103" s="24">
        <f>IFERROR(VLOOKUP(Tarifold[[#This Row],[Código]],Saldo[],3,FALSE),0)</f>
        <v>31</v>
      </c>
      <c r="M103" s="24">
        <f>SUM(Tarifold[[#This Row],[Produção]:[Estoque]])</f>
        <v>31</v>
      </c>
      <c r="N103" s="24" t="str">
        <f>IFERROR(Tarifold[[#This Row],[Estoque+Importação]]/Tarifold[[#This Row],[Proj. de V. No prox. mes]],"Sem Projeção")</f>
        <v>Sem Projeção</v>
      </c>
      <c r="O103" s="24" t="str">
        <f>IF(OR(Tarifold[[#This Row],[Status]]="Em Linha",Tarifold[[#This Row],[Status]]="Componente",Tarifold[[#This Row],[Status]]="Materia Prima"),Tarifold[[#This Row],[Proj. de V. No prox. mes]]*10,"-")</f>
        <v>-</v>
      </c>
      <c r="P10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3" s="75">
        <f>VLOOKUP(Tarifold[[#This Row],[Código]],Projeção[#All],15,FALSE)</f>
        <v>0</v>
      </c>
      <c r="R103" s="39">
        <f>VLOOKUP(Tarifold[[#This Row],[Código]],Projeção[#All],14,FALSE)</f>
        <v>0</v>
      </c>
      <c r="S103" s="39">
        <f>IFERROR(VLOOKUP(Tarifold[[#This Row],[Código]],Venda_mes[],2,FALSE),0)</f>
        <v>0</v>
      </c>
      <c r="T103" s="44" t="str">
        <f>IFERROR(Tarifold[[#This Row],[V. No mes]]/Tarifold[[#This Row],[Proj. de V. No mes]],"")</f>
        <v/>
      </c>
      <c r="U103" s="43">
        <f>VLOOKUP(Tarifold[[#This Row],[Código]],Projeção[#All],14,FALSE)+VLOOKUP(Tarifold[[#This Row],[Código]],Projeção[#All],13,FALSE)+VLOOKUP(Tarifold[[#This Row],[Código]],Projeção[#All],12,FALSE)</f>
        <v>0</v>
      </c>
      <c r="V103" s="39">
        <f>IFERROR(VLOOKUP(Tarifold[[#This Row],[Código]],Venda_3meses[],2,FALSE),0)</f>
        <v>0</v>
      </c>
      <c r="W103" s="44" t="str">
        <f>IFERROR(Tarifold[[#This Row],[V. 3 meses]]/Tarifold[[#This Row],[Proj. de V. 3 meses]],"")</f>
        <v/>
      </c>
      <c r="X10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3" s="39">
        <f>IFERROR(VLOOKUP(Tarifold[[#This Row],[Código]],Venda_12meses[],2,FALSE),0)</f>
        <v>0</v>
      </c>
      <c r="Z103" s="44" t="str">
        <f>IFERROR(Tarifold[[#This Row],[V. 12 meses]]/Tarifold[[#This Row],[Proj. de V. 12 meses]],"")</f>
        <v/>
      </c>
      <c r="AA103" s="22"/>
    </row>
    <row r="104" spans="1:27" x14ac:dyDescent="0.25">
      <c r="A104" s="22" t="str">
        <f>VLOOKUP(Tarifold[[#This Row],[Código]],BD_Produto[#All],7,FALSE)</f>
        <v>Fora de Linha</v>
      </c>
      <c r="B10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4" s="23">
        <v>33070754100</v>
      </c>
      <c r="D104" s="22" t="s">
        <v>1334</v>
      </c>
      <c r="E104" s="22" t="s">
        <v>2676</v>
      </c>
      <c r="F104" s="22" t="s">
        <v>2676</v>
      </c>
      <c r="G104" s="24"/>
      <c r="H104" s="25"/>
      <c r="I104" s="22"/>
      <c r="J104" s="24"/>
      <c r="K104" s="24" t="str">
        <f>IFERROR(VLOOKUP(Tarifold[[#This Row],[Código]],Importação!P:R,3,FALSE),"")</f>
        <v/>
      </c>
      <c r="L104" s="24">
        <f>IFERROR(VLOOKUP(Tarifold[[#This Row],[Código]],Saldo[],3,FALSE),0)</f>
        <v>10</v>
      </c>
      <c r="M104" s="24">
        <f>SUM(Tarifold[[#This Row],[Produção]:[Estoque]])</f>
        <v>10</v>
      </c>
      <c r="N104" s="24" t="str">
        <f>IFERROR(Tarifold[[#This Row],[Estoque+Importação]]/Tarifold[[#This Row],[Proj. de V. No prox. mes]],"Sem Projeção")</f>
        <v>Sem Projeção</v>
      </c>
      <c r="O104" s="24" t="str">
        <f>IF(OR(Tarifold[[#This Row],[Status]]="Em Linha",Tarifold[[#This Row],[Status]]="Componente",Tarifold[[#This Row],[Status]]="Materia Prima"),Tarifold[[#This Row],[Proj. de V. No prox. mes]]*10,"-")</f>
        <v>-</v>
      </c>
      <c r="P10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4" s="75">
        <f>VLOOKUP(Tarifold[[#This Row],[Código]],Projeção[#All],15,FALSE)</f>
        <v>0</v>
      </c>
      <c r="R104" s="39">
        <f>VLOOKUP(Tarifold[[#This Row],[Código]],Projeção[#All],14,FALSE)</f>
        <v>0</v>
      </c>
      <c r="S104" s="39">
        <f>IFERROR(VLOOKUP(Tarifold[[#This Row],[Código]],Venda_mes[],2,FALSE),0)</f>
        <v>0</v>
      </c>
      <c r="T104" s="44" t="str">
        <f>IFERROR(Tarifold[[#This Row],[V. No mes]]/Tarifold[[#This Row],[Proj. de V. No mes]],"")</f>
        <v/>
      </c>
      <c r="U104" s="43">
        <f>VLOOKUP(Tarifold[[#This Row],[Código]],Projeção[#All],14,FALSE)+VLOOKUP(Tarifold[[#This Row],[Código]],Projeção[#All],13,FALSE)+VLOOKUP(Tarifold[[#This Row],[Código]],Projeção[#All],12,FALSE)</f>
        <v>0</v>
      </c>
      <c r="V104" s="39">
        <f>IFERROR(VLOOKUP(Tarifold[[#This Row],[Código]],Venda_3meses[],2,FALSE),0)</f>
        <v>0</v>
      </c>
      <c r="W104" s="44" t="str">
        <f>IFERROR(Tarifold[[#This Row],[V. 3 meses]]/Tarifold[[#This Row],[Proj. de V. 3 meses]],"")</f>
        <v/>
      </c>
      <c r="X10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4" s="39">
        <f>IFERROR(VLOOKUP(Tarifold[[#This Row],[Código]],Venda_12meses[],2,FALSE),0)</f>
        <v>0</v>
      </c>
      <c r="Z104" s="44" t="str">
        <f>IFERROR(Tarifold[[#This Row],[V. 12 meses]]/Tarifold[[#This Row],[Proj. de V. 12 meses]],"")</f>
        <v/>
      </c>
      <c r="AA104" s="22"/>
    </row>
    <row r="105" spans="1:27" x14ac:dyDescent="0.25">
      <c r="A105" s="22" t="str">
        <f>VLOOKUP(Tarifold[[#This Row],[Código]],BD_Produto[#All],7,FALSE)</f>
        <v>Fora de Linha</v>
      </c>
      <c r="B10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5" s="23">
        <v>33070754101</v>
      </c>
      <c r="D105" s="22" t="s">
        <v>1335</v>
      </c>
      <c r="E105" s="22" t="s">
        <v>2676</v>
      </c>
      <c r="F105" s="22" t="s">
        <v>2676</v>
      </c>
      <c r="G105" s="24"/>
      <c r="H105" s="25"/>
      <c r="I105" s="22"/>
      <c r="J105" s="24"/>
      <c r="K105" s="24" t="str">
        <f>IFERROR(VLOOKUP(Tarifold[[#This Row],[Código]],Importação!P:R,3,FALSE),"")</f>
        <v/>
      </c>
      <c r="L105" s="24">
        <f>IFERROR(VLOOKUP(Tarifold[[#This Row],[Código]],Saldo[],3,FALSE),0)</f>
        <v>4</v>
      </c>
      <c r="M105" s="24">
        <f>SUM(Tarifold[[#This Row],[Produção]:[Estoque]])</f>
        <v>4</v>
      </c>
      <c r="N105" s="24" t="str">
        <f>IFERROR(Tarifold[[#This Row],[Estoque+Importação]]/Tarifold[[#This Row],[Proj. de V. No prox. mes]],"Sem Projeção")</f>
        <v>Sem Projeção</v>
      </c>
      <c r="O105" s="24" t="str">
        <f>IF(OR(Tarifold[[#This Row],[Status]]="Em Linha",Tarifold[[#This Row],[Status]]="Componente",Tarifold[[#This Row],[Status]]="Materia Prima"),Tarifold[[#This Row],[Proj. de V. No prox. mes]]*10,"-")</f>
        <v>-</v>
      </c>
      <c r="P10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5" s="75">
        <f>VLOOKUP(Tarifold[[#This Row],[Código]],Projeção[#All],15,FALSE)</f>
        <v>0</v>
      </c>
      <c r="R105" s="39">
        <f>VLOOKUP(Tarifold[[#This Row],[Código]],Projeção[#All],14,FALSE)</f>
        <v>0</v>
      </c>
      <c r="S105" s="39">
        <f>IFERROR(VLOOKUP(Tarifold[[#This Row],[Código]],Venda_mes[],2,FALSE),0)</f>
        <v>0</v>
      </c>
      <c r="T105" s="44" t="str">
        <f>IFERROR(Tarifold[[#This Row],[V. No mes]]/Tarifold[[#This Row],[Proj. de V. No mes]],"")</f>
        <v/>
      </c>
      <c r="U105" s="43">
        <f>VLOOKUP(Tarifold[[#This Row],[Código]],Projeção[#All],14,FALSE)+VLOOKUP(Tarifold[[#This Row],[Código]],Projeção[#All],13,FALSE)+VLOOKUP(Tarifold[[#This Row],[Código]],Projeção[#All],12,FALSE)</f>
        <v>0</v>
      </c>
      <c r="V105" s="39">
        <f>IFERROR(VLOOKUP(Tarifold[[#This Row],[Código]],Venda_3meses[],2,FALSE),0)</f>
        <v>0</v>
      </c>
      <c r="W105" s="44" t="str">
        <f>IFERROR(Tarifold[[#This Row],[V. 3 meses]]/Tarifold[[#This Row],[Proj. de V. 3 meses]],"")</f>
        <v/>
      </c>
      <c r="X10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5" s="39">
        <f>IFERROR(VLOOKUP(Tarifold[[#This Row],[Código]],Venda_12meses[],2,FALSE),0)</f>
        <v>0</v>
      </c>
      <c r="Z105" s="44" t="str">
        <f>IFERROR(Tarifold[[#This Row],[V. 12 meses]]/Tarifold[[#This Row],[Proj. de V. 12 meses]],"")</f>
        <v/>
      </c>
      <c r="AA105" s="22"/>
    </row>
    <row r="106" spans="1:27" x14ac:dyDescent="0.25">
      <c r="A106" s="22" t="str">
        <f>VLOOKUP(Tarifold[[#This Row],[Código]],BD_Produto[#All],7,FALSE)</f>
        <v>Fora de Linha</v>
      </c>
      <c r="B10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6" s="23">
        <v>33070754102</v>
      </c>
      <c r="D106" s="22" t="s">
        <v>1336</v>
      </c>
      <c r="E106" s="22" t="s">
        <v>2676</v>
      </c>
      <c r="F106" s="22" t="s">
        <v>2676</v>
      </c>
      <c r="G106" s="24"/>
      <c r="H106" s="25"/>
      <c r="I106" s="22"/>
      <c r="J106" s="24"/>
      <c r="K106" s="24" t="str">
        <f>IFERROR(VLOOKUP(Tarifold[[#This Row],[Código]],Importação!P:R,3,FALSE),"")</f>
        <v/>
      </c>
      <c r="L106" s="24">
        <f>IFERROR(VLOOKUP(Tarifold[[#This Row],[Código]],Saldo[],3,FALSE),0)</f>
        <v>24</v>
      </c>
      <c r="M106" s="24">
        <f>SUM(Tarifold[[#This Row],[Produção]:[Estoque]])</f>
        <v>24</v>
      </c>
      <c r="N106" s="24" t="str">
        <f>IFERROR(Tarifold[[#This Row],[Estoque+Importação]]/Tarifold[[#This Row],[Proj. de V. No prox. mes]],"Sem Projeção")</f>
        <v>Sem Projeção</v>
      </c>
      <c r="O106" s="24" t="str">
        <f>IF(OR(Tarifold[[#This Row],[Status]]="Em Linha",Tarifold[[#This Row],[Status]]="Componente",Tarifold[[#This Row],[Status]]="Materia Prima"),Tarifold[[#This Row],[Proj. de V. No prox. mes]]*10,"-")</f>
        <v>-</v>
      </c>
      <c r="P10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6" s="75">
        <f>VLOOKUP(Tarifold[[#This Row],[Código]],Projeção[#All],15,FALSE)</f>
        <v>0</v>
      </c>
      <c r="R106" s="39">
        <f>VLOOKUP(Tarifold[[#This Row],[Código]],Projeção[#All],14,FALSE)</f>
        <v>0</v>
      </c>
      <c r="S106" s="39">
        <f>IFERROR(VLOOKUP(Tarifold[[#This Row],[Código]],Venda_mes[],2,FALSE),0)</f>
        <v>0</v>
      </c>
      <c r="T106" s="44" t="str">
        <f>IFERROR(Tarifold[[#This Row],[V. No mes]]/Tarifold[[#This Row],[Proj. de V. No mes]],"")</f>
        <v/>
      </c>
      <c r="U106" s="43">
        <f>VLOOKUP(Tarifold[[#This Row],[Código]],Projeção[#All],14,FALSE)+VLOOKUP(Tarifold[[#This Row],[Código]],Projeção[#All],13,FALSE)+VLOOKUP(Tarifold[[#This Row],[Código]],Projeção[#All],12,FALSE)</f>
        <v>0</v>
      </c>
      <c r="V106" s="39">
        <f>IFERROR(VLOOKUP(Tarifold[[#This Row],[Código]],Venda_3meses[],2,FALSE),0)</f>
        <v>0</v>
      </c>
      <c r="W106" s="44" t="str">
        <f>IFERROR(Tarifold[[#This Row],[V. 3 meses]]/Tarifold[[#This Row],[Proj. de V. 3 meses]],"")</f>
        <v/>
      </c>
      <c r="X10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6" s="39">
        <f>IFERROR(VLOOKUP(Tarifold[[#This Row],[Código]],Venda_12meses[],2,FALSE),0)</f>
        <v>0</v>
      </c>
      <c r="Z106" s="44" t="str">
        <f>IFERROR(Tarifold[[#This Row],[V. 12 meses]]/Tarifold[[#This Row],[Proj. de V. 12 meses]],"")</f>
        <v/>
      </c>
      <c r="AA106" s="22"/>
    </row>
    <row r="107" spans="1:27" x14ac:dyDescent="0.25">
      <c r="A107" s="22" t="str">
        <f>VLOOKUP(Tarifold[[#This Row],[Código]],BD_Produto[#All],7,FALSE)</f>
        <v>Fora de Linha</v>
      </c>
      <c r="B10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7" s="23">
        <v>33070754103</v>
      </c>
      <c r="D107" s="22" t="s">
        <v>1337</v>
      </c>
      <c r="E107" s="22" t="s">
        <v>2676</v>
      </c>
      <c r="F107" s="22" t="s">
        <v>2676</v>
      </c>
      <c r="G107" s="24"/>
      <c r="H107" s="25"/>
      <c r="I107" s="22"/>
      <c r="J107" s="24"/>
      <c r="K107" s="24" t="str">
        <f>IFERROR(VLOOKUP(Tarifold[[#This Row],[Código]],Importação!P:R,3,FALSE),"")</f>
        <v/>
      </c>
      <c r="L107" s="24">
        <f>IFERROR(VLOOKUP(Tarifold[[#This Row],[Código]],Saldo[],3,FALSE),0)</f>
        <v>5</v>
      </c>
      <c r="M107" s="24">
        <f>SUM(Tarifold[[#This Row],[Produção]:[Estoque]])</f>
        <v>5</v>
      </c>
      <c r="N107" s="24" t="str">
        <f>IFERROR(Tarifold[[#This Row],[Estoque+Importação]]/Tarifold[[#This Row],[Proj. de V. No prox. mes]],"Sem Projeção")</f>
        <v>Sem Projeção</v>
      </c>
      <c r="O107" s="24" t="str">
        <f>IF(OR(Tarifold[[#This Row],[Status]]="Em Linha",Tarifold[[#This Row],[Status]]="Componente",Tarifold[[#This Row],[Status]]="Materia Prima"),Tarifold[[#This Row],[Proj. de V. No prox. mes]]*10,"-")</f>
        <v>-</v>
      </c>
      <c r="P10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7" s="75">
        <f>VLOOKUP(Tarifold[[#This Row],[Código]],Projeção[#All],15,FALSE)</f>
        <v>0</v>
      </c>
      <c r="R107" s="39">
        <f>VLOOKUP(Tarifold[[#This Row],[Código]],Projeção[#All],14,FALSE)</f>
        <v>0</v>
      </c>
      <c r="S107" s="39">
        <f>IFERROR(VLOOKUP(Tarifold[[#This Row],[Código]],Venda_mes[],2,FALSE),0)</f>
        <v>0</v>
      </c>
      <c r="T107" s="44" t="str">
        <f>IFERROR(Tarifold[[#This Row],[V. No mes]]/Tarifold[[#This Row],[Proj. de V. No mes]],"")</f>
        <v/>
      </c>
      <c r="U107" s="43">
        <f>VLOOKUP(Tarifold[[#This Row],[Código]],Projeção[#All],14,FALSE)+VLOOKUP(Tarifold[[#This Row],[Código]],Projeção[#All],13,FALSE)+VLOOKUP(Tarifold[[#This Row],[Código]],Projeção[#All],12,FALSE)</f>
        <v>0</v>
      </c>
      <c r="V107" s="39">
        <f>IFERROR(VLOOKUP(Tarifold[[#This Row],[Código]],Venda_3meses[],2,FALSE),0)</f>
        <v>0</v>
      </c>
      <c r="W107" s="44" t="str">
        <f>IFERROR(Tarifold[[#This Row],[V. 3 meses]]/Tarifold[[#This Row],[Proj. de V. 3 meses]],"")</f>
        <v/>
      </c>
      <c r="X10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7" s="39">
        <f>IFERROR(VLOOKUP(Tarifold[[#This Row],[Código]],Venda_12meses[],2,FALSE),0)</f>
        <v>0</v>
      </c>
      <c r="Z107" s="44" t="str">
        <f>IFERROR(Tarifold[[#This Row],[V. 12 meses]]/Tarifold[[#This Row],[Proj. de V. 12 meses]],"")</f>
        <v/>
      </c>
      <c r="AA107" s="22"/>
    </row>
    <row r="108" spans="1:27" x14ac:dyDescent="0.25">
      <c r="A108" s="22" t="str">
        <f>VLOOKUP(Tarifold[[#This Row],[Código]],BD_Produto[#All],7,FALSE)</f>
        <v>Fora de Linha</v>
      </c>
      <c r="B108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8" s="23">
        <v>33070754105</v>
      </c>
      <c r="D108" s="22" t="s">
        <v>1338</v>
      </c>
      <c r="E108" s="22" t="s">
        <v>2676</v>
      </c>
      <c r="F108" s="22" t="s">
        <v>2676</v>
      </c>
      <c r="G108" s="24"/>
      <c r="H108" s="25"/>
      <c r="I108" s="22"/>
      <c r="J108" s="24"/>
      <c r="K108" s="24" t="str">
        <f>IFERROR(VLOOKUP(Tarifold[[#This Row],[Código]],Importação!P:R,3,FALSE),"")</f>
        <v/>
      </c>
      <c r="L108" s="24">
        <f>IFERROR(VLOOKUP(Tarifold[[#This Row],[Código]],Saldo[],3,FALSE),0)</f>
        <v>10</v>
      </c>
      <c r="M108" s="24">
        <f>SUM(Tarifold[[#This Row],[Produção]:[Estoque]])</f>
        <v>10</v>
      </c>
      <c r="N108" s="24" t="str">
        <f>IFERROR(Tarifold[[#This Row],[Estoque+Importação]]/Tarifold[[#This Row],[Proj. de V. No prox. mes]],"Sem Projeção")</f>
        <v>Sem Projeção</v>
      </c>
      <c r="O108" s="24" t="str">
        <f>IF(OR(Tarifold[[#This Row],[Status]]="Em Linha",Tarifold[[#This Row],[Status]]="Componente",Tarifold[[#This Row],[Status]]="Materia Prima"),Tarifold[[#This Row],[Proj. de V. No prox. mes]]*10,"-")</f>
        <v>-</v>
      </c>
      <c r="P10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8" s="75">
        <f>VLOOKUP(Tarifold[[#This Row],[Código]],Projeção[#All],15,FALSE)</f>
        <v>0</v>
      </c>
      <c r="R108" s="39">
        <f>VLOOKUP(Tarifold[[#This Row],[Código]],Projeção[#All],14,FALSE)</f>
        <v>0</v>
      </c>
      <c r="S108" s="39">
        <f>IFERROR(VLOOKUP(Tarifold[[#This Row],[Código]],Venda_mes[],2,FALSE),0)</f>
        <v>0</v>
      </c>
      <c r="T108" s="44" t="str">
        <f>IFERROR(Tarifold[[#This Row],[V. No mes]]/Tarifold[[#This Row],[Proj. de V. No mes]],"")</f>
        <v/>
      </c>
      <c r="U108" s="43">
        <f>VLOOKUP(Tarifold[[#This Row],[Código]],Projeção[#All],14,FALSE)+VLOOKUP(Tarifold[[#This Row],[Código]],Projeção[#All],13,FALSE)+VLOOKUP(Tarifold[[#This Row],[Código]],Projeção[#All],12,FALSE)</f>
        <v>0</v>
      </c>
      <c r="V108" s="39">
        <f>IFERROR(VLOOKUP(Tarifold[[#This Row],[Código]],Venda_3meses[],2,FALSE),0)</f>
        <v>0</v>
      </c>
      <c r="W108" s="44" t="str">
        <f>IFERROR(Tarifold[[#This Row],[V. 3 meses]]/Tarifold[[#This Row],[Proj. de V. 3 meses]],"")</f>
        <v/>
      </c>
      <c r="X10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8" s="39">
        <f>IFERROR(VLOOKUP(Tarifold[[#This Row],[Código]],Venda_12meses[],2,FALSE),0)</f>
        <v>0</v>
      </c>
      <c r="Z108" s="44" t="str">
        <f>IFERROR(Tarifold[[#This Row],[V. 12 meses]]/Tarifold[[#This Row],[Proj. de V. 12 meses]],"")</f>
        <v/>
      </c>
      <c r="AA108" s="22"/>
    </row>
    <row r="109" spans="1:27" x14ac:dyDescent="0.25">
      <c r="A109" s="22" t="str">
        <f>VLOOKUP(Tarifold[[#This Row],[Código]],BD_Produto[#All],7,FALSE)</f>
        <v>Fora de Linha</v>
      </c>
      <c r="B109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09" s="23">
        <v>33070754106</v>
      </c>
      <c r="D109" s="22" t="s">
        <v>1339</v>
      </c>
      <c r="E109" s="22" t="s">
        <v>2676</v>
      </c>
      <c r="F109" s="22" t="s">
        <v>2676</v>
      </c>
      <c r="G109" s="24"/>
      <c r="H109" s="25"/>
      <c r="I109" s="22"/>
      <c r="J109" s="24"/>
      <c r="K109" s="24" t="str">
        <f>IFERROR(VLOOKUP(Tarifold[[#This Row],[Código]],Importação!P:R,3,FALSE),"")</f>
        <v/>
      </c>
      <c r="L109" s="24">
        <f>IFERROR(VLOOKUP(Tarifold[[#This Row],[Código]],Saldo[],3,FALSE),0)</f>
        <v>10</v>
      </c>
      <c r="M109" s="24">
        <f>SUM(Tarifold[[#This Row],[Produção]:[Estoque]])</f>
        <v>10</v>
      </c>
      <c r="N109" s="24" t="str">
        <f>IFERROR(Tarifold[[#This Row],[Estoque+Importação]]/Tarifold[[#This Row],[Proj. de V. No prox. mes]],"Sem Projeção")</f>
        <v>Sem Projeção</v>
      </c>
      <c r="O109" s="24" t="str">
        <f>IF(OR(Tarifold[[#This Row],[Status]]="Em Linha",Tarifold[[#This Row],[Status]]="Componente",Tarifold[[#This Row],[Status]]="Materia Prima"),Tarifold[[#This Row],[Proj. de V. No prox. mes]]*10,"-")</f>
        <v>-</v>
      </c>
      <c r="P109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09" s="75">
        <f>VLOOKUP(Tarifold[[#This Row],[Código]],Projeção[#All],15,FALSE)</f>
        <v>0</v>
      </c>
      <c r="R109" s="39">
        <f>VLOOKUP(Tarifold[[#This Row],[Código]],Projeção[#All],14,FALSE)</f>
        <v>0</v>
      </c>
      <c r="S109" s="39">
        <f>IFERROR(VLOOKUP(Tarifold[[#This Row],[Código]],Venda_mes[],2,FALSE),0)</f>
        <v>0</v>
      </c>
      <c r="T109" s="44" t="str">
        <f>IFERROR(Tarifold[[#This Row],[V. No mes]]/Tarifold[[#This Row],[Proj. de V. No mes]],"")</f>
        <v/>
      </c>
      <c r="U109" s="43">
        <f>VLOOKUP(Tarifold[[#This Row],[Código]],Projeção[#All],14,FALSE)+VLOOKUP(Tarifold[[#This Row],[Código]],Projeção[#All],13,FALSE)+VLOOKUP(Tarifold[[#This Row],[Código]],Projeção[#All],12,FALSE)</f>
        <v>0</v>
      </c>
      <c r="V109" s="39">
        <f>IFERROR(VLOOKUP(Tarifold[[#This Row],[Código]],Venda_3meses[],2,FALSE),0)</f>
        <v>0</v>
      </c>
      <c r="W109" s="44" t="str">
        <f>IFERROR(Tarifold[[#This Row],[V. 3 meses]]/Tarifold[[#This Row],[Proj. de V. 3 meses]],"")</f>
        <v/>
      </c>
      <c r="X10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09" s="39">
        <f>IFERROR(VLOOKUP(Tarifold[[#This Row],[Código]],Venda_12meses[],2,FALSE),0)</f>
        <v>0</v>
      </c>
      <c r="Z109" s="44" t="str">
        <f>IFERROR(Tarifold[[#This Row],[V. 12 meses]]/Tarifold[[#This Row],[Proj. de V. 12 meses]],"")</f>
        <v/>
      </c>
      <c r="AA109" s="22"/>
    </row>
    <row r="110" spans="1:27" x14ac:dyDescent="0.25">
      <c r="A110" s="22" t="str">
        <f>VLOOKUP(Tarifold[[#This Row],[Código]],BD_Produto[#All],7,FALSE)</f>
        <v>Fora de Linha</v>
      </c>
      <c r="B110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0" s="23">
        <v>33070754107</v>
      </c>
      <c r="D110" s="22" t="s">
        <v>1340</v>
      </c>
      <c r="E110" s="22" t="s">
        <v>2676</v>
      </c>
      <c r="F110" s="22" t="s">
        <v>2676</v>
      </c>
      <c r="G110" s="24"/>
      <c r="H110" s="25"/>
      <c r="I110" s="22"/>
      <c r="J110" s="24"/>
      <c r="K110" s="24" t="str">
        <f>IFERROR(VLOOKUP(Tarifold[[#This Row],[Código]],Importação!P:R,3,FALSE),"")</f>
        <v/>
      </c>
      <c r="L110" s="24">
        <f>IFERROR(VLOOKUP(Tarifold[[#This Row],[Código]],Saldo[],3,FALSE),0)</f>
        <v>9</v>
      </c>
      <c r="M110" s="24">
        <f>SUM(Tarifold[[#This Row],[Produção]:[Estoque]])</f>
        <v>9</v>
      </c>
      <c r="N110" s="24" t="str">
        <f>IFERROR(Tarifold[[#This Row],[Estoque+Importação]]/Tarifold[[#This Row],[Proj. de V. No prox. mes]],"Sem Projeção")</f>
        <v>Sem Projeção</v>
      </c>
      <c r="O110" s="24" t="str">
        <f>IF(OR(Tarifold[[#This Row],[Status]]="Em Linha",Tarifold[[#This Row],[Status]]="Componente",Tarifold[[#This Row],[Status]]="Materia Prima"),Tarifold[[#This Row],[Proj. de V. No prox. mes]]*10,"-")</f>
        <v>-</v>
      </c>
      <c r="P11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0" s="75">
        <f>VLOOKUP(Tarifold[[#This Row],[Código]],Projeção[#All],15,FALSE)</f>
        <v>0</v>
      </c>
      <c r="R110" s="39">
        <f>VLOOKUP(Tarifold[[#This Row],[Código]],Projeção[#All],14,FALSE)</f>
        <v>0</v>
      </c>
      <c r="S110" s="39">
        <f>IFERROR(VLOOKUP(Tarifold[[#This Row],[Código]],Venda_mes[],2,FALSE),0)</f>
        <v>0</v>
      </c>
      <c r="T110" s="44" t="str">
        <f>IFERROR(Tarifold[[#This Row],[V. No mes]]/Tarifold[[#This Row],[Proj. de V. No mes]],"")</f>
        <v/>
      </c>
      <c r="U110" s="43">
        <f>VLOOKUP(Tarifold[[#This Row],[Código]],Projeção[#All],14,FALSE)+VLOOKUP(Tarifold[[#This Row],[Código]],Projeção[#All],13,FALSE)+VLOOKUP(Tarifold[[#This Row],[Código]],Projeção[#All],12,FALSE)</f>
        <v>0</v>
      </c>
      <c r="V110" s="39">
        <f>IFERROR(VLOOKUP(Tarifold[[#This Row],[Código]],Venda_3meses[],2,FALSE),0)</f>
        <v>0</v>
      </c>
      <c r="W110" s="44" t="str">
        <f>IFERROR(Tarifold[[#This Row],[V. 3 meses]]/Tarifold[[#This Row],[Proj. de V. 3 meses]],"")</f>
        <v/>
      </c>
      <c r="X11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0" s="39">
        <f>IFERROR(VLOOKUP(Tarifold[[#This Row],[Código]],Venda_12meses[],2,FALSE),0)</f>
        <v>0</v>
      </c>
      <c r="Z110" s="44" t="str">
        <f>IFERROR(Tarifold[[#This Row],[V. 12 meses]]/Tarifold[[#This Row],[Proj. de V. 12 meses]],"")</f>
        <v/>
      </c>
      <c r="AA110" s="22"/>
    </row>
    <row r="111" spans="1:27" x14ac:dyDescent="0.25">
      <c r="A111" s="22" t="str">
        <f>VLOOKUP(Tarifold[[#This Row],[Código]],BD_Produto[#All],7,FALSE)</f>
        <v>Fora de Linha</v>
      </c>
      <c r="B111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1" s="23">
        <v>33070754116</v>
      </c>
      <c r="D111" s="22" t="s">
        <v>1341</v>
      </c>
      <c r="E111" s="22" t="s">
        <v>2676</v>
      </c>
      <c r="F111" s="22" t="s">
        <v>2676</v>
      </c>
      <c r="G111" s="24"/>
      <c r="H111" s="25"/>
      <c r="I111" s="22"/>
      <c r="J111" s="24"/>
      <c r="K111" s="24" t="str">
        <f>IFERROR(VLOOKUP(Tarifold[[#This Row],[Código]],Importação!P:R,3,FALSE),"")</f>
        <v/>
      </c>
      <c r="L111" s="24">
        <f>IFERROR(VLOOKUP(Tarifold[[#This Row],[Código]],Saldo[],3,FALSE),0)</f>
        <v>15</v>
      </c>
      <c r="M111" s="24">
        <f>SUM(Tarifold[[#This Row],[Produção]:[Estoque]])</f>
        <v>15</v>
      </c>
      <c r="N111" s="24" t="str">
        <f>IFERROR(Tarifold[[#This Row],[Estoque+Importação]]/Tarifold[[#This Row],[Proj. de V. No prox. mes]],"Sem Projeção")</f>
        <v>Sem Projeção</v>
      </c>
      <c r="O111" s="24" t="str">
        <f>IF(OR(Tarifold[[#This Row],[Status]]="Em Linha",Tarifold[[#This Row],[Status]]="Componente",Tarifold[[#This Row],[Status]]="Materia Prima"),Tarifold[[#This Row],[Proj. de V. No prox. mes]]*10,"-")</f>
        <v>-</v>
      </c>
      <c r="P11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1" s="75">
        <f>VLOOKUP(Tarifold[[#This Row],[Código]],Projeção[#All],15,FALSE)</f>
        <v>0</v>
      </c>
      <c r="R111" s="39">
        <f>VLOOKUP(Tarifold[[#This Row],[Código]],Projeção[#All],14,FALSE)</f>
        <v>0</v>
      </c>
      <c r="S111" s="39">
        <f>IFERROR(VLOOKUP(Tarifold[[#This Row],[Código]],Venda_mes[],2,FALSE),0)</f>
        <v>0</v>
      </c>
      <c r="T111" s="44" t="str">
        <f>IFERROR(Tarifold[[#This Row],[V. No mes]]/Tarifold[[#This Row],[Proj. de V. No mes]],"")</f>
        <v/>
      </c>
      <c r="U111" s="43">
        <f>VLOOKUP(Tarifold[[#This Row],[Código]],Projeção[#All],14,FALSE)+VLOOKUP(Tarifold[[#This Row],[Código]],Projeção[#All],13,FALSE)+VLOOKUP(Tarifold[[#This Row],[Código]],Projeção[#All],12,FALSE)</f>
        <v>0</v>
      </c>
      <c r="V111" s="39">
        <f>IFERROR(VLOOKUP(Tarifold[[#This Row],[Código]],Venda_3meses[],2,FALSE),0)</f>
        <v>0</v>
      </c>
      <c r="W111" s="44" t="str">
        <f>IFERROR(Tarifold[[#This Row],[V. 3 meses]]/Tarifold[[#This Row],[Proj. de V. 3 meses]],"")</f>
        <v/>
      </c>
      <c r="X11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1" s="39">
        <f>IFERROR(VLOOKUP(Tarifold[[#This Row],[Código]],Venda_12meses[],2,FALSE),0)</f>
        <v>0</v>
      </c>
      <c r="Z111" s="44" t="str">
        <f>IFERROR(Tarifold[[#This Row],[V. 12 meses]]/Tarifold[[#This Row],[Proj. de V. 12 meses]],"")</f>
        <v/>
      </c>
      <c r="AA111" s="22"/>
    </row>
    <row r="112" spans="1:27" x14ac:dyDescent="0.25">
      <c r="A112" s="22" t="str">
        <f>VLOOKUP(Tarifold[[#This Row],[Código]],BD_Produto[#All],7,FALSE)</f>
        <v>Fora de Linha</v>
      </c>
      <c r="B112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2" s="23">
        <v>33070754112</v>
      </c>
      <c r="D112" s="22" t="s">
        <v>955</v>
      </c>
      <c r="E112" s="22" t="s">
        <v>2676</v>
      </c>
      <c r="F112" s="22" t="s">
        <v>2676</v>
      </c>
      <c r="G112" s="24"/>
      <c r="H112" s="25"/>
      <c r="I112" s="22"/>
      <c r="J112" s="24"/>
      <c r="K112" s="24" t="str">
        <f>IFERROR(VLOOKUP(Tarifold[[#This Row],[Código]],Importação!P:R,3,FALSE),"")</f>
        <v/>
      </c>
      <c r="L112" s="24">
        <f>IFERROR(VLOOKUP(Tarifold[[#This Row],[Código]],Saldo[],3,FALSE),0)</f>
        <v>34</v>
      </c>
      <c r="M112" s="24">
        <f>SUM(Tarifold[[#This Row],[Produção]:[Estoque]])</f>
        <v>34</v>
      </c>
      <c r="N112" s="24" t="str">
        <f>IFERROR(Tarifold[[#This Row],[Estoque+Importação]]/Tarifold[[#This Row],[Proj. de V. No prox. mes]],"Sem Projeção")</f>
        <v>Sem Projeção</v>
      </c>
      <c r="O112" s="24" t="str">
        <f>IF(OR(Tarifold[[#This Row],[Status]]="Em Linha",Tarifold[[#This Row],[Status]]="Componente",Tarifold[[#This Row],[Status]]="Materia Prima"),Tarifold[[#This Row],[Proj. de V. No prox. mes]]*10,"-")</f>
        <v>-</v>
      </c>
      <c r="P11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2" s="75">
        <f>VLOOKUP(Tarifold[[#This Row],[Código]],Projeção[#All],15,FALSE)</f>
        <v>0</v>
      </c>
      <c r="R112" s="39">
        <f>VLOOKUP(Tarifold[[#This Row],[Código]],Projeção[#All],14,FALSE)</f>
        <v>0</v>
      </c>
      <c r="S112" s="39">
        <f>IFERROR(VLOOKUP(Tarifold[[#This Row],[Código]],Venda_mes[],2,FALSE),0)</f>
        <v>0</v>
      </c>
      <c r="T112" s="44" t="str">
        <f>IFERROR(Tarifold[[#This Row],[V. No mes]]/Tarifold[[#This Row],[Proj. de V. No mes]],"")</f>
        <v/>
      </c>
      <c r="U112" s="43">
        <f>VLOOKUP(Tarifold[[#This Row],[Código]],Projeção[#All],14,FALSE)+VLOOKUP(Tarifold[[#This Row],[Código]],Projeção[#All],13,FALSE)+VLOOKUP(Tarifold[[#This Row],[Código]],Projeção[#All],12,FALSE)</f>
        <v>0</v>
      </c>
      <c r="V112" s="39">
        <f>IFERROR(VLOOKUP(Tarifold[[#This Row],[Código]],Venda_3meses[],2,FALSE),0)</f>
        <v>0</v>
      </c>
      <c r="W112" s="44" t="str">
        <f>IFERROR(Tarifold[[#This Row],[V. 3 meses]]/Tarifold[[#This Row],[Proj. de V. 3 meses]],"")</f>
        <v/>
      </c>
      <c r="X11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2" s="39">
        <f>IFERROR(VLOOKUP(Tarifold[[#This Row],[Código]],Venda_12meses[],2,FALSE),0)</f>
        <v>0</v>
      </c>
      <c r="Z112" s="44" t="str">
        <f>IFERROR(Tarifold[[#This Row],[V. 12 meses]]/Tarifold[[#This Row],[Proj. de V. 12 meses]],"")</f>
        <v/>
      </c>
      <c r="AA112" s="22"/>
    </row>
    <row r="113" spans="1:27" x14ac:dyDescent="0.25">
      <c r="A113" s="22" t="str">
        <f>VLOOKUP(Tarifold[[#This Row],[Código]],BD_Produto[#All],7,FALSE)</f>
        <v>Fora de Linha</v>
      </c>
      <c r="B113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3" s="23">
        <v>33070754095</v>
      </c>
      <c r="D113" s="22" t="s">
        <v>984</v>
      </c>
      <c r="E113" s="22" t="s">
        <v>2676</v>
      </c>
      <c r="F113" s="22" t="s">
        <v>2676</v>
      </c>
      <c r="G113" s="24"/>
      <c r="H113" s="25"/>
      <c r="I113" s="22"/>
      <c r="J113" s="24"/>
      <c r="K113" s="24" t="str">
        <f>IFERROR(VLOOKUP(Tarifold[[#This Row],[Código]],Importação!P:R,3,FALSE),"")</f>
        <v/>
      </c>
      <c r="L113" s="24">
        <f>IFERROR(VLOOKUP(Tarifold[[#This Row],[Código]],Saldo[],3,FALSE),0)</f>
        <v>48</v>
      </c>
      <c r="M113" s="24">
        <f>SUM(Tarifold[[#This Row],[Produção]:[Estoque]])</f>
        <v>48</v>
      </c>
      <c r="N113" s="24" t="str">
        <f>IFERROR(Tarifold[[#This Row],[Estoque+Importação]]/Tarifold[[#This Row],[Proj. de V. No prox. mes]],"Sem Projeção")</f>
        <v>Sem Projeção</v>
      </c>
      <c r="O113" s="24" t="str">
        <f>IF(OR(Tarifold[[#This Row],[Status]]="Em Linha",Tarifold[[#This Row],[Status]]="Componente",Tarifold[[#This Row],[Status]]="Materia Prima"),Tarifold[[#This Row],[Proj. de V. No prox. mes]]*10,"-")</f>
        <v>-</v>
      </c>
      <c r="P11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3" s="75">
        <f>VLOOKUP(Tarifold[[#This Row],[Código]],Projeção[#All],15,FALSE)</f>
        <v>0</v>
      </c>
      <c r="R113" s="39">
        <f>VLOOKUP(Tarifold[[#This Row],[Código]],Projeção[#All],14,FALSE)</f>
        <v>0</v>
      </c>
      <c r="S113" s="39">
        <f>IFERROR(VLOOKUP(Tarifold[[#This Row],[Código]],Venda_mes[],2,FALSE),0)</f>
        <v>0</v>
      </c>
      <c r="T113" s="44" t="str">
        <f>IFERROR(Tarifold[[#This Row],[V. No mes]]/Tarifold[[#This Row],[Proj. de V. No mes]],"")</f>
        <v/>
      </c>
      <c r="U113" s="43">
        <f>VLOOKUP(Tarifold[[#This Row],[Código]],Projeção[#All],14,FALSE)+VLOOKUP(Tarifold[[#This Row],[Código]],Projeção[#All],13,FALSE)+VLOOKUP(Tarifold[[#This Row],[Código]],Projeção[#All],12,FALSE)</f>
        <v>0</v>
      </c>
      <c r="V113" s="39">
        <f>IFERROR(VLOOKUP(Tarifold[[#This Row],[Código]],Venda_3meses[],2,FALSE),0)</f>
        <v>0</v>
      </c>
      <c r="W113" s="44" t="str">
        <f>IFERROR(Tarifold[[#This Row],[V. 3 meses]]/Tarifold[[#This Row],[Proj. de V. 3 meses]],"")</f>
        <v/>
      </c>
      <c r="X11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0.13333333333333333</v>
      </c>
      <c r="Y113" s="39">
        <f>IFERROR(VLOOKUP(Tarifold[[#This Row],[Código]],Venda_12meses[],2,FALSE),0)</f>
        <v>0</v>
      </c>
      <c r="Z113" s="44">
        <f>IFERROR(Tarifold[[#This Row],[V. 12 meses]]/Tarifold[[#This Row],[Proj. de V. 12 meses]],"")</f>
        <v>0</v>
      </c>
      <c r="AA113" s="22"/>
    </row>
    <row r="114" spans="1:27" x14ac:dyDescent="0.25">
      <c r="A114" s="22" t="str">
        <f>VLOOKUP(Tarifold[[#This Row],[Código]],BD_Produto[#All],7,FALSE)</f>
        <v>Fora de Linha</v>
      </c>
      <c r="B114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4" s="23">
        <v>33070754094</v>
      </c>
      <c r="D114" s="22" t="s">
        <v>1343</v>
      </c>
      <c r="E114" s="22" t="s">
        <v>2676</v>
      </c>
      <c r="F114" s="22" t="s">
        <v>2676</v>
      </c>
      <c r="G114" s="24"/>
      <c r="H114" s="25"/>
      <c r="I114" s="22"/>
      <c r="J114" s="24"/>
      <c r="K114" s="24" t="str">
        <f>IFERROR(VLOOKUP(Tarifold[[#This Row],[Código]],Importação!P:R,3,FALSE),"")</f>
        <v/>
      </c>
      <c r="L114" s="24">
        <f>IFERROR(VLOOKUP(Tarifold[[#This Row],[Código]],Saldo[],3,FALSE),0)</f>
        <v>221</v>
      </c>
      <c r="M114" s="24">
        <f>SUM(Tarifold[[#This Row],[Produção]:[Estoque]])</f>
        <v>221</v>
      </c>
      <c r="N114" s="24" t="str">
        <f>IFERROR(Tarifold[[#This Row],[Estoque+Importação]]/Tarifold[[#This Row],[Proj. de V. No prox. mes]],"Sem Projeção")</f>
        <v>Sem Projeção</v>
      </c>
      <c r="O114" s="24" t="str">
        <f>IF(OR(Tarifold[[#This Row],[Status]]="Em Linha",Tarifold[[#This Row],[Status]]="Componente",Tarifold[[#This Row],[Status]]="Materia Prima"),Tarifold[[#This Row],[Proj. de V. No prox. mes]]*10,"-")</f>
        <v>-</v>
      </c>
      <c r="P11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4" s="75">
        <f>VLOOKUP(Tarifold[[#This Row],[Código]],Projeção[#All],15,FALSE)</f>
        <v>0</v>
      </c>
      <c r="R114" s="39">
        <f>VLOOKUP(Tarifold[[#This Row],[Código]],Projeção[#All],14,FALSE)</f>
        <v>0</v>
      </c>
      <c r="S114" s="39">
        <f>IFERROR(VLOOKUP(Tarifold[[#This Row],[Código]],Venda_mes[],2,FALSE),0)</f>
        <v>0</v>
      </c>
      <c r="T114" s="44" t="str">
        <f>IFERROR(Tarifold[[#This Row],[V. No mes]]/Tarifold[[#This Row],[Proj. de V. No mes]],"")</f>
        <v/>
      </c>
      <c r="U114" s="43">
        <f>VLOOKUP(Tarifold[[#This Row],[Código]],Projeção[#All],14,FALSE)+VLOOKUP(Tarifold[[#This Row],[Código]],Projeção[#All],13,FALSE)+VLOOKUP(Tarifold[[#This Row],[Código]],Projeção[#All],12,FALSE)</f>
        <v>0</v>
      </c>
      <c r="V114" s="39">
        <f>IFERROR(VLOOKUP(Tarifold[[#This Row],[Código]],Venda_3meses[],2,FALSE),0)</f>
        <v>0</v>
      </c>
      <c r="W114" s="44" t="str">
        <f>IFERROR(Tarifold[[#This Row],[V. 3 meses]]/Tarifold[[#This Row],[Proj. de V. 3 meses]],"")</f>
        <v/>
      </c>
      <c r="X11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4" s="39">
        <f>IFERROR(VLOOKUP(Tarifold[[#This Row],[Código]],Venda_12meses[],2,FALSE),0)</f>
        <v>0</v>
      </c>
      <c r="Z114" s="44" t="str">
        <f>IFERROR(Tarifold[[#This Row],[V. 12 meses]]/Tarifold[[#This Row],[Proj. de V. 12 meses]],"")</f>
        <v/>
      </c>
      <c r="AA114" s="22"/>
    </row>
    <row r="115" spans="1:27" x14ac:dyDescent="0.25">
      <c r="A115" s="22" t="str">
        <f>VLOOKUP(Tarifold[[#This Row],[Código]],BD_Produto[#All],7,FALSE)</f>
        <v>Fora de Linha</v>
      </c>
      <c r="B115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5" s="23">
        <v>33070760826</v>
      </c>
      <c r="D115" s="22" t="s">
        <v>1344</v>
      </c>
      <c r="E115" s="22" t="s">
        <v>1724</v>
      </c>
      <c r="F115" s="22" t="s">
        <v>1724</v>
      </c>
      <c r="G115" s="24"/>
      <c r="H115" s="25"/>
      <c r="I115" s="22"/>
      <c r="J115" s="24"/>
      <c r="K115" s="24" t="str">
        <f>IFERROR(VLOOKUP(Tarifold[[#This Row],[Código]],Importação!P:R,3,FALSE),"")</f>
        <v/>
      </c>
      <c r="L115" s="24">
        <f>IFERROR(VLOOKUP(Tarifold[[#This Row],[Código]],Saldo[],3,FALSE),0)</f>
        <v>50</v>
      </c>
      <c r="M115" s="24">
        <f>SUM(Tarifold[[#This Row],[Produção]:[Estoque]])</f>
        <v>50</v>
      </c>
      <c r="N115" s="24" t="str">
        <f>IFERROR(Tarifold[[#This Row],[Estoque+Importação]]/Tarifold[[#This Row],[Proj. de V. No prox. mes]],"Sem Projeção")</f>
        <v>Sem Projeção</v>
      </c>
      <c r="O115" s="24" t="str">
        <f>IF(OR(Tarifold[[#This Row],[Status]]="Em Linha",Tarifold[[#This Row],[Status]]="Componente",Tarifold[[#This Row],[Status]]="Materia Prima"),Tarifold[[#This Row],[Proj. de V. No prox. mes]]*10,"-")</f>
        <v>-</v>
      </c>
      <c r="P11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5" s="75">
        <f>VLOOKUP(Tarifold[[#This Row],[Código]],Projeção[#All],15,FALSE)</f>
        <v>0</v>
      </c>
      <c r="R115" s="39">
        <f>VLOOKUP(Tarifold[[#This Row],[Código]],Projeção[#All],14,FALSE)</f>
        <v>0</v>
      </c>
      <c r="S115" s="39">
        <f>IFERROR(VLOOKUP(Tarifold[[#This Row],[Código]],Venda_mes[],2,FALSE),0)</f>
        <v>0</v>
      </c>
      <c r="T115" s="44" t="str">
        <f>IFERROR(Tarifold[[#This Row],[V. No mes]]/Tarifold[[#This Row],[Proj. de V. No mes]],"")</f>
        <v/>
      </c>
      <c r="U115" s="43">
        <f>VLOOKUP(Tarifold[[#This Row],[Código]],Projeção[#All],14,FALSE)+VLOOKUP(Tarifold[[#This Row],[Código]],Projeção[#All],13,FALSE)+VLOOKUP(Tarifold[[#This Row],[Código]],Projeção[#All],12,FALSE)</f>
        <v>0</v>
      </c>
      <c r="V115" s="39">
        <f>IFERROR(VLOOKUP(Tarifold[[#This Row],[Código]],Venda_3meses[],2,FALSE),0)</f>
        <v>0</v>
      </c>
      <c r="W115" s="44" t="str">
        <f>IFERROR(Tarifold[[#This Row],[V. 3 meses]]/Tarifold[[#This Row],[Proj. de V. 3 meses]],"")</f>
        <v/>
      </c>
      <c r="X11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5" s="39">
        <f>IFERROR(VLOOKUP(Tarifold[[#This Row],[Código]],Venda_12meses[],2,FALSE),0)</f>
        <v>0</v>
      </c>
      <c r="Z115" s="44" t="str">
        <f>IFERROR(Tarifold[[#This Row],[V. 12 meses]]/Tarifold[[#This Row],[Proj. de V. 12 meses]],"")</f>
        <v/>
      </c>
      <c r="AA115" s="22"/>
    </row>
    <row r="116" spans="1:27" x14ac:dyDescent="0.25">
      <c r="A116" s="22" t="str">
        <f>VLOOKUP(Tarifold[[#This Row],[Código]],BD_Produto[#All],7,FALSE)</f>
        <v>Fora de Linha</v>
      </c>
      <c r="B116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6" s="23">
        <v>33070760110</v>
      </c>
      <c r="D116" s="22" t="s">
        <v>1345</v>
      </c>
      <c r="E116" s="22" t="s">
        <v>1724</v>
      </c>
      <c r="F116" s="22" t="s">
        <v>1724</v>
      </c>
      <c r="G116" s="24"/>
      <c r="H116" s="25"/>
      <c r="I116" s="22"/>
      <c r="J116" s="24"/>
      <c r="K116" s="24" t="str">
        <f>IFERROR(VLOOKUP(Tarifold[[#This Row],[Código]],Importação!P:R,3,FALSE),"")</f>
        <v/>
      </c>
      <c r="L116" s="24">
        <f>IFERROR(VLOOKUP(Tarifold[[#This Row],[Código]],Saldo[],3,FALSE),0)</f>
        <v>1</v>
      </c>
      <c r="M116" s="24">
        <f>SUM(Tarifold[[#This Row],[Produção]:[Estoque]])</f>
        <v>1</v>
      </c>
      <c r="N116" s="24" t="str">
        <f>IFERROR(Tarifold[[#This Row],[Estoque+Importação]]/Tarifold[[#This Row],[Proj. de V. No prox. mes]],"Sem Projeção")</f>
        <v>Sem Projeção</v>
      </c>
      <c r="O116" s="24" t="str">
        <f>IF(OR(Tarifold[[#This Row],[Status]]="Em Linha",Tarifold[[#This Row],[Status]]="Componente",Tarifold[[#This Row],[Status]]="Materia Prima"),Tarifold[[#This Row],[Proj. de V. No prox. mes]]*10,"-")</f>
        <v>-</v>
      </c>
      <c r="P116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6" s="75">
        <f>VLOOKUP(Tarifold[[#This Row],[Código]],Projeção[#All],15,FALSE)</f>
        <v>0</v>
      </c>
      <c r="R116" s="39">
        <f>VLOOKUP(Tarifold[[#This Row],[Código]],Projeção[#All],14,FALSE)</f>
        <v>0</v>
      </c>
      <c r="S116" s="39">
        <f>IFERROR(VLOOKUP(Tarifold[[#This Row],[Código]],Venda_mes[],2,FALSE),0)</f>
        <v>0</v>
      </c>
      <c r="T116" s="44" t="str">
        <f>IFERROR(Tarifold[[#This Row],[V. No mes]]/Tarifold[[#This Row],[Proj. de V. No mes]],"")</f>
        <v/>
      </c>
      <c r="U116" s="43">
        <f>VLOOKUP(Tarifold[[#This Row],[Código]],Projeção[#All],14,FALSE)+VLOOKUP(Tarifold[[#This Row],[Código]],Projeção[#All],13,FALSE)+VLOOKUP(Tarifold[[#This Row],[Código]],Projeção[#All],12,FALSE)</f>
        <v>0</v>
      </c>
      <c r="V116" s="39">
        <f>IFERROR(VLOOKUP(Tarifold[[#This Row],[Código]],Venda_3meses[],2,FALSE),0)</f>
        <v>0</v>
      </c>
      <c r="W116" s="44" t="str">
        <f>IFERROR(Tarifold[[#This Row],[V. 3 meses]]/Tarifold[[#This Row],[Proj. de V. 3 meses]],"")</f>
        <v/>
      </c>
      <c r="X116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6" s="39">
        <f>IFERROR(VLOOKUP(Tarifold[[#This Row],[Código]],Venda_12meses[],2,FALSE),0)</f>
        <v>0</v>
      </c>
      <c r="Z116" s="44" t="str">
        <f>IFERROR(Tarifold[[#This Row],[V. 12 meses]]/Tarifold[[#This Row],[Proj. de V. 12 meses]],"")</f>
        <v/>
      </c>
      <c r="AA116" s="22"/>
    </row>
    <row r="117" spans="1:27" x14ac:dyDescent="0.25">
      <c r="A117" s="22" t="str">
        <f>VLOOKUP(Tarifold[[#This Row],[Código]],BD_Produto[#All],7,FALSE)</f>
        <v>Fora de Linha</v>
      </c>
      <c r="B117" s="22" t="str">
        <f>IF(OR(Tarifold[[#This Row],[Status]]="Em linha",Tarifold[[#This Row],[Status]]="Materia Prima",Tarifold[[#This Row],[Status]]="Componente"),"ok",IF(Tarifold[[#This Row],[Estoque+Importação]]&lt;1,"Tirar","ok"))</f>
        <v>ok</v>
      </c>
      <c r="C117" s="23">
        <v>33070760270</v>
      </c>
      <c r="D117" s="22" t="s">
        <v>970</v>
      </c>
      <c r="E117" s="22" t="s">
        <v>2676</v>
      </c>
      <c r="F117" s="22" t="s">
        <v>2676</v>
      </c>
      <c r="G117" s="24"/>
      <c r="H117" s="25"/>
      <c r="I117" s="22"/>
      <c r="J117" s="24"/>
      <c r="K117" s="24" t="str">
        <f>IFERROR(VLOOKUP(Tarifold[[#This Row],[Código]],Importação!P:R,3,FALSE),"")</f>
        <v/>
      </c>
      <c r="L117" s="24">
        <f>IFERROR(VLOOKUP(Tarifold[[#This Row],[Código]],Saldo[],3,FALSE),0)</f>
        <v>184</v>
      </c>
      <c r="M117" s="24">
        <f>SUM(Tarifold[[#This Row],[Produção]:[Estoque]])</f>
        <v>184</v>
      </c>
      <c r="N117" s="24" t="str">
        <f>IFERROR(Tarifold[[#This Row],[Estoque+Importação]]/Tarifold[[#This Row],[Proj. de V. No prox. mes]],"Sem Projeção")</f>
        <v>Sem Projeção</v>
      </c>
      <c r="O117" s="24" t="str">
        <f>IF(OR(Tarifold[[#This Row],[Status]]="Em Linha",Tarifold[[#This Row],[Status]]="Componente",Tarifold[[#This Row],[Status]]="Materia Prima"),Tarifold[[#This Row],[Proj. de V. No prox. mes]]*10,"-")</f>
        <v>-</v>
      </c>
      <c r="P117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7" s="75">
        <f>VLOOKUP(Tarifold[[#This Row],[Código]],Projeção[#All],15,FALSE)</f>
        <v>0</v>
      </c>
      <c r="R117" s="39">
        <f>VLOOKUP(Tarifold[[#This Row],[Código]],Projeção[#All],14,FALSE)</f>
        <v>0</v>
      </c>
      <c r="S117" s="39">
        <f>IFERROR(VLOOKUP(Tarifold[[#This Row],[Código]],Venda_mes[],2,FALSE),0)</f>
        <v>0</v>
      </c>
      <c r="T117" s="44" t="str">
        <f>IFERROR(Tarifold[[#This Row],[V. No mes]]/Tarifold[[#This Row],[Proj. de V. No mes]],"")</f>
        <v/>
      </c>
      <c r="U117" s="43">
        <f>VLOOKUP(Tarifold[[#This Row],[Código]],Projeção[#All],14,FALSE)+VLOOKUP(Tarifold[[#This Row],[Código]],Projeção[#All],13,FALSE)+VLOOKUP(Tarifold[[#This Row],[Código]],Projeção[#All],12,FALSE)</f>
        <v>0</v>
      </c>
      <c r="V117" s="39">
        <f>IFERROR(VLOOKUP(Tarifold[[#This Row],[Código]],Venda_3meses[],2,FALSE),0)</f>
        <v>0</v>
      </c>
      <c r="W117" s="44" t="str">
        <f>IFERROR(Tarifold[[#This Row],[V. 3 meses]]/Tarifold[[#This Row],[Proj. de V. 3 meses]],"")</f>
        <v/>
      </c>
      <c r="X117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6.6666666666666666E-2</v>
      </c>
      <c r="Y117" s="39">
        <f>IFERROR(VLOOKUP(Tarifold[[#This Row],[Código]],Venda_12meses[],2,FALSE),0)</f>
        <v>0</v>
      </c>
      <c r="Z117" s="44">
        <f>IFERROR(Tarifold[[#This Row],[V. 12 meses]]/Tarifold[[#This Row],[Proj. de V. 12 meses]],"")</f>
        <v>0</v>
      </c>
      <c r="AA117" s="22"/>
    </row>
    <row r="118" spans="1:27" x14ac:dyDescent="0.25">
      <c r="A118" s="22" t="str">
        <f>VLOOKUP(Tarifold[[#This Row],[Código]],BD_Produto[#All],7,FALSE)</f>
        <v>Fora de Linha</v>
      </c>
      <c r="B118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18" s="23">
        <v>33070754093</v>
      </c>
      <c r="D118" s="22" t="s">
        <v>1198</v>
      </c>
      <c r="E118" s="22" t="s">
        <v>2676</v>
      </c>
      <c r="F118" s="22" t="s">
        <v>2676</v>
      </c>
      <c r="G118" s="24"/>
      <c r="H118" s="25"/>
      <c r="I118" s="22"/>
      <c r="J118" s="24"/>
      <c r="K118" s="24" t="str">
        <f>IFERROR(VLOOKUP(Tarifold[[#This Row],[Código]],Importação!P:R,3,FALSE),"")</f>
        <v/>
      </c>
      <c r="L118" s="24">
        <f>IFERROR(VLOOKUP(Tarifold[[#This Row],[Código]],Saldo[],3,FALSE),0)</f>
        <v>0</v>
      </c>
      <c r="M118" s="24">
        <f>SUM(Tarifold[[#This Row],[Produção]:[Estoque]])</f>
        <v>0</v>
      </c>
      <c r="N118" s="24">
        <f>IFERROR(Tarifold[[#This Row],[Estoque+Importação]]/Tarifold[[#This Row],[Proj. de V. No prox. mes]],"Sem Projeção")</f>
        <v>0</v>
      </c>
      <c r="O118" s="24" t="str">
        <f>IF(OR(Tarifold[[#This Row],[Status]]="Em Linha",Tarifold[[#This Row],[Status]]="Componente",Tarifold[[#This Row],[Status]]="Materia Prima"),Tarifold[[#This Row],[Proj. de V. No prox. mes]]*10,"-")</f>
        <v>-</v>
      </c>
      <c r="P118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8" s="75">
        <f>VLOOKUP(Tarifold[[#This Row],[Código]],Projeção[#All],15,FALSE)</f>
        <v>3.3333333333333333E-2</v>
      </c>
      <c r="R118" s="39">
        <f>VLOOKUP(Tarifold[[#This Row],[Código]],Projeção[#All],14,FALSE)</f>
        <v>0.23333333333333334</v>
      </c>
      <c r="S118" s="39">
        <f>IFERROR(VLOOKUP(Tarifold[[#This Row],[Código]],Venda_mes[],2,FALSE),0)</f>
        <v>0</v>
      </c>
      <c r="T118" s="44">
        <f>IFERROR(Tarifold[[#This Row],[V. No mes]]/Tarifold[[#This Row],[Proj. de V. No mes]],"")</f>
        <v>0</v>
      </c>
      <c r="U118" s="43">
        <f>VLOOKUP(Tarifold[[#This Row],[Código]],Projeção[#All],14,FALSE)+VLOOKUP(Tarifold[[#This Row],[Código]],Projeção[#All],13,FALSE)+VLOOKUP(Tarifold[[#This Row],[Código]],Projeção[#All],12,FALSE)</f>
        <v>0.46666666666666667</v>
      </c>
      <c r="V118" s="39">
        <f>IFERROR(VLOOKUP(Tarifold[[#This Row],[Código]],Venda_3meses[],2,FALSE),0)</f>
        <v>0</v>
      </c>
      <c r="W118" s="44">
        <f>IFERROR(Tarifold[[#This Row],[V. 3 meses]]/Tarifold[[#This Row],[Proj. de V. 3 meses]],"")</f>
        <v>0</v>
      </c>
      <c r="X118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7.0666666666666664</v>
      </c>
      <c r="Y118" s="39">
        <f>IFERROR(VLOOKUP(Tarifold[[#This Row],[Código]],Venda_12meses[],2,FALSE),0)</f>
        <v>1</v>
      </c>
      <c r="Z118" s="44">
        <f>IFERROR(Tarifold[[#This Row],[V. 12 meses]]/Tarifold[[#This Row],[Proj. de V. 12 meses]],"")</f>
        <v>0.14150943396226415</v>
      </c>
      <c r="AA118" s="22"/>
    </row>
    <row r="119" spans="1:27" x14ac:dyDescent="0.25">
      <c r="A119" s="22" t="str">
        <f>VLOOKUP(Tarifold[[#This Row],[Código]],BD_Produto[#All],7,FALSE)</f>
        <v>Fora de Linha</v>
      </c>
      <c r="B119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19" s="23">
        <v>33070754075</v>
      </c>
      <c r="D119" s="22" t="s">
        <v>1458</v>
      </c>
      <c r="E119" s="22" t="s">
        <v>2676</v>
      </c>
      <c r="F119" s="22" t="s">
        <v>2676</v>
      </c>
      <c r="G119" s="24"/>
      <c r="H119" s="25"/>
      <c r="I119" s="22"/>
      <c r="J119" s="24"/>
      <c r="K119" s="24" t="str">
        <f>IFERROR(VLOOKUP(Tarifold[[#This Row],[Código]],Importação!P:R,3,FALSE),"")</f>
        <v/>
      </c>
      <c r="L119" s="24">
        <f>IFERROR(VLOOKUP(Tarifold[[#This Row],[Código]],Saldo[],3,FALSE),0)</f>
        <v>0</v>
      </c>
      <c r="M119" s="24">
        <f>SUM(Tarifold[[#This Row],[Produção]:[Estoque]])</f>
        <v>0</v>
      </c>
      <c r="N119" s="24" t="str">
        <f>IFERROR(Tarifold[[#This Row],[Estoque+Importação]]/Tarifold[[#This Row],[Proj. de V. No prox. mes]],"Sem Projeção")</f>
        <v>Sem Projeção</v>
      </c>
      <c r="O119" s="24" t="str">
        <f>IF(OR(Tarifold[[#This Row],[Status]]="Em Linha",Tarifold[[#This Row],[Status]]="Componente",Tarifold[[#This Row],[Status]]="Materia Prima"),Tarifold[[#This Row],[Proj. de V. No prox. mes]]*10,"-")</f>
        <v>-</v>
      </c>
      <c r="P119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19" s="100">
        <f>VLOOKUP(Tarifold[[#This Row],[Código]],Projeção[#All],15,FALSE)</f>
        <v>0</v>
      </c>
      <c r="R119" s="39">
        <f>VLOOKUP(Tarifold[[#This Row],[Código]],Projeção[#All],14,FALSE)</f>
        <v>0</v>
      </c>
      <c r="S119" s="39">
        <f>IFERROR(VLOOKUP(Tarifold[[#This Row],[Código]],Venda_mes[],2,FALSE),0)</f>
        <v>0</v>
      </c>
      <c r="T119" s="44" t="str">
        <f>IFERROR(Tarifold[[#This Row],[V. No mes]]/Tarifold[[#This Row],[Proj. de V. No mes]],"")</f>
        <v/>
      </c>
      <c r="U119" s="43">
        <f>VLOOKUP(Tarifold[[#This Row],[Código]],Projeção[#All],14,FALSE)+VLOOKUP(Tarifold[[#This Row],[Código]],Projeção[#All],13,FALSE)+VLOOKUP(Tarifold[[#This Row],[Código]],Projeção[#All],12,FALSE)</f>
        <v>0</v>
      </c>
      <c r="V119" s="39">
        <f>IFERROR(VLOOKUP(Tarifold[[#This Row],[Código]],Venda_3meses[],2,FALSE),0)</f>
        <v>0</v>
      </c>
      <c r="W119" s="44" t="str">
        <f>IFERROR(Tarifold[[#This Row],[V. 3 meses]]/Tarifold[[#This Row],[Proj. de V. 3 meses]],"")</f>
        <v/>
      </c>
      <c r="X119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19" s="39">
        <f>IFERROR(VLOOKUP(Tarifold[[#This Row],[Código]],Venda_12meses[],2,FALSE),0)</f>
        <v>0</v>
      </c>
      <c r="Z119" s="44" t="str">
        <f>IFERROR(Tarifold[[#This Row],[V. 12 meses]]/Tarifold[[#This Row],[Proj. de V. 12 meses]],"")</f>
        <v/>
      </c>
      <c r="AA119" s="22"/>
    </row>
    <row r="120" spans="1:27" x14ac:dyDescent="0.25">
      <c r="A120" s="22" t="str">
        <f>VLOOKUP(Tarifold[[#This Row],[Código]],BD_Produto[#All],7,FALSE)</f>
        <v>Fora de Linha</v>
      </c>
      <c r="B120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0" s="23">
        <v>33070754066</v>
      </c>
      <c r="D120" s="22" t="s">
        <v>1056</v>
      </c>
      <c r="E120" s="22" t="s">
        <v>2676</v>
      </c>
      <c r="F120" s="22" t="s">
        <v>2676</v>
      </c>
      <c r="G120" s="24"/>
      <c r="H120" s="25"/>
      <c r="I120" s="22"/>
      <c r="J120" s="24"/>
      <c r="K120" s="24" t="str">
        <f>IFERROR(VLOOKUP(Tarifold[[#This Row],[Código]],Importação!P:R,3,FALSE),"")</f>
        <v/>
      </c>
      <c r="L120" s="24">
        <f>IFERROR(VLOOKUP(Tarifold[[#This Row],[Código]],Saldo[],3,FALSE),0)</f>
        <v>0</v>
      </c>
      <c r="M120" s="24">
        <f>SUM(Tarifold[[#This Row],[Produção]:[Estoque]])</f>
        <v>0</v>
      </c>
      <c r="N120" s="24" t="str">
        <f>IFERROR(Tarifold[[#This Row],[Estoque+Importação]]/Tarifold[[#This Row],[Proj. de V. No prox. mes]],"Sem Projeção")</f>
        <v>Sem Projeção</v>
      </c>
      <c r="O120" s="24" t="str">
        <f>IF(OR(Tarifold[[#This Row],[Status]]="Em Linha",Tarifold[[#This Row],[Status]]="Componente",Tarifold[[#This Row],[Status]]="Materia Prima"),Tarifold[[#This Row],[Proj. de V. No prox. mes]]*10,"-")</f>
        <v>-</v>
      </c>
      <c r="P120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0" s="75">
        <f>VLOOKUP(Tarifold[[#This Row],[Código]],Projeção[#All],15,FALSE)</f>
        <v>0</v>
      </c>
      <c r="R120" s="39">
        <f>VLOOKUP(Tarifold[[#This Row],[Código]],Projeção[#All],14,FALSE)</f>
        <v>0</v>
      </c>
      <c r="S120" s="39">
        <f>IFERROR(VLOOKUP(Tarifold[[#This Row],[Código]],Venda_mes[],2,FALSE),0)</f>
        <v>0</v>
      </c>
      <c r="T120" s="44" t="str">
        <f>IFERROR(Tarifold[[#This Row],[V. No mes]]/Tarifold[[#This Row],[Proj. de V. No mes]],"")</f>
        <v/>
      </c>
      <c r="U120" s="43">
        <f>VLOOKUP(Tarifold[[#This Row],[Código]],Projeção[#All],14,FALSE)+VLOOKUP(Tarifold[[#This Row],[Código]],Projeção[#All],13,FALSE)+VLOOKUP(Tarifold[[#This Row],[Código]],Projeção[#All],12,FALSE)</f>
        <v>0</v>
      </c>
      <c r="V120" s="39">
        <f>IFERROR(VLOOKUP(Tarifold[[#This Row],[Código]],Venda_3meses[],2,FALSE),0)</f>
        <v>0</v>
      </c>
      <c r="W120" s="44" t="str">
        <f>IFERROR(Tarifold[[#This Row],[V. 3 meses]]/Tarifold[[#This Row],[Proj. de V. 3 meses]],"")</f>
        <v/>
      </c>
      <c r="X120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7.9333333333333327</v>
      </c>
      <c r="Y120" s="39">
        <f>IFERROR(VLOOKUP(Tarifold[[#This Row],[Código]],Venda_12meses[],2,FALSE),0)</f>
        <v>0</v>
      </c>
      <c r="Z120" s="44">
        <f>IFERROR(Tarifold[[#This Row],[V. 12 meses]]/Tarifold[[#This Row],[Proj. de V. 12 meses]],"")</f>
        <v>0</v>
      </c>
      <c r="AA120" s="22"/>
    </row>
    <row r="121" spans="1:27" x14ac:dyDescent="0.25">
      <c r="A121" s="22" t="str">
        <f>VLOOKUP(Tarifold[[#This Row],[Código]],BD_Produto[#All],7,FALSE)</f>
        <v>Fora de Linha</v>
      </c>
      <c r="B121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1" s="23">
        <v>33070760109</v>
      </c>
      <c r="D121" s="22" t="s">
        <v>1015</v>
      </c>
      <c r="E121" s="22" t="s">
        <v>2676</v>
      </c>
      <c r="F121" s="22" t="s">
        <v>2676</v>
      </c>
      <c r="G121" s="24"/>
      <c r="H121" s="25"/>
      <c r="I121" s="22"/>
      <c r="J121" s="24"/>
      <c r="K121" s="24" t="str">
        <f>IFERROR(VLOOKUP(Tarifold[[#This Row],[Código]],Importação!P:R,3,FALSE),"")</f>
        <v/>
      </c>
      <c r="L121" s="24">
        <f>IFERROR(VLOOKUP(Tarifold[[#This Row],[Código]],Saldo[],3,FALSE),0)</f>
        <v>0</v>
      </c>
      <c r="M121" s="24">
        <f>SUM(Tarifold[[#This Row],[Produção]:[Estoque]])</f>
        <v>0</v>
      </c>
      <c r="N121" s="24" t="str">
        <f>IFERROR(Tarifold[[#This Row],[Estoque+Importação]]/Tarifold[[#This Row],[Proj. de V. No prox. mes]],"Sem Projeção")</f>
        <v>Sem Projeção</v>
      </c>
      <c r="O121" s="24" t="str">
        <f>IF(OR(Tarifold[[#This Row],[Status]]="Em Linha",Tarifold[[#This Row],[Status]]="Componente",Tarifold[[#This Row],[Status]]="Materia Prima"),Tarifold[[#This Row],[Proj. de V. No prox. mes]]*10,"-")</f>
        <v>-</v>
      </c>
      <c r="P121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1" s="75">
        <f>VLOOKUP(Tarifold[[#This Row],[Código]],Projeção[#All],15,FALSE)</f>
        <v>0</v>
      </c>
      <c r="R121" s="39">
        <f>VLOOKUP(Tarifold[[#This Row],[Código]],Projeção[#All],14,FALSE)</f>
        <v>0</v>
      </c>
      <c r="S121" s="39">
        <f>IFERROR(VLOOKUP(Tarifold[[#This Row],[Código]],Venda_mes[],2,FALSE),0)</f>
        <v>0</v>
      </c>
      <c r="T121" s="44" t="str">
        <f>IFERROR(Tarifold[[#This Row],[V. No mes]]/Tarifold[[#This Row],[Proj. de V. No mes]],"")</f>
        <v/>
      </c>
      <c r="U121" s="43">
        <f>VLOOKUP(Tarifold[[#This Row],[Código]],Projeção[#All],14,FALSE)+VLOOKUP(Tarifold[[#This Row],[Código]],Projeção[#All],13,FALSE)+VLOOKUP(Tarifold[[#This Row],[Código]],Projeção[#All],12,FALSE)</f>
        <v>0</v>
      </c>
      <c r="V121" s="39">
        <f>IFERROR(VLOOKUP(Tarifold[[#This Row],[Código]],Venda_3meses[],2,FALSE),0)</f>
        <v>0</v>
      </c>
      <c r="W121" s="44" t="str">
        <f>IFERROR(Tarifold[[#This Row],[V. 3 meses]]/Tarifold[[#This Row],[Proj. de V. 3 meses]],"")</f>
        <v/>
      </c>
      <c r="X121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1" s="39">
        <f>IFERROR(VLOOKUP(Tarifold[[#This Row],[Código]],Venda_12meses[],2,FALSE),0)</f>
        <v>0</v>
      </c>
      <c r="Z121" s="44" t="str">
        <f>IFERROR(Tarifold[[#This Row],[V. 12 meses]]/Tarifold[[#This Row],[Proj. de V. 12 meses]],"")</f>
        <v/>
      </c>
      <c r="AA121" s="22"/>
    </row>
    <row r="122" spans="1:27" x14ac:dyDescent="0.25">
      <c r="A122" s="22" t="str">
        <f>VLOOKUP(Tarifold[[#This Row],[Código]],BD_Produto[#All],7,FALSE)</f>
        <v>Fora de Linha</v>
      </c>
      <c r="B122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2" s="23">
        <v>33070754129</v>
      </c>
      <c r="D122" s="22" t="s">
        <v>1459</v>
      </c>
      <c r="E122" s="22" t="s">
        <v>1724</v>
      </c>
      <c r="F122" s="22" t="s">
        <v>1724</v>
      </c>
      <c r="G122" s="24"/>
      <c r="H122" s="25"/>
      <c r="I122" s="22"/>
      <c r="J122" s="24"/>
      <c r="K122" s="24" t="str">
        <f>IFERROR(VLOOKUP(Tarifold[[#This Row],[Código]],Importação!P:R,3,FALSE),"")</f>
        <v/>
      </c>
      <c r="L122" s="24">
        <f>IFERROR(VLOOKUP(Tarifold[[#This Row],[Código]],Saldo[],3,FALSE),0)</f>
        <v>0</v>
      </c>
      <c r="M122" s="24">
        <f>SUM(Tarifold[[#This Row],[Produção]:[Estoque]])</f>
        <v>0</v>
      </c>
      <c r="N122" s="24" t="str">
        <f>IFERROR(Tarifold[[#This Row],[Estoque+Importação]]/Tarifold[[#This Row],[Proj. de V. No prox. mes]],"Sem Projeção")</f>
        <v>Sem Projeção</v>
      </c>
      <c r="O122" s="24" t="str">
        <f>IF(OR(Tarifold[[#This Row],[Status]]="Em Linha",Tarifold[[#This Row],[Status]]="Componente",Tarifold[[#This Row],[Status]]="Materia Prima"),Tarifold[[#This Row],[Proj. de V. No prox. mes]]*10,"-")</f>
        <v>-</v>
      </c>
      <c r="P122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2" s="75">
        <f>VLOOKUP(Tarifold[[#This Row],[Código]],Projeção[#All],15,FALSE)</f>
        <v>0</v>
      </c>
      <c r="R122" s="39">
        <f>VLOOKUP(Tarifold[[#This Row],[Código]],Projeção[#All],14,FALSE)</f>
        <v>0</v>
      </c>
      <c r="S122" s="39">
        <f>IFERROR(VLOOKUP(Tarifold[[#This Row],[Código]],Venda_mes[],2,FALSE),0)</f>
        <v>0</v>
      </c>
      <c r="T122" s="44" t="str">
        <f>IFERROR(Tarifold[[#This Row],[V. No mes]]/Tarifold[[#This Row],[Proj. de V. No mes]],"")</f>
        <v/>
      </c>
      <c r="U122" s="43">
        <f>VLOOKUP(Tarifold[[#This Row],[Código]],Projeção[#All],14,FALSE)+VLOOKUP(Tarifold[[#This Row],[Código]],Projeção[#All],13,FALSE)+VLOOKUP(Tarifold[[#This Row],[Código]],Projeção[#All],12,FALSE)</f>
        <v>0</v>
      </c>
      <c r="V122" s="39">
        <f>IFERROR(VLOOKUP(Tarifold[[#This Row],[Código]],Venda_3meses[],2,FALSE),0)</f>
        <v>0</v>
      </c>
      <c r="W122" s="44" t="str">
        <f>IFERROR(Tarifold[[#This Row],[V. 3 meses]]/Tarifold[[#This Row],[Proj. de V. 3 meses]],"")</f>
        <v/>
      </c>
      <c r="X122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2" s="39">
        <f>IFERROR(VLOOKUP(Tarifold[[#This Row],[Código]],Venda_12meses[],2,FALSE),0)</f>
        <v>0</v>
      </c>
      <c r="Z122" s="44" t="str">
        <f>IFERROR(Tarifold[[#This Row],[V. 12 meses]]/Tarifold[[#This Row],[Proj. de V. 12 meses]],"")</f>
        <v/>
      </c>
      <c r="AA122" s="22"/>
    </row>
    <row r="123" spans="1:27" x14ac:dyDescent="0.25">
      <c r="A123" s="22" t="str">
        <f>VLOOKUP(Tarifold[[#This Row],[Código]],BD_Produto[#All],7,FALSE)</f>
        <v>Fora de Linha</v>
      </c>
      <c r="B123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3" s="23">
        <v>33070754125</v>
      </c>
      <c r="D123" s="22" t="s">
        <v>1460</v>
      </c>
      <c r="E123" s="22" t="s">
        <v>2676</v>
      </c>
      <c r="F123" s="22" t="s">
        <v>2676</v>
      </c>
      <c r="G123" s="24"/>
      <c r="H123" s="25"/>
      <c r="I123" s="22"/>
      <c r="J123" s="24"/>
      <c r="K123" s="24" t="str">
        <f>IFERROR(VLOOKUP(Tarifold[[#This Row],[Código]],Importação!P:R,3,FALSE),"")</f>
        <v/>
      </c>
      <c r="L123" s="24">
        <f>IFERROR(VLOOKUP(Tarifold[[#This Row],[Código]],Saldo[],3,FALSE),0)</f>
        <v>0</v>
      </c>
      <c r="M123" s="24">
        <f>SUM(Tarifold[[#This Row],[Produção]:[Estoque]])</f>
        <v>0</v>
      </c>
      <c r="N123" s="24" t="str">
        <f>IFERROR(Tarifold[[#This Row],[Estoque+Importação]]/Tarifold[[#This Row],[Proj. de V. No prox. mes]],"Sem Projeção")</f>
        <v>Sem Projeção</v>
      </c>
      <c r="O123" s="24" t="str">
        <f>IF(OR(Tarifold[[#This Row],[Status]]="Em Linha",Tarifold[[#This Row],[Status]]="Componente",Tarifold[[#This Row],[Status]]="Materia Prima"),Tarifold[[#This Row],[Proj. de V. No prox. mes]]*10,"-")</f>
        <v>-</v>
      </c>
      <c r="P123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3" s="75">
        <f>VLOOKUP(Tarifold[[#This Row],[Código]],Projeção[#All],15,FALSE)</f>
        <v>0</v>
      </c>
      <c r="R123" s="39">
        <f>VLOOKUP(Tarifold[[#This Row],[Código]],Projeção[#All],14,FALSE)</f>
        <v>0</v>
      </c>
      <c r="S123" s="39">
        <f>IFERROR(VLOOKUP(Tarifold[[#This Row],[Código]],Venda_mes[],2,FALSE),0)</f>
        <v>0</v>
      </c>
      <c r="T123" s="44" t="str">
        <f>IFERROR(Tarifold[[#This Row],[V. No mes]]/Tarifold[[#This Row],[Proj. de V. No mes]],"")</f>
        <v/>
      </c>
      <c r="U123" s="43">
        <f>VLOOKUP(Tarifold[[#This Row],[Código]],Projeção[#All],14,FALSE)+VLOOKUP(Tarifold[[#This Row],[Código]],Projeção[#All],13,FALSE)+VLOOKUP(Tarifold[[#This Row],[Código]],Projeção[#All],12,FALSE)</f>
        <v>0</v>
      </c>
      <c r="V123" s="39">
        <f>IFERROR(VLOOKUP(Tarifold[[#This Row],[Código]],Venda_3meses[],2,FALSE),0)</f>
        <v>0</v>
      </c>
      <c r="W123" s="44" t="str">
        <f>IFERROR(Tarifold[[#This Row],[V. 3 meses]]/Tarifold[[#This Row],[Proj. de V. 3 meses]],"")</f>
        <v/>
      </c>
      <c r="X123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3" s="39">
        <f>IFERROR(VLOOKUP(Tarifold[[#This Row],[Código]],Venda_12meses[],2,FALSE),0)</f>
        <v>0</v>
      </c>
      <c r="Z123" s="44" t="str">
        <f>IFERROR(Tarifold[[#This Row],[V. 12 meses]]/Tarifold[[#This Row],[Proj. de V. 12 meses]],"")</f>
        <v/>
      </c>
      <c r="AA123" s="22"/>
    </row>
    <row r="124" spans="1:27" x14ac:dyDescent="0.25">
      <c r="A124" s="22" t="str">
        <f>VLOOKUP(Tarifold[[#This Row],[Código]],BD_Produto[#All],7,FALSE)</f>
        <v>Fora de Linha</v>
      </c>
      <c r="B124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4" s="23">
        <v>33070754070</v>
      </c>
      <c r="D124" s="22" t="s">
        <v>1461</v>
      </c>
      <c r="E124" s="22" t="s">
        <v>2676</v>
      </c>
      <c r="F124" s="22" t="s">
        <v>2676</v>
      </c>
      <c r="G124" s="24"/>
      <c r="H124" s="25"/>
      <c r="I124" s="22"/>
      <c r="J124" s="24"/>
      <c r="K124" s="24" t="str">
        <f>IFERROR(VLOOKUP(Tarifold[[#This Row],[Código]],Importação!P:R,3,FALSE),"")</f>
        <v/>
      </c>
      <c r="L124" s="24">
        <f>IFERROR(VLOOKUP(Tarifold[[#This Row],[Código]],Saldo[],3,FALSE),0)</f>
        <v>0</v>
      </c>
      <c r="M124" s="24">
        <f>SUM(Tarifold[[#This Row],[Produção]:[Estoque]])</f>
        <v>0</v>
      </c>
      <c r="N124" s="24" t="str">
        <f>IFERROR(Tarifold[[#This Row],[Estoque+Importação]]/Tarifold[[#This Row],[Proj. de V. No prox. mes]],"Sem Projeção")</f>
        <v>Sem Projeção</v>
      </c>
      <c r="O124" s="24" t="str">
        <f>IF(OR(Tarifold[[#This Row],[Status]]="Em Linha",Tarifold[[#This Row],[Status]]="Componente",Tarifold[[#This Row],[Status]]="Materia Prima"),Tarifold[[#This Row],[Proj. de V. No prox. mes]]*10,"-")</f>
        <v>-</v>
      </c>
      <c r="P124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4" s="75">
        <f>VLOOKUP(Tarifold[[#This Row],[Código]],Projeção[#All],15,FALSE)</f>
        <v>0</v>
      </c>
      <c r="R124" s="39">
        <f>VLOOKUP(Tarifold[[#This Row],[Código]],Projeção[#All],14,FALSE)</f>
        <v>0</v>
      </c>
      <c r="S124" s="39">
        <f>IFERROR(VLOOKUP(Tarifold[[#This Row],[Código]],Venda_mes[],2,FALSE),0)</f>
        <v>0</v>
      </c>
      <c r="T124" s="44" t="str">
        <f>IFERROR(Tarifold[[#This Row],[V. No mes]]/Tarifold[[#This Row],[Proj. de V. No mes]],"")</f>
        <v/>
      </c>
      <c r="U124" s="43">
        <f>VLOOKUP(Tarifold[[#This Row],[Código]],Projeção[#All],14,FALSE)+VLOOKUP(Tarifold[[#This Row],[Código]],Projeção[#All],13,FALSE)+VLOOKUP(Tarifold[[#This Row],[Código]],Projeção[#All],12,FALSE)</f>
        <v>0</v>
      </c>
      <c r="V124" s="39">
        <f>IFERROR(VLOOKUP(Tarifold[[#This Row],[Código]],Venda_3meses[],2,FALSE),0)</f>
        <v>0</v>
      </c>
      <c r="W124" s="44" t="str">
        <f>IFERROR(Tarifold[[#This Row],[V. 3 meses]]/Tarifold[[#This Row],[Proj. de V. 3 meses]],"")</f>
        <v/>
      </c>
      <c r="X124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4" s="39">
        <f>IFERROR(VLOOKUP(Tarifold[[#This Row],[Código]],Venda_12meses[],2,FALSE),0)</f>
        <v>0</v>
      </c>
      <c r="Z124" s="44" t="str">
        <f>IFERROR(Tarifold[[#This Row],[V. 12 meses]]/Tarifold[[#This Row],[Proj. de V. 12 meses]],"")</f>
        <v/>
      </c>
      <c r="AA124" s="22"/>
    </row>
    <row r="125" spans="1:27" x14ac:dyDescent="0.25">
      <c r="A125" s="22" t="str">
        <f>VLOOKUP(Tarifold[[#This Row],[Código]],BD_Produto[#All],7,FALSE)</f>
        <v>Fora de Linha</v>
      </c>
      <c r="B125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5" s="23">
        <v>33070754069</v>
      </c>
      <c r="D125" s="22" t="s">
        <v>1016</v>
      </c>
      <c r="E125" s="22" t="s">
        <v>2676</v>
      </c>
      <c r="F125" s="22" t="s">
        <v>2676</v>
      </c>
      <c r="G125" s="24"/>
      <c r="H125" s="25"/>
      <c r="I125" s="22"/>
      <c r="J125" s="24"/>
      <c r="K125" s="24" t="str">
        <f>IFERROR(VLOOKUP(Tarifold[[#This Row],[Código]],Importação!P:R,3,FALSE),"")</f>
        <v/>
      </c>
      <c r="L125" s="24">
        <f>IFERROR(VLOOKUP(Tarifold[[#This Row],[Código]],Saldo[],3,FALSE),0)</f>
        <v>0</v>
      </c>
      <c r="M125" s="24">
        <f>SUM(Tarifold[[#This Row],[Produção]:[Estoque]])</f>
        <v>0</v>
      </c>
      <c r="N125" s="24" t="str">
        <f>IFERROR(Tarifold[[#This Row],[Estoque+Importação]]/Tarifold[[#This Row],[Proj. de V. No prox. mes]],"Sem Projeção")</f>
        <v>Sem Projeção</v>
      </c>
      <c r="O125" s="24" t="str">
        <f>IF(OR(Tarifold[[#This Row],[Status]]="Em Linha",Tarifold[[#This Row],[Status]]="Componente",Tarifold[[#This Row],[Status]]="Materia Prima"),Tarifold[[#This Row],[Proj. de V. No prox. mes]]*10,"-")</f>
        <v>-</v>
      </c>
      <c r="P125" s="3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5" s="75">
        <f>VLOOKUP(Tarifold[[#This Row],[Código]],Projeção[#All],15,FALSE)</f>
        <v>0</v>
      </c>
      <c r="R125" s="39">
        <f>VLOOKUP(Tarifold[[#This Row],[Código]],Projeção[#All],14,FALSE)</f>
        <v>0</v>
      </c>
      <c r="S125" s="39">
        <f>IFERROR(VLOOKUP(Tarifold[[#This Row],[Código]],Venda_mes[],2,FALSE),0)</f>
        <v>0</v>
      </c>
      <c r="T125" s="44" t="str">
        <f>IFERROR(Tarifold[[#This Row],[V. No mes]]/Tarifold[[#This Row],[Proj. de V. No mes]],"")</f>
        <v/>
      </c>
      <c r="U125" s="43">
        <f>VLOOKUP(Tarifold[[#This Row],[Código]],Projeção[#All],14,FALSE)+VLOOKUP(Tarifold[[#This Row],[Código]],Projeção[#All],13,FALSE)+VLOOKUP(Tarifold[[#This Row],[Código]],Projeção[#All],12,FALSE)</f>
        <v>0</v>
      </c>
      <c r="V125" s="39">
        <f>IFERROR(VLOOKUP(Tarifold[[#This Row],[Código]],Venda_3meses[],2,FALSE),0)</f>
        <v>0</v>
      </c>
      <c r="W125" s="44" t="str">
        <f>IFERROR(Tarifold[[#This Row],[V. 3 meses]]/Tarifold[[#This Row],[Proj. de V. 3 meses]],"")</f>
        <v/>
      </c>
      <c r="X125" s="43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5" s="39">
        <f>IFERROR(VLOOKUP(Tarifold[[#This Row],[Código]],Venda_12meses[],2,FALSE),0)</f>
        <v>0</v>
      </c>
      <c r="Z125" s="44" t="str">
        <f>IFERROR(Tarifold[[#This Row],[V. 12 meses]]/Tarifold[[#This Row],[Proj. de V. 12 meses]],"")</f>
        <v/>
      </c>
      <c r="AA125" s="22"/>
    </row>
    <row r="126" spans="1:27" x14ac:dyDescent="0.25">
      <c r="A126" s="22" t="str">
        <f>VLOOKUP(Tarifold[[#This Row],[Código]],BD_Produto[#All],7,FALSE)</f>
        <v>Fora de Linha</v>
      </c>
      <c r="B126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6" s="23">
        <v>33070754058</v>
      </c>
      <c r="D126" s="22" t="s">
        <v>1462</v>
      </c>
      <c r="E126" s="22" t="s">
        <v>1724</v>
      </c>
      <c r="F126" s="22" t="s">
        <v>1724</v>
      </c>
      <c r="G126" s="24"/>
      <c r="H126" s="25"/>
      <c r="I126" s="22"/>
      <c r="J126" s="24"/>
      <c r="K126" s="24" t="str">
        <f>IFERROR(VLOOKUP(Tarifold[[#This Row],[Código]],Importação!P:R,3,FALSE),"")</f>
        <v/>
      </c>
      <c r="L126" s="24">
        <f>IFERROR(VLOOKUP(Tarifold[[#This Row],[Código]],Saldo[],3,FALSE),0)</f>
        <v>0</v>
      </c>
      <c r="M126" s="24">
        <f>SUM(Tarifold[[#This Row],[Produção]:[Estoque]])</f>
        <v>0</v>
      </c>
      <c r="N126" s="24" t="str">
        <f>IFERROR(Tarifold[[#This Row],[Estoque+Importação]]/Tarifold[[#This Row],[Proj. de V. No prox. mes]],"Sem Projeção")</f>
        <v>Sem Projeção</v>
      </c>
      <c r="O126" s="24" t="str">
        <f>IF(OR(Tarifold[[#This Row],[Status]]="Em Linha",Tarifold[[#This Row],[Status]]="Componente",Tarifold[[#This Row],[Status]]="Materia Prima"),Tarifold[[#This Row],[Proj. de V. No prox. mes]]*10,"-")</f>
        <v>-</v>
      </c>
      <c r="P126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6" s="24">
        <f>VLOOKUP(Tarifold[[#This Row],[Código]],Projeção[#All],15,FALSE)</f>
        <v>0</v>
      </c>
      <c r="R126" s="24">
        <f>VLOOKUP(Tarifold[[#This Row],[Código]],Projeção[#All],14,FALSE)</f>
        <v>0</v>
      </c>
      <c r="S126" s="24">
        <f>IFERROR(VLOOKUP(Tarifold[[#This Row],[Código]],Venda_mes[],2,FALSE),0)</f>
        <v>0</v>
      </c>
      <c r="T126" s="26" t="str">
        <f>IFERROR(Tarifold[[#This Row],[V. No mes]]/Tarifold[[#This Row],[Proj. de V. No mes]],"")</f>
        <v/>
      </c>
      <c r="U126" s="24">
        <f>VLOOKUP(Tarifold[[#This Row],[Código]],Projeção[#All],14,FALSE)+VLOOKUP(Tarifold[[#This Row],[Código]],Projeção[#All],13,FALSE)+VLOOKUP(Tarifold[[#This Row],[Código]],Projeção[#All],12,FALSE)</f>
        <v>0</v>
      </c>
      <c r="V126" s="24">
        <f>IFERROR(VLOOKUP(Tarifold[[#This Row],[Código]],Venda_3meses[],2,FALSE),0)</f>
        <v>0</v>
      </c>
      <c r="W126" s="26" t="str">
        <f>IFERROR(Tarifold[[#This Row],[V. 3 meses]]/Tarifold[[#This Row],[Proj. de V. 3 meses]],"")</f>
        <v/>
      </c>
      <c r="X126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6" s="24">
        <f>IFERROR(VLOOKUP(Tarifold[[#This Row],[Código]],Venda_12meses[],2,FALSE),0)</f>
        <v>0</v>
      </c>
      <c r="Z126" s="26" t="str">
        <f>IFERROR(Tarifold[[#This Row],[V. 12 meses]]/Tarifold[[#This Row],[Proj. de V. 12 meses]],"")</f>
        <v/>
      </c>
      <c r="AA126" s="22"/>
    </row>
    <row r="127" spans="1:27" x14ac:dyDescent="0.25">
      <c r="A127" s="22" t="str">
        <f>VLOOKUP(Tarifold[[#This Row],[Código]],BD_Produto[#All],7,FALSE)</f>
        <v>Fora de Linha</v>
      </c>
      <c r="B127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7" s="23">
        <v>33070754064</v>
      </c>
      <c r="D127" s="22" t="s">
        <v>1463</v>
      </c>
      <c r="E127" s="22" t="s">
        <v>1724</v>
      </c>
      <c r="F127" s="22" t="s">
        <v>1724</v>
      </c>
      <c r="G127" s="24"/>
      <c r="H127" s="25"/>
      <c r="I127" s="22"/>
      <c r="J127" s="24"/>
      <c r="K127" s="24" t="str">
        <f>IFERROR(VLOOKUP(Tarifold[[#This Row],[Código]],Importação!P:R,3,FALSE),"")</f>
        <v/>
      </c>
      <c r="L127" s="24">
        <f>IFERROR(VLOOKUP(Tarifold[[#This Row],[Código]],Saldo[],3,FALSE),0)</f>
        <v>0</v>
      </c>
      <c r="M127" s="24">
        <f>SUM(Tarifold[[#This Row],[Produção]:[Estoque]])</f>
        <v>0</v>
      </c>
      <c r="N127" s="24" t="str">
        <f>IFERROR(Tarifold[[#This Row],[Estoque+Importação]]/Tarifold[[#This Row],[Proj. de V. No prox. mes]],"Sem Projeção")</f>
        <v>Sem Projeção</v>
      </c>
      <c r="O127" s="24" t="str">
        <f>IF(OR(Tarifold[[#This Row],[Status]]="Em Linha",Tarifold[[#This Row],[Status]]="Componente",Tarifold[[#This Row],[Status]]="Materia Prima"),Tarifold[[#This Row],[Proj. de V. No prox. mes]]*10,"-")</f>
        <v>-</v>
      </c>
      <c r="P127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7" s="24">
        <f>VLOOKUP(Tarifold[[#This Row],[Código]],Projeção[#All],15,FALSE)</f>
        <v>0</v>
      </c>
      <c r="R127" s="24">
        <f>VLOOKUP(Tarifold[[#This Row],[Código]],Projeção[#All],14,FALSE)</f>
        <v>0</v>
      </c>
      <c r="S127" s="24">
        <f>IFERROR(VLOOKUP(Tarifold[[#This Row],[Código]],Venda_mes[],2,FALSE),0)</f>
        <v>0</v>
      </c>
      <c r="T127" s="26" t="str">
        <f>IFERROR(Tarifold[[#This Row],[V. No mes]]/Tarifold[[#This Row],[Proj. de V. No mes]],"")</f>
        <v/>
      </c>
      <c r="U127" s="24">
        <f>VLOOKUP(Tarifold[[#This Row],[Código]],Projeção[#All],14,FALSE)+VLOOKUP(Tarifold[[#This Row],[Código]],Projeção[#All],13,FALSE)+VLOOKUP(Tarifold[[#This Row],[Código]],Projeção[#All],12,FALSE)</f>
        <v>0</v>
      </c>
      <c r="V127" s="24">
        <f>IFERROR(VLOOKUP(Tarifold[[#This Row],[Código]],Venda_3meses[],2,FALSE),0)</f>
        <v>0</v>
      </c>
      <c r="W127" s="26" t="str">
        <f>IFERROR(Tarifold[[#This Row],[V. 3 meses]]/Tarifold[[#This Row],[Proj. de V. 3 meses]],"")</f>
        <v/>
      </c>
      <c r="X127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7" s="24">
        <f>IFERROR(VLOOKUP(Tarifold[[#This Row],[Código]],Venda_12meses[],2,FALSE),0)</f>
        <v>0</v>
      </c>
      <c r="Z127" s="26" t="str">
        <f>IFERROR(Tarifold[[#This Row],[V. 12 meses]]/Tarifold[[#This Row],[Proj. de V. 12 meses]],"")</f>
        <v/>
      </c>
      <c r="AA127" s="22"/>
    </row>
    <row r="128" spans="1:27" x14ac:dyDescent="0.25">
      <c r="A128" s="22" t="str">
        <f>VLOOKUP(Tarifold[[#This Row],[Código]],BD_Produto[#All],7,FALSE)</f>
        <v>Fora de Linha</v>
      </c>
      <c r="B128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8" s="23">
        <v>33070754130</v>
      </c>
      <c r="D128" s="22" t="s">
        <v>1464</v>
      </c>
      <c r="E128" s="22" t="s">
        <v>2676</v>
      </c>
      <c r="F128" s="22" t="s">
        <v>2676</v>
      </c>
      <c r="G128" s="24"/>
      <c r="H128" s="25"/>
      <c r="I128" s="22"/>
      <c r="J128" s="24"/>
      <c r="K128" s="24" t="str">
        <f>IFERROR(VLOOKUP(Tarifold[[#This Row],[Código]],Importação!P:R,3,FALSE),"")</f>
        <v/>
      </c>
      <c r="L128" s="24">
        <f>IFERROR(VLOOKUP(Tarifold[[#This Row],[Código]],Saldo[],3,FALSE),0)</f>
        <v>0</v>
      </c>
      <c r="M128" s="24">
        <f>SUM(Tarifold[[#This Row],[Produção]:[Estoque]])</f>
        <v>0</v>
      </c>
      <c r="N128" s="24" t="str">
        <f>IFERROR(Tarifold[[#This Row],[Estoque+Importação]]/Tarifold[[#This Row],[Proj. de V. No prox. mes]],"Sem Projeção")</f>
        <v>Sem Projeção</v>
      </c>
      <c r="O128" s="24" t="str">
        <f>IF(OR(Tarifold[[#This Row],[Status]]="Em Linha",Tarifold[[#This Row],[Status]]="Componente",Tarifold[[#This Row],[Status]]="Materia Prima"),Tarifold[[#This Row],[Proj. de V. No prox. mes]]*10,"-")</f>
        <v>-</v>
      </c>
      <c r="P128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8" s="24">
        <f>VLOOKUP(Tarifold[[#This Row],[Código]],Projeção[#All],15,FALSE)</f>
        <v>0</v>
      </c>
      <c r="R128" s="24">
        <f>VLOOKUP(Tarifold[[#This Row],[Código]],Projeção[#All],14,FALSE)</f>
        <v>0</v>
      </c>
      <c r="S128" s="24">
        <f>IFERROR(VLOOKUP(Tarifold[[#This Row],[Código]],Venda_mes[],2,FALSE),0)</f>
        <v>0</v>
      </c>
      <c r="T128" s="26" t="str">
        <f>IFERROR(Tarifold[[#This Row],[V. No mes]]/Tarifold[[#This Row],[Proj. de V. No mes]],"")</f>
        <v/>
      </c>
      <c r="U128" s="24">
        <f>VLOOKUP(Tarifold[[#This Row],[Código]],Projeção[#All],14,FALSE)+VLOOKUP(Tarifold[[#This Row],[Código]],Projeção[#All],13,FALSE)+VLOOKUP(Tarifold[[#This Row],[Código]],Projeção[#All],12,FALSE)</f>
        <v>0</v>
      </c>
      <c r="V128" s="24">
        <f>IFERROR(VLOOKUP(Tarifold[[#This Row],[Código]],Venda_3meses[],2,FALSE),0)</f>
        <v>0</v>
      </c>
      <c r="W128" s="26" t="str">
        <f>IFERROR(Tarifold[[#This Row],[V. 3 meses]]/Tarifold[[#This Row],[Proj. de V. 3 meses]],"")</f>
        <v/>
      </c>
      <c r="X128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8" s="24">
        <f>IFERROR(VLOOKUP(Tarifold[[#This Row],[Código]],Venda_12meses[],2,FALSE),0)</f>
        <v>0</v>
      </c>
      <c r="Z128" s="26" t="str">
        <f>IFERROR(Tarifold[[#This Row],[V. 12 meses]]/Tarifold[[#This Row],[Proj. de V. 12 meses]],"")</f>
        <v/>
      </c>
      <c r="AA128" s="22"/>
    </row>
    <row r="129" spans="1:27" x14ac:dyDescent="0.25">
      <c r="A129" s="22" t="str">
        <f>VLOOKUP(Tarifold[[#This Row],[Código]],BD_Produto[#All],7,FALSE)</f>
        <v>Fora de Linha</v>
      </c>
      <c r="B129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29" s="23">
        <v>33070754110</v>
      </c>
      <c r="D129" s="22" t="s">
        <v>1465</v>
      </c>
      <c r="E129" s="22" t="s">
        <v>2676</v>
      </c>
      <c r="F129" s="22" t="s">
        <v>2676</v>
      </c>
      <c r="G129" s="24"/>
      <c r="H129" s="25"/>
      <c r="I129" s="22"/>
      <c r="J129" s="24"/>
      <c r="K129" s="24" t="str">
        <f>IFERROR(VLOOKUP(Tarifold[[#This Row],[Código]],Importação!P:R,3,FALSE),"")</f>
        <v/>
      </c>
      <c r="L129" s="24">
        <f>IFERROR(VLOOKUP(Tarifold[[#This Row],[Código]],Saldo[],3,FALSE),0)</f>
        <v>0</v>
      </c>
      <c r="M129" s="24">
        <f>SUM(Tarifold[[#This Row],[Produção]:[Estoque]])</f>
        <v>0</v>
      </c>
      <c r="N129" s="24" t="str">
        <f>IFERROR(Tarifold[[#This Row],[Estoque+Importação]]/Tarifold[[#This Row],[Proj. de V. No prox. mes]],"Sem Projeção")</f>
        <v>Sem Projeção</v>
      </c>
      <c r="O129" s="24" t="str">
        <f>IF(OR(Tarifold[[#This Row],[Status]]="Em Linha",Tarifold[[#This Row],[Status]]="Componente",Tarifold[[#This Row],[Status]]="Materia Prima"),Tarifold[[#This Row],[Proj. de V. No prox. mes]]*10,"-")</f>
        <v>-</v>
      </c>
      <c r="P129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29" s="24">
        <f>VLOOKUP(Tarifold[[#This Row],[Código]],Projeção[#All],15,FALSE)</f>
        <v>0</v>
      </c>
      <c r="R129" s="24">
        <f>VLOOKUP(Tarifold[[#This Row],[Código]],Projeção[#All],14,FALSE)</f>
        <v>0</v>
      </c>
      <c r="S129" s="24">
        <f>IFERROR(VLOOKUP(Tarifold[[#This Row],[Código]],Venda_mes[],2,FALSE),0)</f>
        <v>0</v>
      </c>
      <c r="T129" s="26" t="str">
        <f>IFERROR(Tarifold[[#This Row],[V. No mes]]/Tarifold[[#This Row],[Proj. de V. No mes]],"")</f>
        <v/>
      </c>
      <c r="U129" s="24">
        <f>VLOOKUP(Tarifold[[#This Row],[Código]],Projeção[#All],14,FALSE)+VLOOKUP(Tarifold[[#This Row],[Código]],Projeção[#All],13,FALSE)+VLOOKUP(Tarifold[[#This Row],[Código]],Projeção[#All],12,FALSE)</f>
        <v>0</v>
      </c>
      <c r="V129" s="24">
        <f>IFERROR(VLOOKUP(Tarifold[[#This Row],[Código]],Venda_3meses[],2,FALSE),0)</f>
        <v>0</v>
      </c>
      <c r="W129" s="26" t="str">
        <f>IFERROR(Tarifold[[#This Row],[V. 3 meses]]/Tarifold[[#This Row],[Proj. de V. 3 meses]],"")</f>
        <v/>
      </c>
      <c r="X129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29" s="24">
        <f>IFERROR(VLOOKUP(Tarifold[[#This Row],[Código]],Venda_12meses[],2,FALSE),0)</f>
        <v>0</v>
      </c>
      <c r="Z129" s="26" t="str">
        <f>IFERROR(Tarifold[[#This Row],[V. 12 meses]]/Tarifold[[#This Row],[Proj. de V. 12 meses]],"")</f>
        <v/>
      </c>
      <c r="AA129" s="22"/>
    </row>
    <row r="130" spans="1:27" x14ac:dyDescent="0.25">
      <c r="A130" s="22" t="str">
        <f>VLOOKUP(Tarifold[[#This Row],[Código]],BD_Produto[#All],7,FALSE)</f>
        <v>Fora de Linha</v>
      </c>
      <c r="B130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30" s="23">
        <v>33070754111</v>
      </c>
      <c r="D130" s="22" t="s">
        <v>1466</v>
      </c>
      <c r="E130" s="22" t="s">
        <v>2676</v>
      </c>
      <c r="F130" s="22" t="s">
        <v>2676</v>
      </c>
      <c r="G130" s="24"/>
      <c r="H130" s="25"/>
      <c r="I130" s="22"/>
      <c r="J130" s="24"/>
      <c r="K130" s="24" t="str">
        <f>IFERROR(VLOOKUP(Tarifold[[#This Row],[Código]],Importação!P:R,3,FALSE),"")</f>
        <v/>
      </c>
      <c r="L130" s="24">
        <f>IFERROR(VLOOKUP(Tarifold[[#This Row],[Código]],Saldo[],3,FALSE),0)</f>
        <v>0</v>
      </c>
      <c r="M130" s="24">
        <f>SUM(Tarifold[[#This Row],[Produção]:[Estoque]])</f>
        <v>0</v>
      </c>
      <c r="N130" s="24" t="str">
        <f>IFERROR(Tarifold[[#This Row],[Estoque+Importação]]/Tarifold[[#This Row],[Proj. de V. No prox. mes]],"Sem Projeção")</f>
        <v>Sem Projeção</v>
      </c>
      <c r="O130" s="24" t="str">
        <f>IF(OR(Tarifold[[#This Row],[Status]]="Em Linha",Tarifold[[#This Row],[Status]]="Componente",Tarifold[[#This Row],[Status]]="Materia Prima"),Tarifold[[#This Row],[Proj. de V. No prox. mes]]*10,"-")</f>
        <v>-</v>
      </c>
      <c r="P130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30" s="24">
        <f>VLOOKUP(Tarifold[[#This Row],[Código]],Projeção[#All],15,FALSE)</f>
        <v>0</v>
      </c>
      <c r="R130" s="24">
        <f>VLOOKUP(Tarifold[[#This Row],[Código]],Projeção[#All],14,FALSE)</f>
        <v>0</v>
      </c>
      <c r="S130" s="24">
        <f>IFERROR(VLOOKUP(Tarifold[[#This Row],[Código]],Venda_mes[],2,FALSE),0)</f>
        <v>0</v>
      </c>
      <c r="T130" s="26" t="str">
        <f>IFERROR(Tarifold[[#This Row],[V. No mes]]/Tarifold[[#This Row],[Proj. de V. No mes]],"")</f>
        <v/>
      </c>
      <c r="U130" s="24">
        <f>VLOOKUP(Tarifold[[#This Row],[Código]],Projeção[#All],14,FALSE)+VLOOKUP(Tarifold[[#This Row],[Código]],Projeção[#All],13,FALSE)+VLOOKUP(Tarifold[[#This Row],[Código]],Projeção[#All],12,FALSE)</f>
        <v>0</v>
      </c>
      <c r="V130" s="24">
        <f>IFERROR(VLOOKUP(Tarifold[[#This Row],[Código]],Venda_3meses[],2,FALSE),0)</f>
        <v>0</v>
      </c>
      <c r="W130" s="26" t="str">
        <f>IFERROR(Tarifold[[#This Row],[V. 3 meses]]/Tarifold[[#This Row],[Proj. de V. 3 meses]],"")</f>
        <v/>
      </c>
      <c r="X130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30" s="24">
        <f>IFERROR(VLOOKUP(Tarifold[[#This Row],[Código]],Venda_12meses[],2,FALSE),0)</f>
        <v>0</v>
      </c>
      <c r="Z130" s="26" t="str">
        <f>IFERROR(Tarifold[[#This Row],[V. 12 meses]]/Tarifold[[#This Row],[Proj. de V. 12 meses]],"")</f>
        <v/>
      </c>
      <c r="AA130" s="22"/>
    </row>
    <row r="131" spans="1:27" x14ac:dyDescent="0.25">
      <c r="A131" s="22" t="str">
        <f>VLOOKUP(Tarifold[[#This Row],[Código]],BD_Produto[#All],7,FALSE)</f>
        <v>Fora de Linha</v>
      </c>
      <c r="B131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31" s="23">
        <v>33070754123</v>
      </c>
      <c r="D131" s="22" t="s">
        <v>1467</v>
      </c>
      <c r="E131" s="22" t="s">
        <v>2676</v>
      </c>
      <c r="F131" s="22" t="s">
        <v>2676</v>
      </c>
      <c r="G131" s="24"/>
      <c r="H131" s="25"/>
      <c r="I131" s="22"/>
      <c r="J131" s="24"/>
      <c r="K131" s="24" t="str">
        <f>IFERROR(VLOOKUP(Tarifold[[#This Row],[Código]],Importação!P:R,3,FALSE),"")</f>
        <v/>
      </c>
      <c r="L131" s="24">
        <f>IFERROR(VLOOKUP(Tarifold[[#This Row],[Código]],Saldo[],3,FALSE),0)</f>
        <v>0</v>
      </c>
      <c r="M131" s="24">
        <f>SUM(Tarifold[[#This Row],[Produção]:[Estoque]])</f>
        <v>0</v>
      </c>
      <c r="N131" s="24" t="str">
        <f>IFERROR(Tarifold[[#This Row],[Estoque+Importação]]/Tarifold[[#This Row],[Proj. de V. No prox. mes]],"Sem Projeção")</f>
        <v>Sem Projeção</v>
      </c>
      <c r="O131" s="24" t="str">
        <f>IF(OR(Tarifold[[#This Row],[Status]]="Em Linha",Tarifold[[#This Row],[Status]]="Componente",Tarifold[[#This Row],[Status]]="Materia Prima"),Tarifold[[#This Row],[Proj. de V. No prox. mes]]*10,"-")</f>
        <v>-</v>
      </c>
      <c r="P131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31" s="24">
        <f>VLOOKUP(Tarifold[[#This Row],[Código]],Projeção[#All],15,FALSE)</f>
        <v>0</v>
      </c>
      <c r="R131" s="24">
        <f>VLOOKUP(Tarifold[[#This Row],[Código]],Projeção[#All],14,FALSE)</f>
        <v>0</v>
      </c>
      <c r="S131" s="24">
        <f>IFERROR(VLOOKUP(Tarifold[[#This Row],[Código]],Venda_mes[],2,FALSE),0)</f>
        <v>0</v>
      </c>
      <c r="T131" s="26" t="str">
        <f>IFERROR(Tarifold[[#This Row],[V. No mes]]/Tarifold[[#This Row],[Proj. de V. No mes]],"")</f>
        <v/>
      </c>
      <c r="U131" s="24">
        <f>VLOOKUP(Tarifold[[#This Row],[Código]],Projeção[#All],14,FALSE)+VLOOKUP(Tarifold[[#This Row],[Código]],Projeção[#All],13,FALSE)+VLOOKUP(Tarifold[[#This Row],[Código]],Projeção[#All],12,FALSE)</f>
        <v>0</v>
      </c>
      <c r="V131" s="24">
        <f>IFERROR(VLOOKUP(Tarifold[[#This Row],[Código]],Venda_3meses[],2,FALSE),0)</f>
        <v>0</v>
      </c>
      <c r="W131" s="26" t="str">
        <f>IFERROR(Tarifold[[#This Row],[V. 3 meses]]/Tarifold[[#This Row],[Proj. de V. 3 meses]],"")</f>
        <v/>
      </c>
      <c r="X131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31" s="24">
        <f>IFERROR(VLOOKUP(Tarifold[[#This Row],[Código]],Venda_12meses[],2,FALSE),0)</f>
        <v>0</v>
      </c>
      <c r="Z131" s="26" t="str">
        <f>IFERROR(Tarifold[[#This Row],[V. 12 meses]]/Tarifold[[#This Row],[Proj. de V. 12 meses]],"")</f>
        <v/>
      </c>
      <c r="AA131" s="22"/>
    </row>
    <row r="132" spans="1:27" x14ac:dyDescent="0.25">
      <c r="A132" s="22" t="str">
        <f>VLOOKUP(Tarifold[[#This Row],[Código]],BD_Produto[#All],7,FALSE)</f>
        <v>Fora de Linha</v>
      </c>
      <c r="B132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32" s="23">
        <v>33070754131</v>
      </c>
      <c r="D132" s="22" t="s">
        <v>1468</v>
      </c>
      <c r="E132" s="22" t="s">
        <v>2676</v>
      </c>
      <c r="F132" s="22" t="s">
        <v>2676</v>
      </c>
      <c r="G132" s="24"/>
      <c r="H132" s="25"/>
      <c r="I132" s="22"/>
      <c r="J132" s="24"/>
      <c r="K132" s="24" t="str">
        <f>IFERROR(VLOOKUP(Tarifold[[#This Row],[Código]],Importação!P:R,3,FALSE),"")</f>
        <v/>
      </c>
      <c r="L132" s="24">
        <f>IFERROR(VLOOKUP(Tarifold[[#This Row],[Código]],Saldo[],3,FALSE),0)</f>
        <v>0</v>
      </c>
      <c r="M132" s="24">
        <f>SUM(Tarifold[[#This Row],[Produção]:[Estoque]])</f>
        <v>0</v>
      </c>
      <c r="N132" s="24" t="str">
        <f>IFERROR(Tarifold[[#This Row],[Estoque+Importação]]/Tarifold[[#This Row],[Proj. de V. No prox. mes]],"Sem Projeção")</f>
        <v>Sem Projeção</v>
      </c>
      <c r="O132" s="24" t="str">
        <f>IF(OR(Tarifold[[#This Row],[Status]]="Em Linha",Tarifold[[#This Row],[Status]]="Componente",Tarifold[[#This Row],[Status]]="Materia Prima"),Tarifold[[#This Row],[Proj. de V. No prox. mes]]*10,"-")</f>
        <v>-</v>
      </c>
      <c r="P132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32" s="24">
        <f>VLOOKUP(Tarifold[[#This Row],[Código]],Projeção[#All],15,FALSE)</f>
        <v>0</v>
      </c>
      <c r="R132" s="24">
        <f>VLOOKUP(Tarifold[[#This Row],[Código]],Projeção[#All],14,FALSE)</f>
        <v>0</v>
      </c>
      <c r="S132" s="24">
        <f>IFERROR(VLOOKUP(Tarifold[[#This Row],[Código]],Venda_mes[],2,FALSE),0)</f>
        <v>0</v>
      </c>
      <c r="T132" s="26" t="str">
        <f>IFERROR(Tarifold[[#This Row],[V. No mes]]/Tarifold[[#This Row],[Proj. de V. No mes]],"")</f>
        <v/>
      </c>
      <c r="U132" s="24">
        <f>VLOOKUP(Tarifold[[#This Row],[Código]],Projeção[#All],14,FALSE)+VLOOKUP(Tarifold[[#This Row],[Código]],Projeção[#All],13,FALSE)+VLOOKUP(Tarifold[[#This Row],[Código]],Projeção[#All],12,FALSE)</f>
        <v>0</v>
      </c>
      <c r="V132" s="24">
        <f>IFERROR(VLOOKUP(Tarifold[[#This Row],[Código]],Venda_3meses[],2,FALSE),0)</f>
        <v>0</v>
      </c>
      <c r="W132" s="26" t="str">
        <f>IFERROR(Tarifold[[#This Row],[V. 3 meses]]/Tarifold[[#This Row],[Proj. de V. 3 meses]],"")</f>
        <v/>
      </c>
      <c r="X132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32" s="24">
        <f>IFERROR(VLOOKUP(Tarifold[[#This Row],[Código]],Venda_12meses[],2,FALSE),0)</f>
        <v>0</v>
      </c>
      <c r="Z132" s="26" t="str">
        <f>IFERROR(Tarifold[[#This Row],[V. 12 meses]]/Tarifold[[#This Row],[Proj. de V. 12 meses]],"")</f>
        <v/>
      </c>
      <c r="AA132" s="22"/>
    </row>
    <row r="133" spans="1:27" x14ac:dyDescent="0.25">
      <c r="A133" s="22" t="str">
        <f>VLOOKUP(Tarifold[[#This Row],[Código]],BD_Produto[#All],7,FALSE)</f>
        <v>Fora de Linha</v>
      </c>
      <c r="B133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33" s="23">
        <v>33070754084</v>
      </c>
      <c r="D133" s="22" t="s">
        <v>1469</v>
      </c>
      <c r="E133" s="22" t="s">
        <v>2676</v>
      </c>
      <c r="F133" s="22" t="s">
        <v>2676</v>
      </c>
      <c r="G133" s="24"/>
      <c r="H133" s="25"/>
      <c r="I133" s="22"/>
      <c r="J133" s="24"/>
      <c r="K133" s="24" t="str">
        <f>IFERROR(VLOOKUP(Tarifold[[#This Row],[Código]],Importação!P:R,3,FALSE),"")</f>
        <v/>
      </c>
      <c r="L133" s="24">
        <f>IFERROR(VLOOKUP(Tarifold[[#This Row],[Código]],Saldo[],3,FALSE),0)</f>
        <v>0</v>
      </c>
      <c r="M133" s="24">
        <f>SUM(Tarifold[[#This Row],[Produção]:[Estoque]])</f>
        <v>0</v>
      </c>
      <c r="N133" s="24" t="str">
        <f>IFERROR(Tarifold[[#This Row],[Estoque+Importação]]/Tarifold[[#This Row],[Proj. de V. No prox. mes]],"Sem Projeção")</f>
        <v>Sem Projeção</v>
      </c>
      <c r="O133" s="24" t="str">
        <f>IF(OR(Tarifold[[#This Row],[Status]]="Em Linha",Tarifold[[#This Row],[Status]]="Componente",Tarifold[[#This Row],[Status]]="Materia Prima"),Tarifold[[#This Row],[Proj. de V. No prox. mes]]*10,"-")</f>
        <v>-</v>
      </c>
      <c r="P133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33" s="24">
        <f>VLOOKUP(Tarifold[[#This Row],[Código]],Projeção[#All],15,FALSE)</f>
        <v>0</v>
      </c>
      <c r="R133" s="24">
        <f>VLOOKUP(Tarifold[[#This Row],[Código]],Projeção[#All],14,FALSE)</f>
        <v>0</v>
      </c>
      <c r="S133" s="24">
        <f>IFERROR(VLOOKUP(Tarifold[[#This Row],[Código]],Venda_mes[],2,FALSE),0)</f>
        <v>0</v>
      </c>
      <c r="T133" s="26" t="str">
        <f>IFERROR(Tarifold[[#This Row],[V. No mes]]/Tarifold[[#This Row],[Proj. de V. No mes]],"")</f>
        <v/>
      </c>
      <c r="U133" s="24">
        <f>VLOOKUP(Tarifold[[#This Row],[Código]],Projeção[#All],14,FALSE)+VLOOKUP(Tarifold[[#This Row],[Código]],Projeção[#All],13,FALSE)+VLOOKUP(Tarifold[[#This Row],[Código]],Projeção[#All],12,FALSE)</f>
        <v>0</v>
      </c>
      <c r="V133" s="24">
        <f>IFERROR(VLOOKUP(Tarifold[[#This Row],[Código]],Venda_3meses[],2,FALSE),0)</f>
        <v>0</v>
      </c>
      <c r="W133" s="26" t="str">
        <f>IFERROR(Tarifold[[#This Row],[V. 3 meses]]/Tarifold[[#This Row],[Proj. de V. 3 meses]],"")</f>
        <v/>
      </c>
      <c r="X133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33" s="24">
        <f>IFERROR(VLOOKUP(Tarifold[[#This Row],[Código]],Venda_12meses[],2,FALSE),0)</f>
        <v>0</v>
      </c>
      <c r="Z133" s="26" t="str">
        <f>IFERROR(Tarifold[[#This Row],[V. 12 meses]]/Tarifold[[#This Row],[Proj. de V. 12 meses]],"")</f>
        <v/>
      </c>
      <c r="AA133" s="22"/>
    </row>
    <row r="134" spans="1:27" x14ac:dyDescent="0.25">
      <c r="A134" s="22" t="str">
        <f>VLOOKUP(Tarifold[[#This Row],[Código]],BD_Produto[#All],7,FALSE)</f>
        <v>Fora de Linha</v>
      </c>
      <c r="B134" s="22" t="str">
        <f>IF(OR(Tarifold[[#This Row],[Status]]="Em linha",Tarifold[[#This Row],[Status]]="Materia Prima",Tarifold[[#This Row],[Status]]="Componente"),"ok",IF(Tarifold[[#This Row],[Estoque+Importação]]&lt;1,"Tirar","ok"))</f>
        <v>Tirar</v>
      </c>
      <c r="C134" s="23">
        <v>33070754119</v>
      </c>
      <c r="D134" s="22" t="s">
        <v>1470</v>
      </c>
      <c r="E134" s="22" t="s">
        <v>2676</v>
      </c>
      <c r="F134" s="22" t="s">
        <v>2676</v>
      </c>
      <c r="G134" s="24"/>
      <c r="H134" s="25"/>
      <c r="I134" s="22"/>
      <c r="J134" s="24"/>
      <c r="K134" s="24" t="str">
        <f>IFERROR(VLOOKUP(Tarifold[[#This Row],[Código]],Importação!P:R,3,FALSE),"")</f>
        <v/>
      </c>
      <c r="L134" s="24">
        <f>IFERROR(VLOOKUP(Tarifold[[#This Row],[Código]],Saldo[],3,FALSE),0)</f>
        <v>0</v>
      </c>
      <c r="M134" s="24">
        <f>SUM(Tarifold[[#This Row],[Produção]:[Estoque]])</f>
        <v>0</v>
      </c>
      <c r="N134" s="24" t="str">
        <f>IFERROR(Tarifold[[#This Row],[Estoque+Importação]]/Tarifold[[#This Row],[Proj. de V. No prox. mes]],"Sem Projeção")</f>
        <v>Sem Projeção</v>
      </c>
      <c r="O134" s="24" t="str">
        <f>IF(OR(Tarifold[[#This Row],[Status]]="Em Linha",Tarifold[[#This Row],[Status]]="Componente",Tarifold[[#This Row],[Status]]="Materia Prima"),Tarifold[[#This Row],[Proj. de V. No prox. mes]]*10,"-")</f>
        <v>-</v>
      </c>
      <c r="P134" s="24">
        <f>IF(OR(Tarifold[[#This Row],[Status]]="Em Linha",Tarifold[[#This Row],[Status]]="Componente",Tarifold[[#This Row],[Status]]="Materia Prima"),Tarifold[[#This Row],[estoque 10 meses]]-Tarifold[[#This Row],[Estoque+Importação]],0)</f>
        <v>0</v>
      </c>
      <c r="Q134" s="24">
        <f>VLOOKUP(Tarifold[[#This Row],[Código]],Projeção[#All],15,FALSE)</f>
        <v>0</v>
      </c>
      <c r="R134" s="24">
        <f>VLOOKUP(Tarifold[[#This Row],[Código]],Projeção[#All],14,FALSE)</f>
        <v>0</v>
      </c>
      <c r="S134" s="24">
        <f>IFERROR(VLOOKUP(Tarifold[[#This Row],[Código]],Venda_mes[],2,FALSE),0)</f>
        <v>0</v>
      </c>
      <c r="T134" s="26" t="str">
        <f>IFERROR(Tarifold[[#This Row],[V. No mes]]/Tarifold[[#This Row],[Proj. de V. No mes]],"")</f>
        <v/>
      </c>
      <c r="U134" s="24">
        <f>VLOOKUP(Tarifold[[#This Row],[Código]],Projeção[#All],14,FALSE)+VLOOKUP(Tarifold[[#This Row],[Código]],Projeção[#All],13,FALSE)+VLOOKUP(Tarifold[[#This Row],[Código]],Projeção[#All],12,FALSE)</f>
        <v>0</v>
      </c>
      <c r="V134" s="24">
        <f>IFERROR(VLOOKUP(Tarifold[[#This Row],[Código]],Venda_3meses[],2,FALSE),0)</f>
        <v>0</v>
      </c>
      <c r="W134" s="26" t="str">
        <f>IFERROR(Tarifold[[#This Row],[V. 3 meses]]/Tarifold[[#This Row],[Proj. de V. 3 meses]],"")</f>
        <v/>
      </c>
      <c r="X134" s="24">
        <f>VLOOKUP(Tarifold[[#This Row],[Código]],Projeção[#All],14,FALSE)+VLOOKUP(Tarifold[[#This Row],[Código]],Projeção[#All],13,FALSE)+VLOOKUP(Tarifold[[#This Row],[Código]],Projeção[#All],12,FALSE)+VLOOKUP(Tarifold[[#This Row],[Código]],Projeção[#All],11,FALSE)+VLOOKUP(Tarifold[[#This Row],[Código]],Projeção[#All],10,FALSE)+VLOOKUP(Tarifold[[#This Row],[Código]],Projeção[#All],9,FALSE)+VLOOKUP(Tarifold[[#This Row],[Código]],Projeção[#All],8,FALSE)+VLOOKUP(Tarifold[[#This Row],[Código]],Projeção[#All],7,FALSE)+VLOOKUP(Tarifold[[#This Row],[Código]],Projeção[#All],6,FALSE)+VLOOKUP(Tarifold[[#This Row],[Código]],Projeção[#All],5,FALSE)+VLOOKUP(Tarifold[[#This Row],[Código]],Projeção[#All],4,FALSE)+VLOOKUP(Tarifold[[#This Row],[Código]],Projeção[#All],3,FALSE)</f>
        <v>0</v>
      </c>
      <c r="Y134" s="24">
        <f>IFERROR(VLOOKUP(Tarifold[[#This Row],[Código]],Venda_12meses[],2,FALSE),0)</f>
        <v>0</v>
      </c>
      <c r="Z134" s="26" t="str">
        <f>IFERROR(Tarifold[[#This Row],[V. 12 meses]]/Tarifold[[#This Row],[Proj. de V. 12 meses]],"")</f>
        <v/>
      </c>
      <c r="AA134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2:T2"/>
    <mergeCell ref="R3:R5"/>
    <mergeCell ref="S3:S5"/>
    <mergeCell ref="T3:T5"/>
    <mergeCell ref="Z3:Z5"/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B208D31-0A47-4B75-AA27-96FF7561CA8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T7:T134 W7:W134 Z7:Z134</xm:sqref>
        </x14:conditionalFormatting>
        <x14:conditionalFormatting xmlns:xm="http://schemas.microsoft.com/office/excel/2006/main">
          <x14:cfRule type="iconSet" priority="1" id="{A8D09E7E-460A-49A5-B464-2D7CC4FEE0D7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P8:P125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A74"/>
  <sheetViews>
    <sheetView zoomScale="70" zoomScaleNormal="70" workbookViewId="0">
      <pane xSplit="4" ySplit="6" topLeftCell="E7" activePane="bottomRight" state="frozen"/>
      <selection activeCell="Q3" sqref="Q3:Q5"/>
      <selection pane="topRight" activeCell="Q3" sqref="Q3:Q5"/>
      <selection pane="bottomLeft" activeCell="Q3" sqref="Q3:Q5"/>
      <selection pane="bottomRight" activeCell="C18" sqref="C18"/>
    </sheetView>
  </sheetViews>
  <sheetFormatPr defaultRowHeight="15" x14ac:dyDescent="0.25"/>
  <cols>
    <col min="1" max="1" width="13.42578125" bestFit="1" customWidth="1"/>
    <col min="2" max="2" width="7.28515625" bestFit="1" customWidth="1"/>
    <col min="3" max="3" width="15.42578125" bestFit="1" customWidth="1"/>
    <col min="4" max="4" width="80" bestFit="1" customWidth="1"/>
    <col min="5" max="6" width="19.7109375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6" width="9.7109375" customWidth="1"/>
    <col min="27" max="27" width="66.85546875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">
        <v>2835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22" t="str">
        <f>VLOOKUP(JK_Haubold[[#This Row],[Código]],BD_Produto[#All],7,FALSE)</f>
        <v>Fora de linha</v>
      </c>
      <c r="B7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7" s="23">
        <v>33070118000</v>
      </c>
      <c r="D7" s="22" t="s">
        <v>503</v>
      </c>
      <c r="E7" s="22" t="s">
        <v>2059</v>
      </c>
      <c r="F7" s="22" t="s">
        <v>2059</v>
      </c>
      <c r="G7" s="24"/>
      <c r="H7" s="25"/>
      <c r="J7" s="24"/>
      <c r="K7" s="24" t="str">
        <f>IFERROR(VLOOKUP(JK_Haubold[[#This Row],[Código]],Importação!P:R,3,FALSE),"")</f>
        <v/>
      </c>
      <c r="L7" s="24">
        <f>IFERROR(VLOOKUP(JK_Haubold[[#This Row],[Código]],Saldo[],3,FALSE),0)</f>
        <v>4</v>
      </c>
      <c r="M7" s="24">
        <f>SUM(JK_Haubold[[#This Row],[Produção]:[Estoque]])</f>
        <v>4</v>
      </c>
      <c r="N7" s="24" t="str">
        <f>IFERROR(JK_Haubold[[#This Row],[Estoque+Importação]]/JK_Haubold[[#This Row],[Proj. de V. No prox. mes]],"Sem Projeção")</f>
        <v>Sem Projeção</v>
      </c>
      <c r="O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7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7" s="75">
        <f>VLOOKUP(JK_Haubold[[#This Row],[Código]],Projeção[#All],15,FALSE)</f>
        <v>0</v>
      </c>
      <c r="R7" s="39">
        <f>VLOOKUP(JK_Haubold[[#This Row],[Código]],Projeção[#All],14,FALSE)</f>
        <v>0</v>
      </c>
      <c r="S7" s="39">
        <f>IFERROR(VLOOKUP(JK_Haubold[[#This Row],[Código]],Venda_mes[],2,FALSE),0)</f>
        <v>0</v>
      </c>
      <c r="T7" s="44" t="str">
        <f>IFERROR(JK_Haubold[[#This Row],[V. No mes]]/JK_Haubold[[#This Row],[Proj. de V. No mes]],"")</f>
        <v/>
      </c>
      <c r="U7" s="43">
        <f>VLOOKUP(JK_Haubold[[#This Row],[Código]],Projeção[#All],14,FALSE)+VLOOKUP(JK_Haubold[[#This Row],[Código]],Projeção[#All],13,FALSE)+VLOOKUP(JK_Haubold[[#This Row],[Código]],Projeção[#All],12,FALSE)</f>
        <v>0</v>
      </c>
      <c r="V7" s="39">
        <f>IFERROR(VLOOKUP(JK_Haubold[[#This Row],[Código]],Venda_3meses[],2,FALSE),0)</f>
        <v>0</v>
      </c>
      <c r="W7" s="44" t="str">
        <f>IFERROR(JK_Haubold[[#This Row],[V. 3 meses]]/JK_Haubold[[#This Row],[Proj. de V. 3 meses]],"")</f>
        <v/>
      </c>
      <c r="X7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7" s="39">
        <f>IFERROR(VLOOKUP(JK_Haubold[[#This Row],[Código]],Venda_12meses[],2,FALSE),0)</f>
        <v>0</v>
      </c>
      <c r="Z7" s="44" t="str">
        <f>IFERROR(JK_Haubold[[#This Row],[V. 12 meses]]/JK_Haubold[[#This Row],[Proj. de V. 12 meses]],"")</f>
        <v/>
      </c>
    </row>
    <row r="8" spans="1:27" x14ac:dyDescent="0.25">
      <c r="A8" s="22" t="str">
        <f>VLOOKUP(JK_Haubold[[#This Row],[Código]],BD_Produto[#All],7,FALSE)</f>
        <v>Fora de linha</v>
      </c>
      <c r="B8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8" s="23">
        <v>33070118001</v>
      </c>
      <c r="D8" s="22" t="s">
        <v>504</v>
      </c>
      <c r="E8" s="22" t="s">
        <v>2059</v>
      </c>
      <c r="F8" s="22" t="s">
        <v>2059</v>
      </c>
      <c r="G8" s="24"/>
      <c r="H8" s="25"/>
      <c r="I8" s="22"/>
      <c r="J8" s="24"/>
      <c r="K8" s="24" t="str">
        <f>IFERROR(VLOOKUP(JK_Haubold[[#This Row],[Código]],Importação!P:R,3,FALSE),"")</f>
        <v/>
      </c>
      <c r="L8" s="24">
        <f>IFERROR(VLOOKUP(JK_Haubold[[#This Row],[Código]],Saldo[],3,FALSE),0)</f>
        <v>4</v>
      </c>
      <c r="M8" s="24">
        <f>SUM(JK_Haubold[[#This Row],[Produção]:[Estoque]])</f>
        <v>4</v>
      </c>
      <c r="N8" s="24" t="str">
        <f>IFERROR(JK_Haubold[[#This Row],[Estoque+Importação]]/JK_Haubold[[#This Row],[Proj. de V. No prox. mes]],"Sem Projeção")</f>
        <v>Sem Projeção</v>
      </c>
      <c r="O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8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8" s="75">
        <f>VLOOKUP(JK_Haubold[[#This Row],[Código]],Projeção[#All],15,FALSE)</f>
        <v>0</v>
      </c>
      <c r="R8" s="39">
        <f>VLOOKUP(JK_Haubold[[#This Row],[Código]],Projeção[#All],14,FALSE)</f>
        <v>0</v>
      </c>
      <c r="S8" s="39">
        <f>IFERROR(VLOOKUP(JK_Haubold[[#This Row],[Código]],Venda_mes[],2,FALSE),0)</f>
        <v>0</v>
      </c>
      <c r="T8" s="44" t="str">
        <f>IFERROR(JK_Haubold[[#This Row],[V. No mes]]/JK_Haubold[[#This Row],[Proj. de V. No mes]],"")</f>
        <v/>
      </c>
      <c r="U8" s="43">
        <f>VLOOKUP(JK_Haubold[[#This Row],[Código]],Projeção[#All],14,FALSE)+VLOOKUP(JK_Haubold[[#This Row],[Código]],Projeção[#All],13,FALSE)+VLOOKUP(JK_Haubold[[#This Row],[Código]],Projeção[#All],12,FALSE)</f>
        <v>0</v>
      </c>
      <c r="V8" s="39">
        <f>IFERROR(VLOOKUP(JK_Haubold[[#This Row],[Código]],Venda_3meses[],2,FALSE),0)</f>
        <v>0</v>
      </c>
      <c r="W8" s="44" t="str">
        <f>IFERROR(JK_Haubold[[#This Row],[V. 3 meses]]/JK_Haubold[[#This Row],[Proj. de V. 3 meses]],"")</f>
        <v/>
      </c>
      <c r="X8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8" s="39">
        <f>IFERROR(VLOOKUP(JK_Haubold[[#This Row],[Código]],Venda_12meses[],2,FALSE),0)</f>
        <v>0</v>
      </c>
      <c r="Z8" s="44" t="str">
        <f>IFERROR(JK_Haubold[[#This Row],[V. 12 meses]]/JK_Haubold[[#This Row],[Proj. de V. 12 meses]],"")</f>
        <v/>
      </c>
      <c r="AA8" s="22"/>
    </row>
    <row r="9" spans="1:27" x14ac:dyDescent="0.25">
      <c r="A9" s="22" t="str">
        <f>VLOOKUP(JK_Haubold[[#This Row],[Código]],BD_Produto[#All],7,FALSE)</f>
        <v>Fora de linha</v>
      </c>
      <c r="B9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9" s="23">
        <v>33070118002</v>
      </c>
      <c r="D9" s="22" t="s">
        <v>505</v>
      </c>
      <c r="E9" s="22" t="s">
        <v>1677</v>
      </c>
      <c r="F9" s="22" t="s">
        <v>1677</v>
      </c>
      <c r="G9" s="24"/>
      <c r="H9" s="25"/>
      <c r="I9" s="22"/>
      <c r="J9" s="24"/>
      <c r="K9" s="24" t="str">
        <f>IFERROR(VLOOKUP(JK_Haubold[[#This Row],[Código]],Importação!P:R,3,FALSE),"")</f>
        <v/>
      </c>
      <c r="L9" s="24">
        <f>IFERROR(VLOOKUP(JK_Haubold[[#This Row],[Código]],Saldo[],3,FALSE),0)</f>
        <v>4</v>
      </c>
      <c r="M9" s="24">
        <f>SUM(JK_Haubold[[#This Row],[Produção]:[Estoque]])</f>
        <v>4</v>
      </c>
      <c r="N9" s="24" t="str">
        <f>IFERROR(JK_Haubold[[#This Row],[Estoque+Importação]]/JK_Haubold[[#This Row],[Proj. de V. No prox. mes]],"Sem Projeção")</f>
        <v>Sem Projeção</v>
      </c>
      <c r="O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9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9" s="75">
        <f>VLOOKUP(JK_Haubold[[#This Row],[Código]],Projeção[#All],15,FALSE)</f>
        <v>0</v>
      </c>
      <c r="R9" s="39">
        <f>VLOOKUP(JK_Haubold[[#This Row],[Código]],Projeção[#All],14,FALSE)</f>
        <v>0</v>
      </c>
      <c r="S9" s="39">
        <f>IFERROR(VLOOKUP(JK_Haubold[[#This Row],[Código]],Venda_mes[],2,FALSE),0)</f>
        <v>0</v>
      </c>
      <c r="T9" s="44" t="str">
        <f>IFERROR(JK_Haubold[[#This Row],[V. No mes]]/JK_Haubold[[#This Row],[Proj. de V. No mes]],"")</f>
        <v/>
      </c>
      <c r="U9" s="43">
        <f>VLOOKUP(JK_Haubold[[#This Row],[Código]],Projeção[#All],14,FALSE)+VLOOKUP(JK_Haubold[[#This Row],[Código]],Projeção[#All],13,FALSE)+VLOOKUP(JK_Haubold[[#This Row],[Código]],Projeção[#All],12,FALSE)</f>
        <v>0</v>
      </c>
      <c r="V9" s="39">
        <f>IFERROR(VLOOKUP(JK_Haubold[[#This Row],[Código]],Venda_3meses[],2,FALSE),0)</f>
        <v>0</v>
      </c>
      <c r="W9" s="44" t="str">
        <f>IFERROR(JK_Haubold[[#This Row],[V. 3 meses]]/JK_Haubold[[#This Row],[Proj. de V. 3 meses]],"")</f>
        <v/>
      </c>
      <c r="X9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9" s="39">
        <f>IFERROR(VLOOKUP(JK_Haubold[[#This Row],[Código]],Venda_12meses[],2,FALSE),0)</f>
        <v>0</v>
      </c>
      <c r="Z9" s="44" t="str">
        <f>IFERROR(JK_Haubold[[#This Row],[V. 12 meses]]/JK_Haubold[[#This Row],[Proj. de V. 12 meses]],"")</f>
        <v/>
      </c>
      <c r="AA9" s="22"/>
    </row>
    <row r="10" spans="1:27" x14ac:dyDescent="0.25">
      <c r="A10" s="22" t="str">
        <f>VLOOKUP(JK_Haubold[[#This Row],[Código]],BD_Produto[#All],7,FALSE)</f>
        <v>Fora de linha</v>
      </c>
      <c r="B10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0" s="23">
        <v>33070518003</v>
      </c>
      <c r="D10" s="22" t="s">
        <v>565</v>
      </c>
      <c r="E10" s="22" t="s">
        <v>1680</v>
      </c>
      <c r="F10" s="22" t="s">
        <v>1680</v>
      </c>
      <c r="G10" s="24"/>
      <c r="H10" s="25"/>
      <c r="I10" s="22"/>
      <c r="J10" s="24"/>
      <c r="K10" s="24" t="str">
        <f>IFERROR(VLOOKUP(JK_Haubold[[#This Row],[Código]],Importação!P:R,3,FALSE),"")</f>
        <v/>
      </c>
      <c r="L10" s="24">
        <f>IFERROR(VLOOKUP(JK_Haubold[[#This Row],[Código]],Saldo[],3,FALSE),0)</f>
        <v>4</v>
      </c>
      <c r="M10" s="24">
        <f>SUM(JK_Haubold[[#This Row],[Produção]:[Estoque]])</f>
        <v>4</v>
      </c>
      <c r="N10" s="24" t="str">
        <f>IFERROR(JK_Haubold[[#This Row],[Estoque+Importação]]/JK_Haubold[[#This Row],[Proj. de V. No prox. mes]],"Sem Projeção")</f>
        <v>Sem Projeção</v>
      </c>
      <c r="O1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0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0" s="75">
        <f>VLOOKUP(JK_Haubold[[#This Row],[Código]],Projeção[#All],15,FALSE)</f>
        <v>0</v>
      </c>
      <c r="R10" s="39">
        <f>VLOOKUP(JK_Haubold[[#This Row],[Código]],Projeção[#All],14,FALSE)</f>
        <v>0</v>
      </c>
      <c r="S10" s="39">
        <f>IFERROR(VLOOKUP(JK_Haubold[[#This Row],[Código]],Venda_mes[],2,FALSE),0)</f>
        <v>0</v>
      </c>
      <c r="T10" s="44" t="str">
        <f>IFERROR(JK_Haubold[[#This Row],[V. No mes]]/JK_Haubold[[#This Row],[Proj. de V. No mes]],"")</f>
        <v/>
      </c>
      <c r="U10" s="43">
        <f>VLOOKUP(JK_Haubold[[#This Row],[Código]],Projeção[#All],14,FALSE)+VLOOKUP(JK_Haubold[[#This Row],[Código]],Projeção[#All],13,FALSE)+VLOOKUP(JK_Haubold[[#This Row],[Código]],Projeção[#All],12,FALSE)</f>
        <v>0</v>
      </c>
      <c r="V10" s="39">
        <f>IFERROR(VLOOKUP(JK_Haubold[[#This Row],[Código]],Venda_3meses[],2,FALSE),0)</f>
        <v>0</v>
      </c>
      <c r="W10" s="44" t="str">
        <f>IFERROR(JK_Haubold[[#This Row],[V. 3 meses]]/JK_Haubold[[#This Row],[Proj. de V. 3 meses]],"")</f>
        <v/>
      </c>
      <c r="X10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0" s="39">
        <f>IFERROR(VLOOKUP(JK_Haubold[[#This Row],[Código]],Venda_12meses[],2,FALSE),0)</f>
        <v>0</v>
      </c>
      <c r="Z10" s="44" t="str">
        <f>IFERROR(JK_Haubold[[#This Row],[V. 12 meses]]/JK_Haubold[[#This Row],[Proj. de V. 12 meses]],"")</f>
        <v/>
      </c>
      <c r="AA10" s="22"/>
    </row>
    <row r="11" spans="1:27" x14ac:dyDescent="0.25">
      <c r="A11" s="22" t="str">
        <f>VLOOKUP(JK_Haubold[[#This Row],[Código]],BD_Produto[#All],7,FALSE)</f>
        <v>Fora de linha</v>
      </c>
      <c r="B11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1" s="23">
        <v>33070518004</v>
      </c>
      <c r="D11" s="22" t="s">
        <v>566</v>
      </c>
      <c r="E11" s="22" t="s">
        <v>1680</v>
      </c>
      <c r="F11" s="22" t="s">
        <v>1680</v>
      </c>
      <c r="G11" s="24"/>
      <c r="H11" s="25"/>
      <c r="I11" s="22"/>
      <c r="J11" s="24"/>
      <c r="K11" s="24" t="str">
        <f>IFERROR(VLOOKUP(JK_Haubold[[#This Row],[Código]],Importação!P:R,3,FALSE),"")</f>
        <v/>
      </c>
      <c r="L11" s="24">
        <f>IFERROR(VLOOKUP(JK_Haubold[[#This Row],[Código]],Saldo[],3,FALSE),0)</f>
        <v>3</v>
      </c>
      <c r="M11" s="24">
        <f>SUM(JK_Haubold[[#This Row],[Produção]:[Estoque]])</f>
        <v>3</v>
      </c>
      <c r="N11" s="24" t="str">
        <f>IFERROR(JK_Haubold[[#This Row],[Estoque+Importação]]/JK_Haubold[[#This Row],[Proj. de V. No prox. mes]],"Sem Projeção")</f>
        <v>Sem Projeção</v>
      </c>
      <c r="O1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1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1" s="75">
        <f>VLOOKUP(JK_Haubold[[#This Row],[Código]],Projeção[#All],15,FALSE)</f>
        <v>0</v>
      </c>
      <c r="R11" s="39">
        <f>VLOOKUP(JK_Haubold[[#This Row],[Código]],Projeção[#All],14,FALSE)</f>
        <v>0</v>
      </c>
      <c r="S11" s="39">
        <f>IFERROR(VLOOKUP(JK_Haubold[[#This Row],[Código]],Venda_mes[],2,FALSE),0)</f>
        <v>0</v>
      </c>
      <c r="T11" s="44" t="str">
        <f>IFERROR(JK_Haubold[[#This Row],[V. No mes]]/JK_Haubold[[#This Row],[Proj. de V. No mes]],"")</f>
        <v/>
      </c>
      <c r="U11" s="43">
        <f>VLOOKUP(JK_Haubold[[#This Row],[Código]],Projeção[#All],14,FALSE)+VLOOKUP(JK_Haubold[[#This Row],[Código]],Projeção[#All],13,FALSE)+VLOOKUP(JK_Haubold[[#This Row],[Código]],Projeção[#All],12,FALSE)</f>
        <v>0</v>
      </c>
      <c r="V11" s="39">
        <f>IFERROR(VLOOKUP(JK_Haubold[[#This Row],[Código]],Venda_3meses[],2,FALSE),0)</f>
        <v>0</v>
      </c>
      <c r="W11" s="44" t="str">
        <f>IFERROR(JK_Haubold[[#This Row],[V. 3 meses]]/JK_Haubold[[#This Row],[Proj. de V. 3 meses]],"")</f>
        <v/>
      </c>
      <c r="X11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1" s="39">
        <f>IFERROR(VLOOKUP(JK_Haubold[[#This Row],[Código]],Venda_12meses[],2,FALSE),0)</f>
        <v>0</v>
      </c>
      <c r="Z11" s="44" t="str">
        <f>IFERROR(JK_Haubold[[#This Row],[V. 12 meses]]/JK_Haubold[[#This Row],[Proj. de V. 12 meses]],"")</f>
        <v/>
      </c>
      <c r="AA11" s="22"/>
    </row>
    <row r="12" spans="1:27" x14ac:dyDescent="0.25">
      <c r="A12" s="22" t="str">
        <f>VLOOKUP(JK_Haubold[[#This Row],[Código]],BD_Produto[#All],7,FALSE)</f>
        <v>Fora de linha</v>
      </c>
      <c r="B12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2" s="23">
        <v>33070518005</v>
      </c>
      <c r="D12" s="22" t="s">
        <v>567</v>
      </c>
      <c r="E12" s="22" t="s">
        <v>1680</v>
      </c>
      <c r="F12" s="22" t="s">
        <v>1680</v>
      </c>
      <c r="G12" s="24"/>
      <c r="H12" s="25"/>
      <c r="I12" s="22"/>
      <c r="J12" s="24"/>
      <c r="K12" s="24" t="str">
        <f>IFERROR(VLOOKUP(JK_Haubold[[#This Row],[Código]],Importação!P:R,3,FALSE),"")</f>
        <v/>
      </c>
      <c r="L12" s="24">
        <f>IFERROR(VLOOKUP(JK_Haubold[[#This Row],[Código]],Saldo[],3,FALSE),0)</f>
        <v>4</v>
      </c>
      <c r="M12" s="24">
        <f>SUM(JK_Haubold[[#This Row],[Produção]:[Estoque]])</f>
        <v>4</v>
      </c>
      <c r="N12" s="24" t="str">
        <f>IFERROR(JK_Haubold[[#This Row],[Estoque+Importação]]/JK_Haubold[[#This Row],[Proj. de V. No prox. mes]],"Sem Projeção")</f>
        <v>Sem Projeção</v>
      </c>
      <c r="O1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2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2" s="75">
        <f>VLOOKUP(JK_Haubold[[#This Row],[Código]],Projeção[#All],15,FALSE)</f>
        <v>0</v>
      </c>
      <c r="R12" s="39">
        <f>VLOOKUP(JK_Haubold[[#This Row],[Código]],Projeção[#All],14,FALSE)</f>
        <v>0</v>
      </c>
      <c r="S12" s="39">
        <f>IFERROR(VLOOKUP(JK_Haubold[[#This Row],[Código]],Venda_mes[],2,FALSE),0)</f>
        <v>0</v>
      </c>
      <c r="T12" s="44" t="str">
        <f>IFERROR(JK_Haubold[[#This Row],[V. No mes]]/JK_Haubold[[#This Row],[Proj. de V. No mes]],"")</f>
        <v/>
      </c>
      <c r="U12" s="43">
        <f>VLOOKUP(JK_Haubold[[#This Row],[Código]],Projeção[#All],14,FALSE)+VLOOKUP(JK_Haubold[[#This Row],[Código]],Projeção[#All],13,FALSE)+VLOOKUP(JK_Haubold[[#This Row],[Código]],Projeção[#All],12,FALSE)</f>
        <v>0</v>
      </c>
      <c r="V12" s="39">
        <f>IFERROR(VLOOKUP(JK_Haubold[[#This Row],[Código]],Venda_3meses[],2,FALSE),0)</f>
        <v>0</v>
      </c>
      <c r="W12" s="44" t="str">
        <f>IFERROR(JK_Haubold[[#This Row],[V. 3 meses]]/JK_Haubold[[#This Row],[Proj. de V. 3 meses]],"")</f>
        <v/>
      </c>
      <c r="X12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2" s="39">
        <f>IFERROR(VLOOKUP(JK_Haubold[[#This Row],[Código]],Venda_12meses[],2,FALSE),0)</f>
        <v>0</v>
      </c>
      <c r="Z12" s="44" t="str">
        <f>IFERROR(JK_Haubold[[#This Row],[V. 12 meses]]/JK_Haubold[[#This Row],[Proj. de V. 12 meses]],"")</f>
        <v/>
      </c>
      <c r="AA12" s="22"/>
    </row>
    <row r="13" spans="1:27" x14ac:dyDescent="0.25">
      <c r="A13" s="22" t="str">
        <f>VLOOKUP(JK_Haubold[[#This Row],[Código]],BD_Produto[#All],7,FALSE)</f>
        <v>Fora de linha</v>
      </c>
      <c r="B13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3" s="23">
        <v>33070118007</v>
      </c>
      <c r="D13" s="22" t="s">
        <v>506</v>
      </c>
      <c r="E13" s="22" t="s">
        <v>2059</v>
      </c>
      <c r="F13" s="22" t="s">
        <v>2059</v>
      </c>
      <c r="G13" s="24"/>
      <c r="H13" s="25"/>
      <c r="I13" s="22"/>
      <c r="J13" s="24"/>
      <c r="K13" s="24" t="str">
        <f>IFERROR(VLOOKUP(JK_Haubold[[#This Row],[Código]],Importação!P:R,3,FALSE),"")</f>
        <v/>
      </c>
      <c r="L13" s="24">
        <f>IFERROR(VLOOKUP(JK_Haubold[[#This Row],[Código]],Saldo[],3,FALSE),0)</f>
        <v>4</v>
      </c>
      <c r="M13" s="24">
        <f>SUM(JK_Haubold[[#This Row],[Produção]:[Estoque]])</f>
        <v>4</v>
      </c>
      <c r="N13" s="24" t="str">
        <f>IFERROR(JK_Haubold[[#This Row],[Estoque+Importação]]/JK_Haubold[[#This Row],[Proj. de V. No prox. mes]],"Sem Projeção")</f>
        <v>Sem Projeção</v>
      </c>
      <c r="O1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3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3" s="75">
        <f>VLOOKUP(JK_Haubold[[#This Row],[Código]],Projeção[#All],15,FALSE)</f>
        <v>0</v>
      </c>
      <c r="R13" s="39">
        <f>VLOOKUP(JK_Haubold[[#This Row],[Código]],Projeção[#All],14,FALSE)</f>
        <v>0</v>
      </c>
      <c r="S13" s="39">
        <f>IFERROR(VLOOKUP(JK_Haubold[[#This Row],[Código]],Venda_mes[],2,FALSE),0)</f>
        <v>0</v>
      </c>
      <c r="T13" s="44" t="str">
        <f>IFERROR(JK_Haubold[[#This Row],[V. No mes]]/JK_Haubold[[#This Row],[Proj. de V. No mes]],"")</f>
        <v/>
      </c>
      <c r="U13" s="43">
        <f>VLOOKUP(JK_Haubold[[#This Row],[Código]],Projeção[#All],14,FALSE)+VLOOKUP(JK_Haubold[[#This Row],[Código]],Projeção[#All],13,FALSE)+VLOOKUP(JK_Haubold[[#This Row],[Código]],Projeção[#All],12,FALSE)</f>
        <v>0</v>
      </c>
      <c r="V13" s="39">
        <f>IFERROR(VLOOKUP(JK_Haubold[[#This Row],[Código]],Venda_3meses[],2,FALSE),0)</f>
        <v>0</v>
      </c>
      <c r="W13" s="44" t="str">
        <f>IFERROR(JK_Haubold[[#This Row],[V. 3 meses]]/JK_Haubold[[#This Row],[Proj. de V. 3 meses]],"")</f>
        <v/>
      </c>
      <c r="X13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3" s="39">
        <f>IFERROR(VLOOKUP(JK_Haubold[[#This Row],[Código]],Venda_12meses[],2,FALSE),0)</f>
        <v>0</v>
      </c>
      <c r="Z13" s="44" t="str">
        <f>IFERROR(JK_Haubold[[#This Row],[V. 12 meses]]/JK_Haubold[[#This Row],[Proj. de V. 12 meses]],"")</f>
        <v/>
      </c>
      <c r="AA13" s="22"/>
    </row>
    <row r="14" spans="1:27" x14ac:dyDescent="0.25">
      <c r="A14" s="22" t="str">
        <f>VLOOKUP(JK_Haubold[[#This Row],[Código]],BD_Produto[#All],7,FALSE)</f>
        <v>Fora de linha</v>
      </c>
      <c r="B14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4" s="23">
        <v>33070118008</v>
      </c>
      <c r="D14" s="22" t="s">
        <v>507</v>
      </c>
      <c r="E14" s="22" t="s">
        <v>2058</v>
      </c>
      <c r="F14" s="22" t="s">
        <v>2058</v>
      </c>
      <c r="G14" s="24"/>
      <c r="H14" s="25"/>
      <c r="I14" s="22"/>
      <c r="J14" s="24"/>
      <c r="K14" s="24" t="str">
        <f>IFERROR(VLOOKUP(JK_Haubold[[#This Row],[Código]],Importação!P:R,3,FALSE),"")</f>
        <v/>
      </c>
      <c r="L14" s="24">
        <f>IFERROR(VLOOKUP(JK_Haubold[[#This Row],[Código]],Saldo[],3,FALSE),0)</f>
        <v>4</v>
      </c>
      <c r="M14" s="24">
        <f>SUM(JK_Haubold[[#This Row],[Produção]:[Estoque]])</f>
        <v>4</v>
      </c>
      <c r="N14" s="24" t="str">
        <f>IFERROR(JK_Haubold[[#This Row],[Estoque+Importação]]/JK_Haubold[[#This Row],[Proj. de V. No prox. mes]],"Sem Projeção")</f>
        <v>Sem Projeção</v>
      </c>
      <c r="O1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4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4" s="75">
        <f>VLOOKUP(JK_Haubold[[#This Row],[Código]],Projeção[#All],15,FALSE)</f>
        <v>0</v>
      </c>
      <c r="R14" s="39">
        <f>VLOOKUP(JK_Haubold[[#This Row],[Código]],Projeção[#All],14,FALSE)</f>
        <v>0</v>
      </c>
      <c r="S14" s="39">
        <f>IFERROR(VLOOKUP(JK_Haubold[[#This Row],[Código]],Venda_mes[],2,FALSE),0)</f>
        <v>0</v>
      </c>
      <c r="T14" s="44" t="str">
        <f>IFERROR(JK_Haubold[[#This Row],[V. No mes]]/JK_Haubold[[#This Row],[Proj. de V. No mes]],"")</f>
        <v/>
      </c>
      <c r="U14" s="43">
        <f>VLOOKUP(JK_Haubold[[#This Row],[Código]],Projeção[#All],14,FALSE)+VLOOKUP(JK_Haubold[[#This Row],[Código]],Projeção[#All],13,FALSE)+VLOOKUP(JK_Haubold[[#This Row],[Código]],Projeção[#All],12,FALSE)</f>
        <v>0</v>
      </c>
      <c r="V14" s="39">
        <f>IFERROR(VLOOKUP(JK_Haubold[[#This Row],[Código]],Venda_3meses[],2,FALSE),0)</f>
        <v>0</v>
      </c>
      <c r="W14" s="44" t="str">
        <f>IFERROR(JK_Haubold[[#This Row],[V. 3 meses]]/JK_Haubold[[#This Row],[Proj. de V. 3 meses]],"")</f>
        <v/>
      </c>
      <c r="X14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4" s="39">
        <f>IFERROR(VLOOKUP(JK_Haubold[[#This Row],[Código]],Venda_12meses[],2,FALSE),0)</f>
        <v>0</v>
      </c>
      <c r="Z14" s="44" t="str">
        <f>IFERROR(JK_Haubold[[#This Row],[V. 12 meses]]/JK_Haubold[[#This Row],[Proj. de V. 12 meses]],"")</f>
        <v/>
      </c>
      <c r="AA14" s="22"/>
    </row>
    <row r="15" spans="1:27" x14ac:dyDescent="0.25">
      <c r="A15" s="22" t="str">
        <f>VLOOKUP(JK_Haubold[[#This Row],[Código]],BD_Produto[#All],7,FALSE)</f>
        <v>Fora de linha</v>
      </c>
      <c r="B15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5" s="23">
        <v>33070518043</v>
      </c>
      <c r="D15" s="22" t="s">
        <v>578</v>
      </c>
      <c r="E15" s="22" t="s">
        <v>1677</v>
      </c>
      <c r="F15" s="22" t="s">
        <v>1677</v>
      </c>
      <c r="G15" s="24"/>
      <c r="H15" s="25"/>
      <c r="I15" s="22"/>
      <c r="J15" s="24"/>
      <c r="K15" s="24" t="str">
        <f>IFERROR(VLOOKUP(JK_Haubold[[#This Row],[Código]],Importação!P:R,3,FALSE),"")</f>
        <v/>
      </c>
      <c r="L15" s="24">
        <f>IFERROR(VLOOKUP(JK_Haubold[[#This Row],[Código]],Saldo[],3,FALSE),0)</f>
        <v>4</v>
      </c>
      <c r="M15" s="24">
        <f>SUM(JK_Haubold[[#This Row],[Produção]:[Estoque]])</f>
        <v>4</v>
      </c>
      <c r="N15" s="24" t="str">
        <f>IFERROR(JK_Haubold[[#This Row],[Estoque+Importação]]/JK_Haubold[[#This Row],[Proj. de V. No prox. mes]],"Sem Projeção")</f>
        <v>Sem Projeção</v>
      </c>
      <c r="O15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5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5" s="75">
        <f>VLOOKUP(JK_Haubold[[#This Row],[Código]],Projeção[#All],15,FALSE)</f>
        <v>0</v>
      </c>
      <c r="R15" s="39">
        <f>VLOOKUP(JK_Haubold[[#This Row],[Código]],Projeção[#All],14,FALSE)</f>
        <v>0</v>
      </c>
      <c r="S15" s="39">
        <f>IFERROR(VLOOKUP(JK_Haubold[[#This Row],[Código]],Venda_mes[],2,FALSE),0)</f>
        <v>0</v>
      </c>
      <c r="T15" s="44" t="str">
        <f>IFERROR(JK_Haubold[[#This Row],[V. No mes]]/JK_Haubold[[#This Row],[Proj. de V. No mes]],"")</f>
        <v/>
      </c>
      <c r="U15" s="43">
        <f>VLOOKUP(JK_Haubold[[#This Row],[Código]],Projeção[#All],14,FALSE)+VLOOKUP(JK_Haubold[[#This Row],[Código]],Projeção[#All],13,FALSE)+VLOOKUP(JK_Haubold[[#This Row],[Código]],Projeção[#All],12,FALSE)</f>
        <v>0</v>
      </c>
      <c r="V15" s="39">
        <f>IFERROR(VLOOKUP(JK_Haubold[[#This Row],[Código]],Venda_3meses[],2,FALSE),0)</f>
        <v>0</v>
      </c>
      <c r="W15" s="44" t="str">
        <f>IFERROR(JK_Haubold[[#This Row],[V. 3 meses]]/JK_Haubold[[#This Row],[Proj. de V. 3 meses]],"")</f>
        <v/>
      </c>
      <c r="X15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5" s="39">
        <f>IFERROR(VLOOKUP(JK_Haubold[[#This Row],[Código]],Venda_12meses[],2,FALSE),0)</f>
        <v>0</v>
      </c>
      <c r="Z15" s="44" t="str">
        <f>IFERROR(JK_Haubold[[#This Row],[V. 12 meses]]/JK_Haubold[[#This Row],[Proj. de V. 12 meses]],"")</f>
        <v/>
      </c>
      <c r="AA15" s="22"/>
    </row>
    <row r="16" spans="1:27" x14ac:dyDescent="0.25">
      <c r="A16" s="22" t="str">
        <f>VLOOKUP(JK_Haubold[[#This Row],[Código]],BD_Produto[#All],7,FALSE)</f>
        <v>Fora de linha</v>
      </c>
      <c r="B16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6" s="23">
        <v>33070518044</v>
      </c>
      <c r="D16" s="22" t="s">
        <v>579</v>
      </c>
      <c r="E16" s="22" t="s">
        <v>1677</v>
      </c>
      <c r="F16" s="22" t="s">
        <v>1677</v>
      </c>
      <c r="G16" s="24"/>
      <c r="H16" s="25"/>
      <c r="I16" s="22"/>
      <c r="J16" s="24"/>
      <c r="K16" s="24" t="str">
        <f>IFERROR(VLOOKUP(JK_Haubold[[#This Row],[Código]],Importação!P:R,3,FALSE),"")</f>
        <v/>
      </c>
      <c r="L16" s="24">
        <f>IFERROR(VLOOKUP(JK_Haubold[[#This Row],[Código]],Saldo[],3,FALSE),0)</f>
        <v>4</v>
      </c>
      <c r="M16" s="24">
        <f>SUM(JK_Haubold[[#This Row],[Produção]:[Estoque]])</f>
        <v>4</v>
      </c>
      <c r="N16" s="24" t="str">
        <f>IFERROR(JK_Haubold[[#This Row],[Estoque+Importação]]/JK_Haubold[[#This Row],[Proj. de V. No prox. mes]],"Sem Projeção")</f>
        <v>Sem Projeção</v>
      </c>
      <c r="O16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6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6" s="75">
        <f>VLOOKUP(JK_Haubold[[#This Row],[Código]],Projeção[#All],15,FALSE)</f>
        <v>0</v>
      </c>
      <c r="R16" s="39">
        <f>VLOOKUP(JK_Haubold[[#This Row],[Código]],Projeção[#All],14,FALSE)</f>
        <v>0</v>
      </c>
      <c r="S16" s="39">
        <f>IFERROR(VLOOKUP(JK_Haubold[[#This Row],[Código]],Venda_mes[],2,FALSE),0)</f>
        <v>0</v>
      </c>
      <c r="T16" s="44" t="str">
        <f>IFERROR(JK_Haubold[[#This Row],[V. No mes]]/JK_Haubold[[#This Row],[Proj. de V. No mes]],"")</f>
        <v/>
      </c>
      <c r="U16" s="43">
        <f>VLOOKUP(JK_Haubold[[#This Row],[Código]],Projeção[#All],14,FALSE)+VLOOKUP(JK_Haubold[[#This Row],[Código]],Projeção[#All],13,FALSE)+VLOOKUP(JK_Haubold[[#This Row],[Código]],Projeção[#All],12,FALSE)</f>
        <v>0</v>
      </c>
      <c r="V16" s="39">
        <f>IFERROR(VLOOKUP(JK_Haubold[[#This Row],[Código]],Venda_3meses[],2,FALSE),0)</f>
        <v>0</v>
      </c>
      <c r="W16" s="44" t="str">
        <f>IFERROR(JK_Haubold[[#This Row],[V. 3 meses]]/JK_Haubold[[#This Row],[Proj. de V. 3 meses]],"")</f>
        <v/>
      </c>
      <c r="X16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6" s="39">
        <f>IFERROR(VLOOKUP(JK_Haubold[[#This Row],[Código]],Venda_12meses[],2,FALSE),0)</f>
        <v>0</v>
      </c>
      <c r="Z16" s="44" t="str">
        <f>IFERROR(JK_Haubold[[#This Row],[V. 12 meses]]/JK_Haubold[[#This Row],[Proj. de V. 12 meses]],"")</f>
        <v/>
      </c>
      <c r="AA16" s="22"/>
    </row>
    <row r="17" spans="1:27" x14ac:dyDescent="0.25">
      <c r="A17" s="22" t="str">
        <f>VLOOKUP(JK_Haubold[[#This Row],[Código]],BD_Produto[#All],7,FALSE)</f>
        <v>Fora de linha</v>
      </c>
      <c r="B17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7" s="23">
        <v>33070518006</v>
      </c>
      <c r="D17" s="22" t="s">
        <v>568</v>
      </c>
      <c r="E17" s="22" t="s">
        <v>1677</v>
      </c>
      <c r="F17" s="22" t="s">
        <v>1677</v>
      </c>
      <c r="G17" s="24"/>
      <c r="H17" s="25"/>
      <c r="I17" s="22"/>
      <c r="J17" s="24"/>
      <c r="K17" s="24" t="str">
        <f>IFERROR(VLOOKUP(JK_Haubold[[#This Row],[Código]],Importação!P:R,3,FALSE),"")</f>
        <v/>
      </c>
      <c r="L17" s="24">
        <f>IFERROR(VLOOKUP(JK_Haubold[[#This Row],[Código]],Saldo[],3,FALSE),0)</f>
        <v>3</v>
      </c>
      <c r="M17" s="24">
        <f>SUM(JK_Haubold[[#This Row],[Produção]:[Estoque]])</f>
        <v>3</v>
      </c>
      <c r="N17" s="24" t="str">
        <f>IFERROR(JK_Haubold[[#This Row],[Estoque+Importação]]/JK_Haubold[[#This Row],[Proj. de V. No prox. mes]],"Sem Projeção")</f>
        <v>Sem Projeção</v>
      </c>
      <c r="O1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7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7" s="75">
        <f>VLOOKUP(JK_Haubold[[#This Row],[Código]],Projeção[#All],15,FALSE)</f>
        <v>0</v>
      </c>
      <c r="R17" s="39">
        <f>VLOOKUP(JK_Haubold[[#This Row],[Código]],Projeção[#All],14,FALSE)</f>
        <v>0</v>
      </c>
      <c r="S17" s="39">
        <f>IFERROR(VLOOKUP(JK_Haubold[[#This Row],[Código]],Venda_mes[],2,FALSE),0)</f>
        <v>0</v>
      </c>
      <c r="T17" s="44" t="str">
        <f>IFERROR(JK_Haubold[[#This Row],[V. No mes]]/JK_Haubold[[#This Row],[Proj. de V. No mes]],"")</f>
        <v/>
      </c>
      <c r="U17" s="43">
        <f>VLOOKUP(JK_Haubold[[#This Row],[Código]],Projeção[#All],14,FALSE)+VLOOKUP(JK_Haubold[[#This Row],[Código]],Projeção[#All],13,FALSE)+VLOOKUP(JK_Haubold[[#This Row],[Código]],Projeção[#All],12,FALSE)</f>
        <v>0</v>
      </c>
      <c r="V17" s="39">
        <f>IFERROR(VLOOKUP(JK_Haubold[[#This Row],[Código]],Venda_3meses[],2,FALSE),0)</f>
        <v>0</v>
      </c>
      <c r="W17" s="44" t="str">
        <f>IFERROR(JK_Haubold[[#This Row],[V. 3 meses]]/JK_Haubold[[#This Row],[Proj. de V. 3 meses]],"")</f>
        <v/>
      </c>
      <c r="X17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7" s="39">
        <f>IFERROR(VLOOKUP(JK_Haubold[[#This Row],[Código]],Venda_12meses[],2,FALSE),0)</f>
        <v>0</v>
      </c>
      <c r="Z17" s="44" t="str">
        <f>IFERROR(JK_Haubold[[#This Row],[V. 12 meses]]/JK_Haubold[[#This Row],[Proj. de V. 12 meses]],"")</f>
        <v/>
      </c>
      <c r="AA17" s="22"/>
    </row>
    <row r="18" spans="1:27" x14ac:dyDescent="0.25">
      <c r="A18" s="22" t="str">
        <f>VLOOKUP(JK_Haubold[[#This Row],[Código]],BD_Produto[#All],7,FALSE)</f>
        <v>Fora de linha</v>
      </c>
      <c r="B18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8" s="23">
        <v>33070518030</v>
      </c>
      <c r="D18" s="22" t="s">
        <v>570</v>
      </c>
      <c r="E18" s="22" t="s">
        <v>1677</v>
      </c>
      <c r="F18" s="22" t="s">
        <v>1677</v>
      </c>
      <c r="G18" s="24"/>
      <c r="H18" s="25"/>
      <c r="I18" s="22"/>
      <c r="J18" s="24"/>
      <c r="K18" s="24" t="str">
        <f>IFERROR(VLOOKUP(JK_Haubold[[#This Row],[Código]],Importação!P:R,3,FALSE),"")</f>
        <v/>
      </c>
      <c r="L18" s="24">
        <f>IFERROR(VLOOKUP(JK_Haubold[[#This Row],[Código]],Saldo[],3,FALSE),0)</f>
        <v>108</v>
      </c>
      <c r="M18" s="24">
        <f>SUM(JK_Haubold[[#This Row],[Produção]:[Estoque]])</f>
        <v>108</v>
      </c>
      <c r="N18" s="24" t="str">
        <f>IFERROR(JK_Haubold[[#This Row],[Estoque+Importação]]/JK_Haubold[[#This Row],[Proj. de V. No prox. mes]],"Sem Projeção")</f>
        <v>Sem Projeção</v>
      </c>
      <c r="O1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8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8" s="75">
        <f>VLOOKUP(JK_Haubold[[#This Row],[Código]],Projeção[#All],15,FALSE)</f>
        <v>0</v>
      </c>
      <c r="R18" s="39">
        <f>VLOOKUP(JK_Haubold[[#This Row],[Código]],Projeção[#All],14,FALSE)</f>
        <v>0</v>
      </c>
      <c r="S18" s="39">
        <f>IFERROR(VLOOKUP(JK_Haubold[[#This Row],[Código]],Venda_mes[],2,FALSE),0)</f>
        <v>0</v>
      </c>
      <c r="T18" s="44" t="str">
        <f>IFERROR(JK_Haubold[[#This Row],[V. No mes]]/JK_Haubold[[#This Row],[Proj. de V. No mes]],"")</f>
        <v/>
      </c>
      <c r="U18" s="43">
        <f>VLOOKUP(JK_Haubold[[#This Row],[Código]],Projeção[#All],14,FALSE)+VLOOKUP(JK_Haubold[[#This Row],[Código]],Projeção[#All],13,FALSE)+VLOOKUP(JK_Haubold[[#This Row],[Código]],Projeção[#All],12,FALSE)</f>
        <v>0</v>
      </c>
      <c r="V18" s="39">
        <f>IFERROR(VLOOKUP(JK_Haubold[[#This Row],[Código]],Venda_3meses[],2,FALSE),0)</f>
        <v>0</v>
      </c>
      <c r="W18" s="44" t="str">
        <f>IFERROR(JK_Haubold[[#This Row],[V. 3 meses]]/JK_Haubold[[#This Row],[Proj. de V. 3 meses]],"")</f>
        <v/>
      </c>
      <c r="X18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18" s="39">
        <f>IFERROR(VLOOKUP(JK_Haubold[[#This Row],[Código]],Venda_12meses[],2,FALSE),0)</f>
        <v>0</v>
      </c>
      <c r="Z18" s="44" t="str">
        <f>IFERROR(JK_Haubold[[#This Row],[V. 12 meses]]/JK_Haubold[[#This Row],[Proj. de V. 12 meses]],"")</f>
        <v/>
      </c>
      <c r="AA18" s="22"/>
    </row>
    <row r="19" spans="1:27" x14ac:dyDescent="0.25">
      <c r="A19" s="22" t="str">
        <f>VLOOKUP(JK_Haubold[[#This Row],[Código]],BD_Produto[#All],7,FALSE)</f>
        <v>Fora de linha</v>
      </c>
      <c r="B19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19" s="23">
        <v>33070560251</v>
      </c>
      <c r="D19" s="22" t="s">
        <v>582</v>
      </c>
      <c r="E19" s="22" t="s">
        <v>1677</v>
      </c>
      <c r="F19" s="22" t="s">
        <v>1677</v>
      </c>
      <c r="G19" s="24"/>
      <c r="H19" s="25"/>
      <c r="I19" s="22"/>
      <c r="J19" s="24"/>
      <c r="K19" s="24" t="str">
        <f>IFERROR(VLOOKUP(JK_Haubold[[#This Row],[Código]],Importação!P:R,3,FALSE),"")</f>
        <v/>
      </c>
      <c r="L19" s="24">
        <f>IFERROR(VLOOKUP(JK_Haubold[[#This Row],[Código]],Saldo[],3,FALSE),0)</f>
        <v>33</v>
      </c>
      <c r="M19" s="24">
        <f>SUM(JK_Haubold[[#This Row],[Produção]:[Estoque]])</f>
        <v>33</v>
      </c>
      <c r="N19" s="24" t="str">
        <f>IFERROR(JK_Haubold[[#This Row],[Estoque+Importação]]/JK_Haubold[[#This Row],[Proj. de V. No prox. mes]],"Sem Projeção")</f>
        <v>Sem Projeção</v>
      </c>
      <c r="O1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19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19" s="75">
        <f>VLOOKUP(JK_Haubold[[#This Row],[Código]],Projeção[#All],15,FALSE)</f>
        <v>0</v>
      </c>
      <c r="R19" s="39">
        <f>VLOOKUP(JK_Haubold[[#This Row],[Código]],Projeção[#All],14,FALSE)</f>
        <v>0</v>
      </c>
      <c r="S19" s="39">
        <f>IFERROR(VLOOKUP(JK_Haubold[[#This Row],[Código]],Venda_mes[],2,FALSE),0)</f>
        <v>0</v>
      </c>
      <c r="T19" s="44" t="str">
        <f>IFERROR(JK_Haubold[[#This Row],[V. No mes]]/JK_Haubold[[#This Row],[Proj. de V. No mes]],"")</f>
        <v/>
      </c>
      <c r="U19" s="43">
        <f>VLOOKUP(JK_Haubold[[#This Row],[Código]],Projeção[#All],14,FALSE)+VLOOKUP(JK_Haubold[[#This Row],[Código]],Projeção[#All],13,FALSE)+VLOOKUP(JK_Haubold[[#This Row],[Código]],Projeção[#All],12,FALSE)</f>
        <v>0</v>
      </c>
      <c r="V19" s="39">
        <f>IFERROR(VLOOKUP(JK_Haubold[[#This Row],[Código]],Venda_3meses[],2,FALSE),0)</f>
        <v>0</v>
      </c>
      <c r="W19" s="44" t="str">
        <f>IFERROR(JK_Haubold[[#This Row],[V. 3 meses]]/JK_Haubold[[#This Row],[Proj. de V. 3 meses]],"")</f>
        <v/>
      </c>
      <c r="X19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1</v>
      </c>
      <c r="Y19" s="39">
        <f>IFERROR(VLOOKUP(JK_Haubold[[#This Row],[Código]],Venda_12meses[],2,FALSE),0)</f>
        <v>0</v>
      </c>
      <c r="Z19" s="44">
        <f>IFERROR(JK_Haubold[[#This Row],[V. 12 meses]]/JK_Haubold[[#This Row],[Proj. de V. 12 meses]],"")</f>
        <v>0</v>
      </c>
      <c r="AA19" s="22"/>
    </row>
    <row r="20" spans="1:27" x14ac:dyDescent="0.25">
      <c r="A20" s="22" t="str">
        <f>VLOOKUP(JK_Haubold[[#This Row],[Código]],BD_Produto[#All],7,FALSE)</f>
        <v>Fora de linha</v>
      </c>
      <c r="B20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0" s="23">
        <v>33070560252</v>
      </c>
      <c r="D20" s="22" t="s">
        <v>583</v>
      </c>
      <c r="E20" s="22" t="s">
        <v>1677</v>
      </c>
      <c r="F20" s="22" t="s">
        <v>1677</v>
      </c>
      <c r="G20" s="24"/>
      <c r="H20" s="25"/>
      <c r="I20" s="22"/>
      <c r="J20" s="24"/>
      <c r="K20" s="24" t="str">
        <f>IFERROR(VLOOKUP(JK_Haubold[[#This Row],[Código]],Importação!P:R,3,FALSE),"")</f>
        <v/>
      </c>
      <c r="L20" s="24">
        <f>IFERROR(VLOOKUP(JK_Haubold[[#This Row],[Código]],Saldo[],3,FALSE),0)</f>
        <v>135</v>
      </c>
      <c r="M20" s="24">
        <f>SUM(JK_Haubold[[#This Row],[Produção]:[Estoque]])</f>
        <v>135</v>
      </c>
      <c r="N20" s="24" t="str">
        <f>IFERROR(JK_Haubold[[#This Row],[Estoque+Importação]]/JK_Haubold[[#This Row],[Proj. de V. No prox. mes]],"Sem Projeção")</f>
        <v>Sem Projeção</v>
      </c>
      <c r="O2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0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0" s="75">
        <f>VLOOKUP(JK_Haubold[[#This Row],[Código]],Projeção[#All],15,FALSE)</f>
        <v>0</v>
      </c>
      <c r="R20" s="39">
        <f>VLOOKUP(JK_Haubold[[#This Row],[Código]],Projeção[#All],14,FALSE)</f>
        <v>0</v>
      </c>
      <c r="S20" s="39">
        <f>IFERROR(VLOOKUP(JK_Haubold[[#This Row],[Código]],Venda_mes[],2,FALSE),0)</f>
        <v>0</v>
      </c>
      <c r="T20" s="44" t="str">
        <f>IFERROR(JK_Haubold[[#This Row],[V. No mes]]/JK_Haubold[[#This Row],[Proj. de V. No mes]],"")</f>
        <v/>
      </c>
      <c r="U20" s="43">
        <f>VLOOKUP(JK_Haubold[[#This Row],[Código]],Projeção[#All],14,FALSE)+VLOOKUP(JK_Haubold[[#This Row],[Código]],Projeção[#All],13,FALSE)+VLOOKUP(JK_Haubold[[#This Row],[Código]],Projeção[#All],12,FALSE)</f>
        <v>0</v>
      </c>
      <c r="V20" s="39">
        <f>IFERROR(VLOOKUP(JK_Haubold[[#This Row],[Código]],Venda_3meses[],2,FALSE),0)</f>
        <v>0</v>
      </c>
      <c r="W20" s="44" t="str">
        <f>IFERROR(JK_Haubold[[#This Row],[V. 3 meses]]/JK_Haubold[[#This Row],[Proj. de V. 3 meses]],"")</f>
        <v/>
      </c>
      <c r="X20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0" s="39">
        <f>IFERROR(VLOOKUP(JK_Haubold[[#This Row],[Código]],Venda_12meses[],2,FALSE),0)</f>
        <v>0</v>
      </c>
      <c r="Z20" s="44" t="str">
        <f>IFERROR(JK_Haubold[[#This Row],[V. 12 meses]]/JK_Haubold[[#This Row],[Proj. de V. 12 meses]],"")</f>
        <v/>
      </c>
      <c r="AA20" s="22"/>
    </row>
    <row r="21" spans="1:27" x14ac:dyDescent="0.25">
      <c r="A21" s="22" t="str">
        <f>VLOOKUP(JK_Haubold[[#This Row],[Código]],BD_Produto[#All],7,FALSE)</f>
        <v>Fora de linha</v>
      </c>
      <c r="B21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1" s="23">
        <v>33070518029</v>
      </c>
      <c r="D21" s="22" t="s">
        <v>569</v>
      </c>
      <c r="E21" s="22" t="s">
        <v>1677</v>
      </c>
      <c r="F21" s="22" t="s">
        <v>1677</v>
      </c>
      <c r="G21" s="24"/>
      <c r="H21" s="25"/>
      <c r="I21" s="22"/>
      <c r="J21" s="24"/>
      <c r="K21" s="24" t="str">
        <f>IFERROR(VLOOKUP(JK_Haubold[[#This Row],[Código]],Importação!P:R,3,FALSE),"")</f>
        <v/>
      </c>
      <c r="L21" s="24">
        <f>IFERROR(VLOOKUP(JK_Haubold[[#This Row],[Código]],Saldo[],3,FALSE),0)</f>
        <v>228</v>
      </c>
      <c r="M21" s="24">
        <f>SUM(JK_Haubold[[#This Row],[Produção]:[Estoque]])</f>
        <v>228</v>
      </c>
      <c r="N21" s="24" t="str">
        <f>IFERROR(JK_Haubold[[#This Row],[Estoque+Importação]]/JK_Haubold[[#This Row],[Proj. de V. No prox. mes]],"Sem Projeção")</f>
        <v>Sem Projeção</v>
      </c>
      <c r="O2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1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1" s="75">
        <f>VLOOKUP(JK_Haubold[[#This Row],[Código]],Projeção[#All],15,FALSE)</f>
        <v>0</v>
      </c>
      <c r="R21" s="39">
        <f>VLOOKUP(JK_Haubold[[#This Row],[Código]],Projeção[#All],14,FALSE)</f>
        <v>0</v>
      </c>
      <c r="S21" s="39">
        <f>IFERROR(VLOOKUP(JK_Haubold[[#This Row],[Código]],Venda_mes[],2,FALSE),0)</f>
        <v>0</v>
      </c>
      <c r="T21" s="44" t="str">
        <f>IFERROR(JK_Haubold[[#This Row],[V. No mes]]/JK_Haubold[[#This Row],[Proj. de V. No mes]],"")</f>
        <v/>
      </c>
      <c r="U21" s="43">
        <f>VLOOKUP(JK_Haubold[[#This Row],[Código]],Projeção[#All],14,FALSE)+VLOOKUP(JK_Haubold[[#This Row],[Código]],Projeção[#All],13,FALSE)+VLOOKUP(JK_Haubold[[#This Row],[Código]],Projeção[#All],12,FALSE)</f>
        <v>0</v>
      </c>
      <c r="V21" s="39">
        <f>IFERROR(VLOOKUP(JK_Haubold[[#This Row],[Código]],Venda_3meses[],2,FALSE),0)</f>
        <v>0</v>
      </c>
      <c r="W21" s="44" t="str">
        <f>IFERROR(JK_Haubold[[#This Row],[V. 3 meses]]/JK_Haubold[[#This Row],[Proj. de V. 3 meses]],"")</f>
        <v/>
      </c>
      <c r="X21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1" s="39">
        <f>IFERROR(VLOOKUP(JK_Haubold[[#This Row],[Código]],Venda_12meses[],2,FALSE),0)</f>
        <v>0</v>
      </c>
      <c r="Z21" s="44" t="str">
        <f>IFERROR(JK_Haubold[[#This Row],[V. 12 meses]]/JK_Haubold[[#This Row],[Proj. de V. 12 meses]],"")</f>
        <v/>
      </c>
      <c r="AA21" s="22"/>
    </row>
    <row r="22" spans="1:27" x14ac:dyDescent="0.25">
      <c r="A22" s="22" t="str">
        <f>VLOOKUP(JK_Haubold[[#This Row],[Código]],BD_Produto[#All],7,FALSE)</f>
        <v>Fora de linha</v>
      </c>
      <c r="B22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2" s="23">
        <v>33070518032</v>
      </c>
      <c r="D22" s="22" t="s">
        <v>571</v>
      </c>
      <c r="E22" s="22" t="s">
        <v>1677</v>
      </c>
      <c r="F22" s="22" t="s">
        <v>1677</v>
      </c>
      <c r="G22" s="24"/>
      <c r="H22" s="25"/>
      <c r="I22" s="22"/>
      <c r="J22" s="24"/>
      <c r="K22" s="24" t="str">
        <f>IFERROR(VLOOKUP(JK_Haubold[[#This Row],[Código]],Importação!P:R,3,FALSE),"")</f>
        <v/>
      </c>
      <c r="L22" s="24">
        <f>IFERROR(VLOOKUP(JK_Haubold[[#This Row],[Código]],Saldo[],3,FALSE),0)</f>
        <v>47</v>
      </c>
      <c r="M22" s="24">
        <f>SUM(JK_Haubold[[#This Row],[Produção]:[Estoque]])</f>
        <v>47</v>
      </c>
      <c r="N22" s="24" t="str">
        <f>IFERROR(JK_Haubold[[#This Row],[Estoque+Importação]]/JK_Haubold[[#This Row],[Proj. de V. No prox. mes]],"Sem Projeção")</f>
        <v>Sem Projeção</v>
      </c>
      <c r="O2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2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2" s="75">
        <f>VLOOKUP(JK_Haubold[[#This Row],[Código]],Projeção[#All],15,FALSE)</f>
        <v>0</v>
      </c>
      <c r="R22" s="39">
        <f>VLOOKUP(JK_Haubold[[#This Row],[Código]],Projeção[#All],14,FALSE)</f>
        <v>0</v>
      </c>
      <c r="S22" s="39">
        <f>IFERROR(VLOOKUP(JK_Haubold[[#This Row],[Código]],Venda_mes[],2,FALSE),0)</f>
        <v>0</v>
      </c>
      <c r="T22" s="44" t="str">
        <f>IFERROR(JK_Haubold[[#This Row],[V. No mes]]/JK_Haubold[[#This Row],[Proj. de V. No mes]],"")</f>
        <v/>
      </c>
      <c r="U22" s="43">
        <f>VLOOKUP(JK_Haubold[[#This Row],[Código]],Projeção[#All],14,FALSE)+VLOOKUP(JK_Haubold[[#This Row],[Código]],Projeção[#All],13,FALSE)+VLOOKUP(JK_Haubold[[#This Row],[Código]],Projeção[#All],12,FALSE)</f>
        <v>0</v>
      </c>
      <c r="V22" s="39">
        <f>IFERROR(VLOOKUP(JK_Haubold[[#This Row],[Código]],Venda_3meses[],2,FALSE),0)</f>
        <v>0</v>
      </c>
      <c r="W22" s="44" t="str">
        <f>IFERROR(JK_Haubold[[#This Row],[V. 3 meses]]/JK_Haubold[[#This Row],[Proj. de V. 3 meses]],"")</f>
        <v/>
      </c>
      <c r="X22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2" s="39">
        <f>IFERROR(VLOOKUP(JK_Haubold[[#This Row],[Código]],Venda_12meses[],2,FALSE),0)</f>
        <v>0</v>
      </c>
      <c r="Z22" s="44" t="str">
        <f>IFERROR(JK_Haubold[[#This Row],[V. 12 meses]]/JK_Haubold[[#This Row],[Proj. de V. 12 meses]],"")</f>
        <v/>
      </c>
      <c r="AA22" s="22"/>
    </row>
    <row r="23" spans="1:27" x14ac:dyDescent="0.25">
      <c r="A23" s="22" t="str">
        <f>VLOOKUP(JK_Haubold[[#This Row],[Código]],BD_Produto[#All],7,FALSE)</f>
        <v>Fora de linha</v>
      </c>
      <c r="B23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3" s="23">
        <v>33070518033</v>
      </c>
      <c r="D23" s="22" t="s">
        <v>572</v>
      </c>
      <c r="E23" s="22" t="s">
        <v>1677</v>
      </c>
      <c r="F23" s="22" t="s">
        <v>1677</v>
      </c>
      <c r="G23" s="24"/>
      <c r="H23" s="25"/>
      <c r="I23" s="22"/>
      <c r="J23" s="24"/>
      <c r="K23" s="24" t="str">
        <f>IFERROR(VLOOKUP(JK_Haubold[[#This Row],[Código]],Importação!P:R,3,FALSE),"")</f>
        <v/>
      </c>
      <c r="L23" s="24">
        <f>IFERROR(VLOOKUP(JK_Haubold[[#This Row],[Código]],Saldo[],3,FALSE),0)</f>
        <v>47</v>
      </c>
      <c r="M23" s="24">
        <f>SUM(JK_Haubold[[#This Row],[Produção]:[Estoque]])</f>
        <v>47</v>
      </c>
      <c r="N23" s="24" t="str">
        <f>IFERROR(JK_Haubold[[#This Row],[Estoque+Importação]]/JK_Haubold[[#This Row],[Proj. de V. No prox. mes]],"Sem Projeção")</f>
        <v>Sem Projeção</v>
      </c>
      <c r="O2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3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3" s="75">
        <f>VLOOKUP(JK_Haubold[[#This Row],[Código]],Projeção[#All],15,FALSE)</f>
        <v>0</v>
      </c>
      <c r="R23" s="39">
        <f>VLOOKUP(JK_Haubold[[#This Row],[Código]],Projeção[#All],14,FALSE)</f>
        <v>0</v>
      </c>
      <c r="S23" s="39">
        <f>IFERROR(VLOOKUP(JK_Haubold[[#This Row],[Código]],Venda_mes[],2,FALSE),0)</f>
        <v>0</v>
      </c>
      <c r="T23" s="44" t="str">
        <f>IFERROR(JK_Haubold[[#This Row],[V. No mes]]/JK_Haubold[[#This Row],[Proj. de V. No mes]],"")</f>
        <v/>
      </c>
      <c r="U23" s="43">
        <f>VLOOKUP(JK_Haubold[[#This Row],[Código]],Projeção[#All],14,FALSE)+VLOOKUP(JK_Haubold[[#This Row],[Código]],Projeção[#All],13,FALSE)+VLOOKUP(JK_Haubold[[#This Row],[Código]],Projeção[#All],12,FALSE)</f>
        <v>0</v>
      </c>
      <c r="V23" s="39">
        <f>IFERROR(VLOOKUP(JK_Haubold[[#This Row],[Código]],Venda_3meses[],2,FALSE),0)</f>
        <v>0</v>
      </c>
      <c r="W23" s="44" t="str">
        <f>IFERROR(JK_Haubold[[#This Row],[V. 3 meses]]/JK_Haubold[[#This Row],[Proj. de V. 3 meses]],"")</f>
        <v/>
      </c>
      <c r="X23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3" s="39">
        <f>IFERROR(VLOOKUP(JK_Haubold[[#This Row],[Código]],Venda_12meses[],2,FALSE),0)</f>
        <v>0</v>
      </c>
      <c r="Z23" s="44" t="str">
        <f>IFERROR(JK_Haubold[[#This Row],[V. 12 meses]]/JK_Haubold[[#This Row],[Proj. de V. 12 meses]],"")</f>
        <v/>
      </c>
      <c r="AA23" s="22"/>
    </row>
    <row r="24" spans="1:27" x14ac:dyDescent="0.25">
      <c r="A24" s="22" t="str">
        <f>VLOOKUP(JK_Haubold[[#This Row],[Código]],BD_Produto[#All],7,FALSE)</f>
        <v>Fora de linha</v>
      </c>
      <c r="B24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4" s="23">
        <v>33070518034</v>
      </c>
      <c r="D24" s="22" t="s">
        <v>573</v>
      </c>
      <c r="E24" s="22" t="s">
        <v>1677</v>
      </c>
      <c r="F24" s="22" t="s">
        <v>1677</v>
      </c>
      <c r="G24" s="24"/>
      <c r="H24" s="25"/>
      <c r="I24" s="22"/>
      <c r="J24" s="24"/>
      <c r="K24" s="24" t="str">
        <f>IFERROR(VLOOKUP(JK_Haubold[[#This Row],[Código]],Importação!P:R,3,FALSE),"")</f>
        <v/>
      </c>
      <c r="L24" s="24">
        <f>IFERROR(VLOOKUP(JK_Haubold[[#This Row],[Código]],Saldo[],3,FALSE),0)</f>
        <v>44</v>
      </c>
      <c r="M24" s="24">
        <f>SUM(JK_Haubold[[#This Row],[Produção]:[Estoque]])</f>
        <v>44</v>
      </c>
      <c r="N24" s="24" t="str">
        <f>IFERROR(JK_Haubold[[#This Row],[Estoque+Importação]]/JK_Haubold[[#This Row],[Proj. de V. No prox. mes]],"Sem Projeção")</f>
        <v>Sem Projeção</v>
      </c>
      <c r="O2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4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4" s="75">
        <f>VLOOKUP(JK_Haubold[[#This Row],[Código]],Projeção[#All],15,FALSE)</f>
        <v>0</v>
      </c>
      <c r="R24" s="39">
        <f>VLOOKUP(JK_Haubold[[#This Row],[Código]],Projeção[#All],14,FALSE)</f>
        <v>0</v>
      </c>
      <c r="S24" s="39">
        <f>IFERROR(VLOOKUP(JK_Haubold[[#This Row],[Código]],Venda_mes[],2,FALSE),0)</f>
        <v>0</v>
      </c>
      <c r="T24" s="44" t="str">
        <f>IFERROR(JK_Haubold[[#This Row],[V. No mes]]/JK_Haubold[[#This Row],[Proj. de V. No mes]],"")</f>
        <v/>
      </c>
      <c r="U24" s="43">
        <f>VLOOKUP(JK_Haubold[[#This Row],[Código]],Projeção[#All],14,FALSE)+VLOOKUP(JK_Haubold[[#This Row],[Código]],Projeção[#All],13,FALSE)+VLOOKUP(JK_Haubold[[#This Row],[Código]],Projeção[#All],12,FALSE)</f>
        <v>0</v>
      </c>
      <c r="V24" s="39">
        <f>IFERROR(VLOOKUP(JK_Haubold[[#This Row],[Código]],Venda_3meses[],2,FALSE),0)</f>
        <v>0</v>
      </c>
      <c r="W24" s="44" t="str">
        <f>IFERROR(JK_Haubold[[#This Row],[V. 3 meses]]/JK_Haubold[[#This Row],[Proj. de V. 3 meses]],"")</f>
        <v/>
      </c>
      <c r="X24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4" s="39">
        <f>IFERROR(VLOOKUP(JK_Haubold[[#This Row],[Código]],Venda_12meses[],2,FALSE),0)</f>
        <v>0</v>
      </c>
      <c r="Z24" s="44" t="str">
        <f>IFERROR(JK_Haubold[[#This Row],[V. 12 meses]]/JK_Haubold[[#This Row],[Proj. de V. 12 meses]],"")</f>
        <v/>
      </c>
      <c r="AA24" s="22"/>
    </row>
    <row r="25" spans="1:27" x14ac:dyDescent="0.25">
      <c r="A25" s="22" t="str">
        <f>VLOOKUP(JK_Haubold[[#This Row],[Código]],BD_Produto[#All],7,FALSE)</f>
        <v>Fora de linha</v>
      </c>
      <c r="B25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5" s="23">
        <v>33070518036</v>
      </c>
      <c r="D25" s="22" t="s">
        <v>575</v>
      </c>
      <c r="E25" s="22" t="s">
        <v>1677</v>
      </c>
      <c r="F25" s="22" t="s">
        <v>1677</v>
      </c>
      <c r="G25" s="24"/>
      <c r="H25" s="25"/>
      <c r="I25" s="22"/>
      <c r="J25" s="24"/>
      <c r="K25" s="24" t="str">
        <f>IFERROR(VLOOKUP(JK_Haubold[[#This Row],[Código]],Importação!P:R,3,FALSE),"")</f>
        <v/>
      </c>
      <c r="L25" s="24">
        <f>IFERROR(VLOOKUP(JK_Haubold[[#This Row],[Código]],Saldo[],3,FALSE),0)</f>
        <v>2</v>
      </c>
      <c r="M25" s="24">
        <f>SUM(JK_Haubold[[#This Row],[Produção]:[Estoque]])</f>
        <v>2</v>
      </c>
      <c r="N25" s="24" t="str">
        <f>IFERROR(JK_Haubold[[#This Row],[Estoque+Importação]]/JK_Haubold[[#This Row],[Proj. de V. No prox. mes]],"Sem Projeção")</f>
        <v>Sem Projeção</v>
      </c>
      <c r="O25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5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5" s="75">
        <f>VLOOKUP(JK_Haubold[[#This Row],[Código]],Projeção[#All],15,FALSE)</f>
        <v>0</v>
      </c>
      <c r="R25" s="39">
        <f>VLOOKUP(JK_Haubold[[#This Row],[Código]],Projeção[#All],14,FALSE)</f>
        <v>0</v>
      </c>
      <c r="S25" s="39">
        <f>IFERROR(VLOOKUP(JK_Haubold[[#This Row],[Código]],Venda_mes[],2,FALSE),0)</f>
        <v>0</v>
      </c>
      <c r="T25" s="44" t="str">
        <f>IFERROR(JK_Haubold[[#This Row],[V. No mes]]/JK_Haubold[[#This Row],[Proj. de V. No mes]],"")</f>
        <v/>
      </c>
      <c r="U25" s="43">
        <f>VLOOKUP(JK_Haubold[[#This Row],[Código]],Projeção[#All],14,FALSE)+VLOOKUP(JK_Haubold[[#This Row],[Código]],Projeção[#All],13,FALSE)+VLOOKUP(JK_Haubold[[#This Row],[Código]],Projeção[#All],12,FALSE)</f>
        <v>0</v>
      </c>
      <c r="V25" s="39">
        <f>IFERROR(VLOOKUP(JK_Haubold[[#This Row],[Código]],Venda_3meses[],2,FALSE),0)</f>
        <v>0</v>
      </c>
      <c r="W25" s="44" t="str">
        <f>IFERROR(JK_Haubold[[#This Row],[V. 3 meses]]/JK_Haubold[[#This Row],[Proj. de V. 3 meses]],"")</f>
        <v/>
      </c>
      <c r="X25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5" s="39">
        <f>IFERROR(VLOOKUP(JK_Haubold[[#This Row],[Código]],Venda_12meses[],2,FALSE),0)</f>
        <v>0</v>
      </c>
      <c r="Z25" s="44" t="str">
        <f>IFERROR(JK_Haubold[[#This Row],[V. 12 meses]]/JK_Haubold[[#This Row],[Proj. de V. 12 meses]],"")</f>
        <v/>
      </c>
      <c r="AA25" s="22"/>
    </row>
    <row r="26" spans="1:27" x14ac:dyDescent="0.25">
      <c r="A26" s="22" t="str">
        <f>VLOOKUP(JK_Haubold[[#This Row],[Código]],BD_Produto[#All],7,FALSE)</f>
        <v>Fora de linha</v>
      </c>
      <c r="B26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6" s="23">
        <v>33070518037</v>
      </c>
      <c r="D26" s="22" t="s">
        <v>576</v>
      </c>
      <c r="E26" s="22" t="s">
        <v>1677</v>
      </c>
      <c r="F26" s="22" t="s">
        <v>1677</v>
      </c>
      <c r="G26" s="24"/>
      <c r="H26" s="25"/>
      <c r="I26" s="22"/>
      <c r="J26" s="24"/>
      <c r="K26" s="24" t="str">
        <f>IFERROR(VLOOKUP(JK_Haubold[[#This Row],[Código]],Importação!P:R,3,FALSE),"")</f>
        <v/>
      </c>
      <c r="L26" s="24">
        <f>IFERROR(VLOOKUP(JK_Haubold[[#This Row],[Código]],Saldo[],3,FALSE),0)</f>
        <v>3</v>
      </c>
      <c r="M26" s="24">
        <f>SUM(JK_Haubold[[#This Row],[Produção]:[Estoque]])</f>
        <v>3</v>
      </c>
      <c r="N26" s="24" t="str">
        <f>IFERROR(JK_Haubold[[#This Row],[Estoque+Importação]]/JK_Haubold[[#This Row],[Proj. de V. No prox. mes]],"Sem Projeção")</f>
        <v>Sem Projeção</v>
      </c>
      <c r="O26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6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6" s="75">
        <f>VLOOKUP(JK_Haubold[[#This Row],[Código]],Projeção[#All],15,FALSE)</f>
        <v>0</v>
      </c>
      <c r="R26" s="39">
        <f>VLOOKUP(JK_Haubold[[#This Row],[Código]],Projeção[#All],14,FALSE)</f>
        <v>0</v>
      </c>
      <c r="S26" s="39">
        <f>IFERROR(VLOOKUP(JK_Haubold[[#This Row],[Código]],Venda_mes[],2,FALSE),0)</f>
        <v>0</v>
      </c>
      <c r="T26" s="44" t="str">
        <f>IFERROR(JK_Haubold[[#This Row],[V. No mes]]/JK_Haubold[[#This Row],[Proj. de V. No mes]],"")</f>
        <v/>
      </c>
      <c r="U26" s="43">
        <f>VLOOKUP(JK_Haubold[[#This Row],[Código]],Projeção[#All],14,FALSE)+VLOOKUP(JK_Haubold[[#This Row],[Código]],Projeção[#All],13,FALSE)+VLOOKUP(JK_Haubold[[#This Row],[Código]],Projeção[#All],12,FALSE)</f>
        <v>0</v>
      </c>
      <c r="V26" s="39">
        <f>IFERROR(VLOOKUP(JK_Haubold[[#This Row],[Código]],Venda_3meses[],2,FALSE),0)</f>
        <v>0</v>
      </c>
      <c r="W26" s="44" t="str">
        <f>IFERROR(JK_Haubold[[#This Row],[V. 3 meses]]/JK_Haubold[[#This Row],[Proj. de V. 3 meses]],"")</f>
        <v/>
      </c>
      <c r="X26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6" s="39">
        <f>IFERROR(VLOOKUP(JK_Haubold[[#This Row],[Código]],Venda_12meses[],2,FALSE),0)</f>
        <v>0</v>
      </c>
      <c r="Z26" s="44" t="str">
        <f>IFERROR(JK_Haubold[[#This Row],[V. 12 meses]]/JK_Haubold[[#This Row],[Proj. de V. 12 meses]],"")</f>
        <v/>
      </c>
      <c r="AA26" s="22"/>
    </row>
    <row r="27" spans="1:27" x14ac:dyDescent="0.25">
      <c r="A27" s="22" t="str">
        <f>VLOOKUP(JK_Haubold[[#This Row],[Código]],BD_Produto[#All],7,FALSE)</f>
        <v>Fora de linha</v>
      </c>
      <c r="B27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7" s="23">
        <v>33070518039</v>
      </c>
      <c r="D27" s="22" t="s">
        <v>577</v>
      </c>
      <c r="E27" s="22" t="s">
        <v>1677</v>
      </c>
      <c r="F27" s="22" t="s">
        <v>1677</v>
      </c>
      <c r="G27" s="24"/>
      <c r="H27" s="25"/>
      <c r="I27" s="22"/>
      <c r="J27" s="24"/>
      <c r="K27" s="24" t="str">
        <f>IFERROR(VLOOKUP(JK_Haubold[[#This Row],[Código]],Importação!P:R,3,FALSE),"")</f>
        <v/>
      </c>
      <c r="L27" s="24">
        <f>IFERROR(VLOOKUP(JK_Haubold[[#This Row],[Código]],Saldo[],3,FALSE),0)</f>
        <v>39</v>
      </c>
      <c r="M27" s="24">
        <f>SUM(JK_Haubold[[#This Row],[Produção]:[Estoque]])</f>
        <v>39</v>
      </c>
      <c r="N27" s="24" t="str">
        <f>IFERROR(JK_Haubold[[#This Row],[Estoque+Importação]]/JK_Haubold[[#This Row],[Proj. de V. No prox. mes]],"Sem Projeção")</f>
        <v>Sem Projeção</v>
      </c>
      <c r="O2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7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7" s="75">
        <f>VLOOKUP(JK_Haubold[[#This Row],[Código]],Projeção[#All],15,FALSE)</f>
        <v>0</v>
      </c>
      <c r="R27" s="39">
        <f>VLOOKUP(JK_Haubold[[#This Row],[Código]],Projeção[#All],14,FALSE)</f>
        <v>0</v>
      </c>
      <c r="S27" s="39">
        <f>IFERROR(VLOOKUP(JK_Haubold[[#This Row],[Código]],Venda_mes[],2,FALSE),0)</f>
        <v>0</v>
      </c>
      <c r="T27" s="44" t="str">
        <f>IFERROR(JK_Haubold[[#This Row],[V. No mes]]/JK_Haubold[[#This Row],[Proj. de V. No mes]],"")</f>
        <v/>
      </c>
      <c r="U27" s="43">
        <f>VLOOKUP(JK_Haubold[[#This Row],[Código]],Projeção[#All],14,FALSE)+VLOOKUP(JK_Haubold[[#This Row],[Código]],Projeção[#All],13,FALSE)+VLOOKUP(JK_Haubold[[#This Row],[Código]],Projeção[#All],12,FALSE)</f>
        <v>0</v>
      </c>
      <c r="V27" s="39">
        <f>IFERROR(VLOOKUP(JK_Haubold[[#This Row],[Código]],Venda_3meses[],2,FALSE),0)</f>
        <v>0</v>
      </c>
      <c r="W27" s="44" t="str">
        <f>IFERROR(JK_Haubold[[#This Row],[V. 3 meses]]/JK_Haubold[[#This Row],[Proj. de V. 3 meses]],"")</f>
        <v/>
      </c>
      <c r="X27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7" s="39">
        <f>IFERROR(VLOOKUP(JK_Haubold[[#This Row],[Código]],Venda_12meses[],2,FALSE),0)</f>
        <v>0</v>
      </c>
      <c r="Z27" s="44" t="str">
        <f>IFERROR(JK_Haubold[[#This Row],[V. 12 meses]]/JK_Haubold[[#This Row],[Proj. de V. 12 meses]],"")</f>
        <v/>
      </c>
      <c r="AA27" s="22"/>
    </row>
    <row r="28" spans="1:27" x14ac:dyDescent="0.25">
      <c r="A28" s="22" t="str">
        <f>VLOOKUP(JK_Haubold[[#This Row],[Código]],BD_Produto[#All],7,FALSE)</f>
        <v>Fora de linha</v>
      </c>
      <c r="B28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8" s="23">
        <v>33070560249</v>
      </c>
      <c r="D28" s="22" t="s">
        <v>580</v>
      </c>
      <c r="E28" s="22" t="s">
        <v>1677</v>
      </c>
      <c r="F28" s="22" t="s">
        <v>1677</v>
      </c>
      <c r="G28" s="24"/>
      <c r="H28" s="25"/>
      <c r="I28" s="22"/>
      <c r="J28" s="24"/>
      <c r="K28" s="24" t="str">
        <f>IFERROR(VLOOKUP(JK_Haubold[[#This Row],[Código]],Importação!P:R,3,FALSE),"")</f>
        <v/>
      </c>
      <c r="L28" s="24">
        <f>IFERROR(VLOOKUP(JK_Haubold[[#This Row],[Código]],Saldo[],3,FALSE),0)</f>
        <v>159</v>
      </c>
      <c r="M28" s="24">
        <f>SUM(JK_Haubold[[#This Row],[Produção]:[Estoque]])</f>
        <v>159</v>
      </c>
      <c r="N28" s="24" t="str">
        <f>IFERROR(JK_Haubold[[#This Row],[Estoque+Importação]]/JK_Haubold[[#This Row],[Proj. de V. No prox. mes]],"Sem Projeção")</f>
        <v>Sem Projeção</v>
      </c>
      <c r="O2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8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8" s="75">
        <f>VLOOKUP(JK_Haubold[[#This Row],[Código]],Projeção[#All],15,FALSE)</f>
        <v>0</v>
      </c>
      <c r="R28" s="39">
        <f>VLOOKUP(JK_Haubold[[#This Row],[Código]],Projeção[#All],14,FALSE)</f>
        <v>0</v>
      </c>
      <c r="S28" s="39">
        <f>IFERROR(VLOOKUP(JK_Haubold[[#This Row],[Código]],Venda_mes[],2,FALSE),0)</f>
        <v>0</v>
      </c>
      <c r="T28" s="44" t="str">
        <f>IFERROR(JK_Haubold[[#This Row],[V. No mes]]/JK_Haubold[[#This Row],[Proj. de V. No mes]],"")</f>
        <v/>
      </c>
      <c r="U28" s="43">
        <f>VLOOKUP(JK_Haubold[[#This Row],[Código]],Projeção[#All],14,FALSE)+VLOOKUP(JK_Haubold[[#This Row],[Código]],Projeção[#All],13,FALSE)+VLOOKUP(JK_Haubold[[#This Row],[Código]],Projeção[#All],12,FALSE)</f>
        <v>0</v>
      </c>
      <c r="V28" s="39">
        <f>IFERROR(VLOOKUP(JK_Haubold[[#This Row],[Código]],Venda_3meses[],2,FALSE),0)</f>
        <v>0</v>
      </c>
      <c r="W28" s="44" t="str">
        <f>IFERROR(JK_Haubold[[#This Row],[V. 3 meses]]/JK_Haubold[[#This Row],[Proj. de V. 3 meses]],"")</f>
        <v/>
      </c>
      <c r="X28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8" s="39">
        <f>IFERROR(VLOOKUP(JK_Haubold[[#This Row],[Código]],Venda_12meses[],2,FALSE),0)</f>
        <v>0</v>
      </c>
      <c r="Z28" s="44" t="str">
        <f>IFERROR(JK_Haubold[[#This Row],[V. 12 meses]]/JK_Haubold[[#This Row],[Proj. de V. 12 meses]],"")</f>
        <v/>
      </c>
      <c r="AA28" s="22"/>
    </row>
    <row r="29" spans="1:27" x14ac:dyDescent="0.25">
      <c r="A29" s="22" t="str">
        <f>VLOOKUP(JK_Haubold[[#This Row],[Código]],BD_Produto[#All],7,FALSE)</f>
        <v>Fora de linha</v>
      </c>
      <c r="B29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29" s="23">
        <v>33070560250</v>
      </c>
      <c r="D29" s="22" t="s">
        <v>581</v>
      </c>
      <c r="E29" s="22" t="s">
        <v>1677</v>
      </c>
      <c r="F29" s="22" t="s">
        <v>1677</v>
      </c>
      <c r="G29" s="24"/>
      <c r="H29" s="25"/>
      <c r="I29" s="22"/>
      <c r="J29" s="24"/>
      <c r="K29" s="24" t="str">
        <f>IFERROR(VLOOKUP(JK_Haubold[[#This Row],[Código]],Importação!P:R,3,FALSE),"")</f>
        <v/>
      </c>
      <c r="L29" s="24">
        <f>IFERROR(VLOOKUP(JK_Haubold[[#This Row],[Código]],Saldo[],3,FALSE),0)</f>
        <v>160</v>
      </c>
      <c r="M29" s="24">
        <f>SUM(JK_Haubold[[#This Row],[Produção]:[Estoque]])</f>
        <v>160</v>
      </c>
      <c r="N29" s="24" t="str">
        <f>IFERROR(JK_Haubold[[#This Row],[Estoque+Importação]]/JK_Haubold[[#This Row],[Proj. de V. No prox. mes]],"Sem Projeção")</f>
        <v>Sem Projeção</v>
      </c>
      <c r="O2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29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29" s="75">
        <f>VLOOKUP(JK_Haubold[[#This Row],[Código]],Projeção[#All],15,FALSE)</f>
        <v>0</v>
      </c>
      <c r="R29" s="39">
        <f>VLOOKUP(JK_Haubold[[#This Row],[Código]],Projeção[#All],14,FALSE)</f>
        <v>0</v>
      </c>
      <c r="S29" s="39">
        <f>IFERROR(VLOOKUP(JK_Haubold[[#This Row],[Código]],Venda_mes[],2,FALSE),0)</f>
        <v>0</v>
      </c>
      <c r="T29" s="44" t="str">
        <f>IFERROR(JK_Haubold[[#This Row],[V. No mes]]/JK_Haubold[[#This Row],[Proj. de V. No mes]],"")</f>
        <v/>
      </c>
      <c r="U29" s="43">
        <f>VLOOKUP(JK_Haubold[[#This Row],[Código]],Projeção[#All],14,FALSE)+VLOOKUP(JK_Haubold[[#This Row],[Código]],Projeção[#All],13,FALSE)+VLOOKUP(JK_Haubold[[#This Row],[Código]],Projeção[#All],12,FALSE)</f>
        <v>0</v>
      </c>
      <c r="V29" s="39">
        <f>IFERROR(VLOOKUP(JK_Haubold[[#This Row],[Código]],Venda_3meses[],2,FALSE),0)</f>
        <v>0</v>
      </c>
      <c r="W29" s="44" t="str">
        <f>IFERROR(JK_Haubold[[#This Row],[V. 3 meses]]/JK_Haubold[[#This Row],[Proj. de V. 3 meses]],"")</f>
        <v/>
      </c>
      <c r="X29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29" s="39">
        <f>IFERROR(VLOOKUP(JK_Haubold[[#This Row],[Código]],Venda_12meses[],2,FALSE),0)</f>
        <v>0</v>
      </c>
      <c r="Z29" s="44" t="str">
        <f>IFERROR(JK_Haubold[[#This Row],[V. 12 meses]]/JK_Haubold[[#This Row],[Proj. de V. 12 meses]],"")</f>
        <v/>
      </c>
      <c r="AA29" s="22"/>
    </row>
    <row r="30" spans="1:27" x14ac:dyDescent="0.25">
      <c r="A30" s="22" t="str">
        <f>VLOOKUP(JK_Haubold[[#This Row],[Código]],BD_Produto[#All],7,FALSE)</f>
        <v>Fora de linha</v>
      </c>
      <c r="B30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0" s="23">
        <v>33070560253</v>
      </c>
      <c r="D30" s="22" t="s">
        <v>584</v>
      </c>
      <c r="E30" s="22" t="s">
        <v>1677</v>
      </c>
      <c r="F30" s="22" t="s">
        <v>1677</v>
      </c>
      <c r="G30" s="24"/>
      <c r="H30" s="25"/>
      <c r="I30" s="22"/>
      <c r="J30" s="24"/>
      <c r="K30" s="24" t="str">
        <f>IFERROR(VLOOKUP(JK_Haubold[[#This Row],[Código]],Importação!P:R,3,FALSE),"")</f>
        <v/>
      </c>
      <c r="L30" s="24">
        <f>IFERROR(VLOOKUP(JK_Haubold[[#This Row],[Código]],Saldo[],3,FALSE),0)</f>
        <v>199</v>
      </c>
      <c r="M30" s="24">
        <f>SUM(JK_Haubold[[#This Row],[Produção]:[Estoque]])</f>
        <v>199</v>
      </c>
      <c r="N30" s="24" t="str">
        <f>IFERROR(JK_Haubold[[#This Row],[Estoque+Importação]]/JK_Haubold[[#This Row],[Proj. de V. No prox. mes]],"Sem Projeção")</f>
        <v>Sem Projeção</v>
      </c>
      <c r="O3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0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0" s="75">
        <f>VLOOKUP(JK_Haubold[[#This Row],[Código]],Projeção[#All],15,FALSE)</f>
        <v>0</v>
      </c>
      <c r="R30" s="39">
        <f>VLOOKUP(JK_Haubold[[#This Row],[Código]],Projeção[#All],14,FALSE)</f>
        <v>0</v>
      </c>
      <c r="S30" s="39">
        <f>IFERROR(VLOOKUP(JK_Haubold[[#This Row],[Código]],Venda_mes[],2,FALSE),0)</f>
        <v>0</v>
      </c>
      <c r="T30" s="44" t="str">
        <f>IFERROR(JK_Haubold[[#This Row],[V. No mes]]/JK_Haubold[[#This Row],[Proj. de V. No mes]],"")</f>
        <v/>
      </c>
      <c r="U30" s="43">
        <f>VLOOKUP(JK_Haubold[[#This Row],[Código]],Projeção[#All],14,FALSE)+VLOOKUP(JK_Haubold[[#This Row],[Código]],Projeção[#All],13,FALSE)+VLOOKUP(JK_Haubold[[#This Row],[Código]],Projeção[#All],12,FALSE)</f>
        <v>0</v>
      </c>
      <c r="V30" s="39">
        <f>IFERROR(VLOOKUP(JK_Haubold[[#This Row],[Código]],Venda_3meses[],2,FALSE),0)</f>
        <v>0</v>
      </c>
      <c r="W30" s="44" t="str">
        <f>IFERROR(JK_Haubold[[#This Row],[V. 3 meses]]/JK_Haubold[[#This Row],[Proj. de V. 3 meses]],"")</f>
        <v/>
      </c>
      <c r="X30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0" s="39">
        <f>IFERROR(VLOOKUP(JK_Haubold[[#This Row],[Código]],Venda_12meses[],2,FALSE),0)</f>
        <v>0</v>
      </c>
      <c r="Z30" s="44" t="str">
        <f>IFERROR(JK_Haubold[[#This Row],[V. 12 meses]]/JK_Haubold[[#This Row],[Proj. de V. 12 meses]],"")</f>
        <v/>
      </c>
      <c r="AA30" s="22"/>
    </row>
    <row r="31" spans="1:27" x14ac:dyDescent="0.25">
      <c r="A31" s="22" t="str">
        <f>VLOOKUP(JK_Haubold[[#This Row],[Código]],BD_Produto[#All],7,FALSE)</f>
        <v>Fora de linha</v>
      </c>
      <c r="B31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1" s="23">
        <v>33070560254</v>
      </c>
      <c r="D31" s="22" t="s">
        <v>585</v>
      </c>
      <c r="E31" s="22" t="s">
        <v>1677</v>
      </c>
      <c r="F31" s="22" t="s">
        <v>1677</v>
      </c>
      <c r="G31" s="24"/>
      <c r="H31" s="25"/>
      <c r="I31" s="22"/>
      <c r="J31" s="24"/>
      <c r="K31" s="24" t="str">
        <f>IFERROR(VLOOKUP(JK_Haubold[[#This Row],[Código]],Importação!P:R,3,FALSE),"")</f>
        <v/>
      </c>
      <c r="L31" s="24">
        <f>IFERROR(VLOOKUP(JK_Haubold[[#This Row],[Código]],Saldo[],3,FALSE),0)</f>
        <v>150</v>
      </c>
      <c r="M31" s="24">
        <f>SUM(JK_Haubold[[#This Row],[Produção]:[Estoque]])</f>
        <v>150</v>
      </c>
      <c r="N31" s="24" t="str">
        <f>IFERROR(JK_Haubold[[#This Row],[Estoque+Importação]]/JK_Haubold[[#This Row],[Proj. de V. No prox. mes]],"Sem Projeção")</f>
        <v>Sem Projeção</v>
      </c>
      <c r="O3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1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1" s="75">
        <f>VLOOKUP(JK_Haubold[[#This Row],[Código]],Projeção[#All],15,FALSE)</f>
        <v>0</v>
      </c>
      <c r="R31" s="39">
        <f>VLOOKUP(JK_Haubold[[#This Row],[Código]],Projeção[#All],14,FALSE)</f>
        <v>0</v>
      </c>
      <c r="S31" s="39">
        <f>IFERROR(VLOOKUP(JK_Haubold[[#This Row],[Código]],Venda_mes[],2,FALSE),0)</f>
        <v>0</v>
      </c>
      <c r="T31" s="44" t="str">
        <f>IFERROR(JK_Haubold[[#This Row],[V. No mes]]/JK_Haubold[[#This Row],[Proj. de V. No mes]],"")</f>
        <v/>
      </c>
      <c r="U31" s="43">
        <f>VLOOKUP(JK_Haubold[[#This Row],[Código]],Projeção[#All],14,FALSE)+VLOOKUP(JK_Haubold[[#This Row],[Código]],Projeção[#All],13,FALSE)+VLOOKUP(JK_Haubold[[#This Row],[Código]],Projeção[#All],12,FALSE)</f>
        <v>0</v>
      </c>
      <c r="V31" s="39">
        <f>IFERROR(VLOOKUP(JK_Haubold[[#This Row],[Código]],Venda_3meses[],2,FALSE),0)</f>
        <v>0</v>
      </c>
      <c r="W31" s="44" t="str">
        <f>IFERROR(JK_Haubold[[#This Row],[V. 3 meses]]/JK_Haubold[[#This Row],[Proj. de V. 3 meses]],"")</f>
        <v/>
      </c>
      <c r="X31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1" s="39">
        <f>IFERROR(VLOOKUP(JK_Haubold[[#This Row],[Código]],Venda_12meses[],2,FALSE),0)</f>
        <v>0</v>
      </c>
      <c r="Z31" s="44" t="str">
        <f>IFERROR(JK_Haubold[[#This Row],[V. 12 meses]]/JK_Haubold[[#This Row],[Proj. de V. 12 meses]],"")</f>
        <v/>
      </c>
      <c r="AA31" s="22"/>
    </row>
    <row r="32" spans="1:27" x14ac:dyDescent="0.25">
      <c r="A32" s="22" t="str">
        <f>VLOOKUP(JK_Haubold[[#This Row],[Código]],BD_Produto[#All],7,FALSE)</f>
        <v>Fora de linha</v>
      </c>
      <c r="B32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2" s="23">
        <v>33070560255</v>
      </c>
      <c r="D32" s="22" t="s">
        <v>586</v>
      </c>
      <c r="E32" s="22" t="s">
        <v>1677</v>
      </c>
      <c r="F32" s="22" t="s">
        <v>1677</v>
      </c>
      <c r="G32" s="24"/>
      <c r="H32" s="25"/>
      <c r="I32" s="22"/>
      <c r="J32" s="24"/>
      <c r="K32" s="24" t="str">
        <f>IFERROR(VLOOKUP(JK_Haubold[[#This Row],[Código]],Importação!P:R,3,FALSE),"")</f>
        <v/>
      </c>
      <c r="L32" s="24">
        <f>IFERROR(VLOOKUP(JK_Haubold[[#This Row],[Código]],Saldo[],3,FALSE),0)</f>
        <v>150</v>
      </c>
      <c r="M32" s="24">
        <f>SUM(JK_Haubold[[#This Row],[Produção]:[Estoque]])</f>
        <v>150</v>
      </c>
      <c r="N32" s="24" t="str">
        <f>IFERROR(JK_Haubold[[#This Row],[Estoque+Importação]]/JK_Haubold[[#This Row],[Proj. de V. No prox. mes]],"Sem Projeção")</f>
        <v>Sem Projeção</v>
      </c>
      <c r="O3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2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2" s="75">
        <f>VLOOKUP(JK_Haubold[[#This Row],[Código]],Projeção[#All],15,FALSE)</f>
        <v>0</v>
      </c>
      <c r="R32" s="39">
        <f>VLOOKUP(JK_Haubold[[#This Row],[Código]],Projeção[#All],14,FALSE)</f>
        <v>0</v>
      </c>
      <c r="S32" s="39">
        <f>IFERROR(VLOOKUP(JK_Haubold[[#This Row],[Código]],Venda_mes[],2,FALSE),0)</f>
        <v>0</v>
      </c>
      <c r="T32" s="44" t="str">
        <f>IFERROR(JK_Haubold[[#This Row],[V. No mes]]/JK_Haubold[[#This Row],[Proj. de V. No mes]],"")</f>
        <v/>
      </c>
      <c r="U32" s="43">
        <f>VLOOKUP(JK_Haubold[[#This Row],[Código]],Projeção[#All],14,FALSE)+VLOOKUP(JK_Haubold[[#This Row],[Código]],Projeção[#All],13,FALSE)+VLOOKUP(JK_Haubold[[#This Row],[Código]],Projeção[#All],12,FALSE)</f>
        <v>0</v>
      </c>
      <c r="V32" s="39">
        <f>IFERROR(VLOOKUP(JK_Haubold[[#This Row],[Código]],Venda_3meses[],2,FALSE),0)</f>
        <v>0</v>
      </c>
      <c r="W32" s="44" t="str">
        <f>IFERROR(JK_Haubold[[#This Row],[V. 3 meses]]/JK_Haubold[[#This Row],[Proj. de V. 3 meses]],"")</f>
        <v/>
      </c>
      <c r="X32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2" s="39">
        <f>IFERROR(VLOOKUP(JK_Haubold[[#This Row],[Código]],Venda_12meses[],2,FALSE),0)</f>
        <v>0</v>
      </c>
      <c r="Z32" s="44" t="str">
        <f>IFERROR(JK_Haubold[[#This Row],[V. 12 meses]]/JK_Haubold[[#This Row],[Proj. de V. 12 meses]],"")</f>
        <v/>
      </c>
      <c r="AA32" s="22"/>
    </row>
    <row r="33" spans="1:27" x14ac:dyDescent="0.25">
      <c r="A33" s="22" t="str">
        <f>VLOOKUP(JK_Haubold[[#This Row],[Código]],BD_Produto[#All],7,FALSE)</f>
        <v>Fora de linha</v>
      </c>
      <c r="B33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3" s="23">
        <v>33070561320</v>
      </c>
      <c r="D33" s="22" t="s">
        <v>587</v>
      </c>
      <c r="E33" s="22" t="s">
        <v>1677</v>
      </c>
      <c r="F33" s="22" t="s">
        <v>1677</v>
      </c>
      <c r="G33" s="24"/>
      <c r="H33" s="25"/>
      <c r="I33" s="22"/>
      <c r="J33" s="24"/>
      <c r="K33" s="24" t="str">
        <f>IFERROR(VLOOKUP(JK_Haubold[[#This Row],[Código]],Importação!P:R,3,FALSE),"")</f>
        <v/>
      </c>
      <c r="L33" s="24">
        <f>IFERROR(VLOOKUP(JK_Haubold[[#This Row],[Código]],Saldo[],3,FALSE),0)</f>
        <v>96</v>
      </c>
      <c r="M33" s="24">
        <f>SUM(JK_Haubold[[#This Row],[Produção]:[Estoque]])</f>
        <v>96</v>
      </c>
      <c r="N33" s="24" t="str">
        <f>IFERROR(JK_Haubold[[#This Row],[Estoque+Importação]]/JK_Haubold[[#This Row],[Proj. de V. No prox. mes]],"Sem Projeção")</f>
        <v>Sem Projeção</v>
      </c>
      <c r="O3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3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3" s="75">
        <f>VLOOKUP(JK_Haubold[[#This Row],[Código]],Projeção[#All],15,FALSE)</f>
        <v>0</v>
      </c>
      <c r="R33" s="39">
        <f>VLOOKUP(JK_Haubold[[#This Row],[Código]],Projeção[#All],14,FALSE)</f>
        <v>0</v>
      </c>
      <c r="S33" s="39">
        <f>IFERROR(VLOOKUP(JK_Haubold[[#This Row],[Código]],Venda_mes[],2,FALSE),0)</f>
        <v>0</v>
      </c>
      <c r="T33" s="44" t="str">
        <f>IFERROR(JK_Haubold[[#This Row],[V. No mes]]/JK_Haubold[[#This Row],[Proj. de V. No mes]],"")</f>
        <v/>
      </c>
      <c r="U33" s="43">
        <f>VLOOKUP(JK_Haubold[[#This Row],[Código]],Projeção[#All],14,FALSE)+VLOOKUP(JK_Haubold[[#This Row],[Código]],Projeção[#All],13,FALSE)+VLOOKUP(JK_Haubold[[#This Row],[Código]],Projeção[#All],12,FALSE)</f>
        <v>0</v>
      </c>
      <c r="V33" s="39">
        <f>IFERROR(VLOOKUP(JK_Haubold[[#This Row],[Código]],Venda_3meses[],2,FALSE),0)</f>
        <v>0</v>
      </c>
      <c r="W33" s="44" t="str">
        <f>IFERROR(JK_Haubold[[#This Row],[V. 3 meses]]/JK_Haubold[[#This Row],[Proj. de V. 3 meses]],"")</f>
        <v/>
      </c>
      <c r="X33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3" s="39">
        <f>IFERROR(VLOOKUP(JK_Haubold[[#This Row],[Código]],Venda_12meses[],2,FALSE),0)</f>
        <v>0</v>
      </c>
      <c r="Z33" s="44" t="str">
        <f>IFERROR(JK_Haubold[[#This Row],[V. 12 meses]]/JK_Haubold[[#This Row],[Proj. de V. 12 meses]],"")</f>
        <v/>
      </c>
      <c r="AA33" s="22"/>
    </row>
    <row r="34" spans="1:27" x14ac:dyDescent="0.25">
      <c r="A34" s="22" t="str">
        <f>VLOOKUP(JK_Haubold[[#This Row],[Código]],BD_Produto[#All],7,FALSE)</f>
        <v>Fora de linha</v>
      </c>
      <c r="B34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4" s="23">
        <v>33070118017</v>
      </c>
      <c r="D34" s="22" t="s">
        <v>513</v>
      </c>
      <c r="E34" s="22" t="s">
        <v>2058</v>
      </c>
      <c r="F34" s="22" t="s">
        <v>2058</v>
      </c>
      <c r="G34" s="24"/>
      <c r="H34" s="25"/>
      <c r="I34" s="22"/>
      <c r="J34" s="24"/>
      <c r="K34" s="24" t="str">
        <f>IFERROR(VLOOKUP(JK_Haubold[[#This Row],[Código]],Importação!P:R,3,FALSE),"")</f>
        <v/>
      </c>
      <c r="L34" s="24">
        <f>IFERROR(VLOOKUP(JK_Haubold[[#This Row],[Código]],Saldo[],3,FALSE),0)</f>
        <v>8</v>
      </c>
      <c r="M34" s="24">
        <f>SUM(JK_Haubold[[#This Row],[Produção]:[Estoque]])</f>
        <v>8</v>
      </c>
      <c r="N34" s="24" t="str">
        <f>IFERROR(JK_Haubold[[#This Row],[Estoque+Importação]]/JK_Haubold[[#This Row],[Proj. de V. No prox. mes]],"Sem Projeção")</f>
        <v>Sem Projeção</v>
      </c>
      <c r="O3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4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4" s="75">
        <f>VLOOKUP(JK_Haubold[[#This Row],[Código]],Projeção[#All],15,FALSE)</f>
        <v>0</v>
      </c>
      <c r="R34" s="39">
        <f>VLOOKUP(JK_Haubold[[#This Row],[Código]],Projeção[#All],14,FALSE)</f>
        <v>0</v>
      </c>
      <c r="S34" s="39">
        <f>IFERROR(VLOOKUP(JK_Haubold[[#This Row],[Código]],Venda_mes[],2,FALSE),0)</f>
        <v>0</v>
      </c>
      <c r="T34" s="44" t="str">
        <f>IFERROR(JK_Haubold[[#This Row],[V. No mes]]/JK_Haubold[[#This Row],[Proj. de V. No mes]],"")</f>
        <v/>
      </c>
      <c r="U34" s="43">
        <f>VLOOKUP(JK_Haubold[[#This Row],[Código]],Projeção[#All],14,FALSE)+VLOOKUP(JK_Haubold[[#This Row],[Código]],Projeção[#All],13,FALSE)+VLOOKUP(JK_Haubold[[#This Row],[Código]],Projeção[#All],12,FALSE)</f>
        <v>0</v>
      </c>
      <c r="V34" s="39">
        <f>IFERROR(VLOOKUP(JK_Haubold[[#This Row],[Código]],Venda_3meses[],2,FALSE),0)</f>
        <v>0</v>
      </c>
      <c r="W34" s="44" t="str">
        <f>IFERROR(JK_Haubold[[#This Row],[V. 3 meses]]/JK_Haubold[[#This Row],[Proj. de V. 3 meses]],"")</f>
        <v/>
      </c>
      <c r="X34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4" s="39">
        <f>IFERROR(VLOOKUP(JK_Haubold[[#This Row],[Código]],Venda_12meses[],2,FALSE),0)</f>
        <v>0</v>
      </c>
      <c r="Z34" s="44" t="str">
        <f>IFERROR(JK_Haubold[[#This Row],[V. 12 meses]]/JK_Haubold[[#This Row],[Proj. de V. 12 meses]],"")</f>
        <v/>
      </c>
      <c r="AA34" s="22"/>
    </row>
    <row r="35" spans="1:27" x14ac:dyDescent="0.25">
      <c r="A35" s="22" t="str">
        <f>VLOOKUP(JK_Haubold[[#This Row],[Código]],BD_Produto[#All],7,FALSE)</f>
        <v>Fora de linha</v>
      </c>
      <c r="B35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5" s="23">
        <v>33070118020</v>
      </c>
      <c r="D35" s="22" t="s">
        <v>515</v>
      </c>
      <c r="E35" s="22" t="s">
        <v>2058</v>
      </c>
      <c r="F35" s="22" t="s">
        <v>2058</v>
      </c>
      <c r="G35" s="24"/>
      <c r="H35" s="25"/>
      <c r="I35" s="22"/>
      <c r="J35" s="24"/>
      <c r="K35" s="24" t="str">
        <f>IFERROR(VLOOKUP(JK_Haubold[[#This Row],[Código]],Importação!P:R,3,FALSE),"")</f>
        <v/>
      </c>
      <c r="L35" s="24">
        <f>IFERROR(VLOOKUP(JK_Haubold[[#This Row],[Código]],Saldo[],3,FALSE),0)</f>
        <v>4</v>
      </c>
      <c r="M35" s="24">
        <f>SUM(JK_Haubold[[#This Row],[Produção]:[Estoque]])</f>
        <v>4</v>
      </c>
      <c r="N35" s="24" t="str">
        <f>IFERROR(JK_Haubold[[#This Row],[Estoque+Importação]]/JK_Haubold[[#This Row],[Proj. de V. No prox. mes]],"Sem Projeção")</f>
        <v>Sem Projeção</v>
      </c>
      <c r="O35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5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5" s="75">
        <f>VLOOKUP(JK_Haubold[[#This Row],[Código]],Projeção[#All],15,FALSE)</f>
        <v>0</v>
      </c>
      <c r="R35" s="39">
        <f>VLOOKUP(JK_Haubold[[#This Row],[Código]],Projeção[#All],14,FALSE)</f>
        <v>0</v>
      </c>
      <c r="S35" s="39">
        <f>IFERROR(VLOOKUP(JK_Haubold[[#This Row],[Código]],Venda_mes[],2,FALSE),0)</f>
        <v>0</v>
      </c>
      <c r="T35" s="44" t="str">
        <f>IFERROR(JK_Haubold[[#This Row],[V. No mes]]/JK_Haubold[[#This Row],[Proj. de V. No mes]],"")</f>
        <v/>
      </c>
      <c r="U35" s="43">
        <f>VLOOKUP(JK_Haubold[[#This Row],[Código]],Projeção[#All],14,FALSE)+VLOOKUP(JK_Haubold[[#This Row],[Código]],Projeção[#All],13,FALSE)+VLOOKUP(JK_Haubold[[#This Row],[Código]],Projeção[#All],12,FALSE)</f>
        <v>0</v>
      </c>
      <c r="V35" s="39">
        <f>IFERROR(VLOOKUP(JK_Haubold[[#This Row],[Código]],Venda_3meses[],2,FALSE),0)</f>
        <v>0</v>
      </c>
      <c r="W35" s="44" t="str">
        <f>IFERROR(JK_Haubold[[#This Row],[V. 3 meses]]/JK_Haubold[[#This Row],[Proj. de V. 3 meses]],"")</f>
        <v/>
      </c>
      <c r="X35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5" s="39">
        <f>IFERROR(VLOOKUP(JK_Haubold[[#This Row],[Código]],Venda_12meses[],2,FALSE),0)</f>
        <v>0</v>
      </c>
      <c r="Z35" s="44" t="str">
        <f>IFERROR(JK_Haubold[[#This Row],[V. 12 meses]]/JK_Haubold[[#This Row],[Proj. de V. 12 meses]],"")</f>
        <v/>
      </c>
      <c r="AA35" s="22"/>
    </row>
    <row r="36" spans="1:27" x14ac:dyDescent="0.25">
      <c r="A36" s="22" t="str">
        <f>VLOOKUP(JK_Haubold[[#This Row],[Código]],BD_Produto[#All],7,FALSE)</f>
        <v>Fora de linha</v>
      </c>
      <c r="B36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6" s="23">
        <v>33070118022</v>
      </c>
      <c r="D36" s="22" t="s">
        <v>516</v>
      </c>
      <c r="E36" s="22" t="s">
        <v>2058</v>
      </c>
      <c r="F36" s="22" t="s">
        <v>2058</v>
      </c>
      <c r="G36" s="24"/>
      <c r="H36" s="25"/>
      <c r="I36" s="22"/>
      <c r="J36" s="24"/>
      <c r="K36" s="24" t="str">
        <f>IFERROR(VLOOKUP(JK_Haubold[[#This Row],[Código]],Importação!P:R,3,FALSE),"")</f>
        <v/>
      </c>
      <c r="L36" s="24">
        <f>IFERROR(VLOOKUP(JK_Haubold[[#This Row],[Código]],Saldo[],3,FALSE),0)</f>
        <v>4</v>
      </c>
      <c r="M36" s="24">
        <f>SUM(JK_Haubold[[#This Row],[Produção]:[Estoque]])</f>
        <v>4</v>
      </c>
      <c r="N36" s="24" t="str">
        <f>IFERROR(JK_Haubold[[#This Row],[Estoque+Importação]]/JK_Haubold[[#This Row],[Proj. de V. No prox. mes]],"Sem Projeção")</f>
        <v>Sem Projeção</v>
      </c>
      <c r="O36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6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6" s="75">
        <f>VLOOKUP(JK_Haubold[[#This Row],[Código]],Projeção[#All],15,FALSE)</f>
        <v>0</v>
      </c>
      <c r="R36" s="39">
        <f>VLOOKUP(JK_Haubold[[#This Row],[Código]],Projeção[#All],14,FALSE)</f>
        <v>0</v>
      </c>
      <c r="S36" s="39">
        <f>IFERROR(VLOOKUP(JK_Haubold[[#This Row],[Código]],Venda_mes[],2,FALSE),0)</f>
        <v>0</v>
      </c>
      <c r="T36" s="44" t="str">
        <f>IFERROR(JK_Haubold[[#This Row],[V. No mes]]/JK_Haubold[[#This Row],[Proj. de V. No mes]],"")</f>
        <v/>
      </c>
      <c r="U36" s="43">
        <f>VLOOKUP(JK_Haubold[[#This Row],[Código]],Projeção[#All],14,FALSE)+VLOOKUP(JK_Haubold[[#This Row],[Código]],Projeção[#All],13,FALSE)+VLOOKUP(JK_Haubold[[#This Row],[Código]],Projeção[#All],12,FALSE)</f>
        <v>0</v>
      </c>
      <c r="V36" s="39">
        <f>IFERROR(VLOOKUP(JK_Haubold[[#This Row],[Código]],Venda_3meses[],2,FALSE),0)</f>
        <v>0</v>
      </c>
      <c r="W36" s="44" t="str">
        <f>IFERROR(JK_Haubold[[#This Row],[V. 3 meses]]/JK_Haubold[[#This Row],[Proj. de V. 3 meses]],"")</f>
        <v/>
      </c>
      <c r="X36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6" s="39">
        <f>IFERROR(VLOOKUP(JK_Haubold[[#This Row],[Código]],Venda_12meses[],2,FALSE),0)</f>
        <v>0</v>
      </c>
      <c r="Z36" s="44" t="str">
        <f>IFERROR(JK_Haubold[[#This Row],[V. 12 meses]]/JK_Haubold[[#This Row],[Proj. de V. 12 meses]],"")</f>
        <v/>
      </c>
      <c r="AA36" s="22"/>
    </row>
    <row r="37" spans="1:27" x14ac:dyDescent="0.25">
      <c r="A37" s="22" t="str">
        <f>VLOOKUP(JK_Haubold[[#This Row],[Código]],BD_Produto[#All],7,FALSE)</f>
        <v>Fora de linha</v>
      </c>
      <c r="B37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7" s="23">
        <v>33070118025</v>
      </c>
      <c r="D37" s="22" t="s">
        <v>517</v>
      </c>
      <c r="E37" s="22" t="s">
        <v>2058</v>
      </c>
      <c r="F37" s="22" t="s">
        <v>2058</v>
      </c>
      <c r="G37" s="24"/>
      <c r="H37" s="25"/>
      <c r="I37" s="22"/>
      <c r="J37" s="24"/>
      <c r="K37" s="24" t="str">
        <f>IFERROR(VLOOKUP(JK_Haubold[[#This Row],[Código]],Importação!P:R,3,FALSE),"")</f>
        <v/>
      </c>
      <c r="L37" s="24">
        <f>IFERROR(VLOOKUP(JK_Haubold[[#This Row],[Código]],Saldo[],3,FALSE),0)</f>
        <v>4</v>
      </c>
      <c r="M37" s="24">
        <f>SUM(JK_Haubold[[#This Row],[Produção]:[Estoque]])</f>
        <v>4</v>
      </c>
      <c r="N37" s="24" t="str">
        <f>IFERROR(JK_Haubold[[#This Row],[Estoque+Importação]]/JK_Haubold[[#This Row],[Proj. de V. No prox. mes]],"Sem Projeção")</f>
        <v>Sem Projeção</v>
      </c>
      <c r="O3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7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7" s="75">
        <f>VLOOKUP(JK_Haubold[[#This Row],[Código]],Projeção[#All],15,FALSE)</f>
        <v>0</v>
      </c>
      <c r="R37" s="39">
        <f>VLOOKUP(JK_Haubold[[#This Row],[Código]],Projeção[#All],14,FALSE)</f>
        <v>0</v>
      </c>
      <c r="S37" s="39">
        <f>IFERROR(VLOOKUP(JK_Haubold[[#This Row],[Código]],Venda_mes[],2,FALSE),0)</f>
        <v>0</v>
      </c>
      <c r="T37" s="44" t="str">
        <f>IFERROR(JK_Haubold[[#This Row],[V. No mes]]/JK_Haubold[[#This Row],[Proj. de V. No mes]],"")</f>
        <v/>
      </c>
      <c r="U37" s="43">
        <f>VLOOKUP(JK_Haubold[[#This Row],[Código]],Projeção[#All],14,FALSE)+VLOOKUP(JK_Haubold[[#This Row],[Código]],Projeção[#All],13,FALSE)+VLOOKUP(JK_Haubold[[#This Row],[Código]],Projeção[#All],12,FALSE)</f>
        <v>0</v>
      </c>
      <c r="V37" s="39">
        <f>IFERROR(VLOOKUP(JK_Haubold[[#This Row],[Código]],Venda_3meses[],2,FALSE),0)</f>
        <v>0</v>
      </c>
      <c r="W37" s="44" t="str">
        <f>IFERROR(JK_Haubold[[#This Row],[V. 3 meses]]/JK_Haubold[[#This Row],[Proj. de V. 3 meses]],"")</f>
        <v/>
      </c>
      <c r="X37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7" s="39">
        <f>IFERROR(VLOOKUP(JK_Haubold[[#This Row],[Código]],Venda_12meses[],2,FALSE),0)</f>
        <v>0</v>
      </c>
      <c r="Z37" s="44" t="str">
        <f>IFERROR(JK_Haubold[[#This Row],[V. 12 meses]]/JK_Haubold[[#This Row],[Proj. de V. 12 meses]],"")</f>
        <v/>
      </c>
      <c r="AA37" s="22"/>
    </row>
    <row r="38" spans="1:27" x14ac:dyDescent="0.25">
      <c r="A38" s="22" t="str">
        <f>VLOOKUP(JK_Haubold[[#This Row],[Código]],BD_Produto[#All],7,FALSE)</f>
        <v>Fora de linha</v>
      </c>
      <c r="B38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8" s="23">
        <v>33070118027</v>
      </c>
      <c r="D38" s="22" t="s">
        <v>518</v>
      </c>
      <c r="E38" s="22" t="s">
        <v>2058</v>
      </c>
      <c r="F38" s="22" t="s">
        <v>2058</v>
      </c>
      <c r="G38" s="24"/>
      <c r="H38" s="25"/>
      <c r="I38" s="22"/>
      <c r="J38" s="24"/>
      <c r="K38" s="24" t="str">
        <f>IFERROR(VLOOKUP(JK_Haubold[[#This Row],[Código]],Importação!P:R,3,FALSE),"")</f>
        <v/>
      </c>
      <c r="L38" s="24">
        <f>IFERROR(VLOOKUP(JK_Haubold[[#This Row],[Código]],Saldo[],3,FALSE),0)</f>
        <v>8</v>
      </c>
      <c r="M38" s="24">
        <f>SUM(JK_Haubold[[#This Row],[Produção]:[Estoque]])</f>
        <v>8</v>
      </c>
      <c r="N38" s="24" t="str">
        <f>IFERROR(JK_Haubold[[#This Row],[Estoque+Importação]]/JK_Haubold[[#This Row],[Proj. de V. No prox. mes]],"Sem Projeção")</f>
        <v>Sem Projeção</v>
      </c>
      <c r="O3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8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8" s="75">
        <f>VLOOKUP(JK_Haubold[[#This Row],[Código]],Projeção[#All],15,FALSE)</f>
        <v>0</v>
      </c>
      <c r="R38" s="39">
        <f>VLOOKUP(JK_Haubold[[#This Row],[Código]],Projeção[#All],14,FALSE)</f>
        <v>0</v>
      </c>
      <c r="S38" s="39">
        <f>IFERROR(VLOOKUP(JK_Haubold[[#This Row],[Código]],Venda_mes[],2,FALSE),0)</f>
        <v>0</v>
      </c>
      <c r="T38" s="44" t="str">
        <f>IFERROR(JK_Haubold[[#This Row],[V. No mes]]/JK_Haubold[[#This Row],[Proj. de V. No mes]],"")</f>
        <v/>
      </c>
      <c r="U38" s="43">
        <f>VLOOKUP(JK_Haubold[[#This Row],[Código]],Projeção[#All],14,FALSE)+VLOOKUP(JK_Haubold[[#This Row],[Código]],Projeção[#All],13,FALSE)+VLOOKUP(JK_Haubold[[#This Row],[Código]],Projeção[#All],12,FALSE)</f>
        <v>0</v>
      </c>
      <c r="V38" s="39">
        <f>IFERROR(VLOOKUP(JK_Haubold[[#This Row],[Código]],Venda_3meses[],2,FALSE),0)</f>
        <v>0</v>
      </c>
      <c r="W38" s="44" t="str">
        <f>IFERROR(JK_Haubold[[#This Row],[V. 3 meses]]/JK_Haubold[[#This Row],[Proj. de V. 3 meses]],"")</f>
        <v/>
      </c>
      <c r="X38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8" s="39">
        <f>IFERROR(VLOOKUP(JK_Haubold[[#This Row],[Código]],Venda_12meses[],2,FALSE),0)</f>
        <v>0</v>
      </c>
      <c r="Z38" s="44" t="str">
        <f>IFERROR(JK_Haubold[[#This Row],[V. 12 meses]]/JK_Haubold[[#This Row],[Proj. de V. 12 meses]],"")</f>
        <v/>
      </c>
      <c r="AA38" s="22"/>
    </row>
    <row r="39" spans="1:27" x14ac:dyDescent="0.25">
      <c r="A39" s="22" t="str">
        <f>VLOOKUP(JK_Haubold[[#This Row],[Código]],BD_Produto[#All],7,FALSE)</f>
        <v>Fora de linha</v>
      </c>
      <c r="B39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39" s="23">
        <v>33070118045</v>
      </c>
      <c r="D39" s="22" t="s">
        <v>519</v>
      </c>
      <c r="E39" s="22" t="s">
        <v>2058</v>
      </c>
      <c r="F39" s="22" t="s">
        <v>2058</v>
      </c>
      <c r="G39" s="24"/>
      <c r="H39" s="25"/>
      <c r="I39" s="22"/>
      <c r="J39" s="24"/>
      <c r="K39" s="24" t="str">
        <f>IFERROR(VLOOKUP(JK_Haubold[[#This Row],[Código]],Importação!P:R,3,FALSE),"")</f>
        <v/>
      </c>
      <c r="L39" s="24">
        <f>IFERROR(VLOOKUP(JK_Haubold[[#This Row],[Código]],Saldo[],3,FALSE),0)</f>
        <v>2</v>
      </c>
      <c r="M39" s="24">
        <f>SUM(JK_Haubold[[#This Row],[Produção]:[Estoque]])</f>
        <v>2</v>
      </c>
      <c r="N39" s="24" t="str">
        <f>IFERROR(JK_Haubold[[#This Row],[Estoque+Importação]]/JK_Haubold[[#This Row],[Proj. de V. No prox. mes]],"Sem Projeção")</f>
        <v>Sem Projeção</v>
      </c>
      <c r="O3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39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39" s="75">
        <f>VLOOKUP(JK_Haubold[[#This Row],[Código]],Projeção[#All],15,FALSE)</f>
        <v>0</v>
      </c>
      <c r="R39" s="39">
        <f>VLOOKUP(JK_Haubold[[#This Row],[Código]],Projeção[#All],14,FALSE)</f>
        <v>0</v>
      </c>
      <c r="S39" s="39">
        <f>IFERROR(VLOOKUP(JK_Haubold[[#This Row],[Código]],Venda_mes[],2,FALSE),0)</f>
        <v>0</v>
      </c>
      <c r="T39" s="44" t="str">
        <f>IFERROR(JK_Haubold[[#This Row],[V. No mes]]/JK_Haubold[[#This Row],[Proj. de V. No mes]],"")</f>
        <v/>
      </c>
      <c r="U39" s="43">
        <f>VLOOKUP(JK_Haubold[[#This Row],[Código]],Projeção[#All],14,FALSE)+VLOOKUP(JK_Haubold[[#This Row],[Código]],Projeção[#All],13,FALSE)+VLOOKUP(JK_Haubold[[#This Row],[Código]],Projeção[#All],12,FALSE)</f>
        <v>0</v>
      </c>
      <c r="V39" s="39">
        <f>IFERROR(VLOOKUP(JK_Haubold[[#This Row],[Código]],Venda_3meses[],2,FALSE),0)</f>
        <v>0</v>
      </c>
      <c r="W39" s="44" t="str">
        <f>IFERROR(JK_Haubold[[#This Row],[V. 3 meses]]/JK_Haubold[[#This Row],[Proj. de V. 3 meses]],"")</f>
        <v/>
      </c>
      <c r="X39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39" s="39">
        <f>IFERROR(VLOOKUP(JK_Haubold[[#This Row],[Código]],Venda_12meses[],2,FALSE),0)</f>
        <v>0</v>
      </c>
      <c r="Z39" s="44" t="str">
        <f>IFERROR(JK_Haubold[[#This Row],[V. 12 meses]]/JK_Haubold[[#This Row],[Proj. de V. 12 meses]],"")</f>
        <v/>
      </c>
      <c r="AA39" s="22"/>
    </row>
    <row r="40" spans="1:27" x14ac:dyDescent="0.25">
      <c r="A40" s="22" t="str">
        <f>VLOOKUP(JK_Haubold[[#This Row],[Código]],BD_Produto[#All],7,FALSE)</f>
        <v>Fora de linha</v>
      </c>
      <c r="B40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0" s="23">
        <v>33070118010</v>
      </c>
      <c r="D40" s="22" t="s">
        <v>508</v>
      </c>
      <c r="E40" s="22" t="s">
        <v>2058</v>
      </c>
      <c r="F40" s="22" t="s">
        <v>2058</v>
      </c>
      <c r="G40" s="24"/>
      <c r="H40" s="25"/>
      <c r="I40" s="22"/>
      <c r="J40" s="24"/>
      <c r="K40" s="24" t="str">
        <f>IFERROR(VLOOKUP(JK_Haubold[[#This Row],[Código]],Importação!P:R,3,FALSE),"")</f>
        <v/>
      </c>
      <c r="L40" s="24">
        <f>IFERROR(VLOOKUP(JK_Haubold[[#This Row],[Código]],Saldo[],3,FALSE),0)</f>
        <v>4</v>
      </c>
      <c r="M40" s="24">
        <f>SUM(JK_Haubold[[#This Row],[Produção]:[Estoque]])</f>
        <v>4</v>
      </c>
      <c r="N40" s="24" t="str">
        <f>IFERROR(JK_Haubold[[#This Row],[Estoque+Importação]]/JK_Haubold[[#This Row],[Proj. de V. No prox. mes]],"Sem Projeção")</f>
        <v>Sem Projeção</v>
      </c>
      <c r="O4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0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0" s="75">
        <f>VLOOKUP(JK_Haubold[[#This Row],[Código]],Projeção[#All],15,FALSE)</f>
        <v>0</v>
      </c>
      <c r="R40" s="39">
        <f>VLOOKUP(JK_Haubold[[#This Row],[Código]],Projeção[#All],14,FALSE)</f>
        <v>0</v>
      </c>
      <c r="S40" s="39">
        <f>IFERROR(VLOOKUP(JK_Haubold[[#This Row],[Código]],Venda_mes[],2,FALSE),0)</f>
        <v>0</v>
      </c>
      <c r="T40" s="44" t="str">
        <f>IFERROR(JK_Haubold[[#This Row],[V. No mes]]/JK_Haubold[[#This Row],[Proj. de V. No mes]],"")</f>
        <v/>
      </c>
      <c r="U40" s="43">
        <f>VLOOKUP(JK_Haubold[[#This Row],[Código]],Projeção[#All],14,FALSE)+VLOOKUP(JK_Haubold[[#This Row],[Código]],Projeção[#All],13,FALSE)+VLOOKUP(JK_Haubold[[#This Row],[Código]],Projeção[#All],12,FALSE)</f>
        <v>0</v>
      </c>
      <c r="V40" s="39">
        <f>IFERROR(VLOOKUP(JK_Haubold[[#This Row],[Código]],Venda_3meses[],2,FALSE),0)</f>
        <v>0</v>
      </c>
      <c r="W40" s="44" t="str">
        <f>IFERROR(JK_Haubold[[#This Row],[V. 3 meses]]/JK_Haubold[[#This Row],[Proj. de V. 3 meses]],"")</f>
        <v/>
      </c>
      <c r="X40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0" s="39">
        <f>IFERROR(VLOOKUP(JK_Haubold[[#This Row],[Código]],Venda_12meses[],2,FALSE),0)</f>
        <v>0</v>
      </c>
      <c r="Z40" s="44" t="str">
        <f>IFERROR(JK_Haubold[[#This Row],[V. 12 meses]]/JK_Haubold[[#This Row],[Proj. de V. 12 meses]],"")</f>
        <v/>
      </c>
      <c r="AA40" s="22"/>
    </row>
    <row r="41" spans="1:27" x14ac:dyDescent="0.25">
      <c r="A41" s="22" t="str">
        <f>VLOOKUP(JK_Haubold[[#This Row],[Código]],BD_Produto[#All],7,FALSE)</f>
        <v>Fora de linha</v>
      </c>
      <c r="B41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1" s="23">
        <v>33070118011</v>
      </c>
      <c r="D41" s="22" t="s">
        <v>509</v>
      </c>
      <c r="E41" s="22" t="s">
        <v>2058</v>
      </c>
      <c r="F41" s="22" t="s">
        <v>2058</v>
      </c>
      <c r="G41" s="24"/>
      <c r="H41" s="25"/>
      <c r="I41" s="22"/>
      <c r="J41" s="24"/>
      <c r="K41" s="24" t="str">
        <f>IFERROR(VLOOKUP(JK_Haubold[[#This Row],[Código]],Importação!P:R,3,FALSE),"")</f>
        <v/>
      </c>
      <c r="L41" s="24">
        <f>IFERROR(VLOOKUP(JK_Haubold[[#This Row],[Código]],Saldo[],3,FALSE),0)</f>
        <v>4</v>
      </c>
      <c r="M41" s="24">
        <f>SUM(JK_Haubold[[#This Row],[Produção]:[Estoque]])</f>
        <v>4</v>
      </c>
      <c r="N41" s="24" t="str">
        <f>IFERROR(JK_Haubold[[#This Row],[Estoque+Importação]]/JK_Haubold[[#This Row],[Proj. de V. No prox. mes]],"Sem Projeção")</f>
        <v>Sem Projeção</v>
      </c>
      <c r="O4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1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1" s="75">
        <f>VLOOKUP(JK_Haubold[[#This Row],[Código]],Projeção[#All],15,FALSE)</f>
        <v>0</v>
      </c>
      <c r="R41" s="39">
        <f>VLOOKUP(JK_Haubold[[#This Row],[Código]],Projeção[#All],14,FALSE)</f>
        <v>0</v>
      </c>
      <c r="S41" s="39">
        <f>IFERROR(VLOOKUP(JK_Haubold[[#This Row],[Código]],Venda_mes[],2,FALSE),0)</f>
        <v>0</v>
      </c>
      <c r="T41" s="44" t="str">
        <f>IFERROR(JK_Haubold[[#This Row],[V. No mes]]/JK_Haubold[[#This Row],[Proj. de V. No mes]],"")</f>
        <v/>
      </c>
      <c r="U41" s="43">
        <f>VLOOKUP(JK_Haubold[[#This Row],[Código]],Projeção[#All],14,FALSE)+VLOOKUP(JK_Haubold[[#This Row],[Código]],Projeção[#All],13,FALSE)+VLOOKUP(JK_Haubold[[#This Row],[Código]],Projeção[#All],12,FALSE)</f>
        <v>0</v>
      </c>
      <c r="V41" s="39">
        <f>IFERROR(VLOOKUP(JK_Haubold[[#This Row],[Código]],Venda_3meses[],2,FALSE),0)</f>
        <v>0</v>
      </c>
      <c r="W41" s="44" t="str">
        <f>IFERROR(JK_Haubold[[#This Row],[V. 3 meses]]/JK_Haubold[[#This Row],[Proj. de V. 3 meses]],"")</f>
        <v/>
      </c>
      <c r="X41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1" s="39">
        <f>IFERROR(VLOOKUP(JK_Haubold[[#This Row],[Código]],Venda_12meses[],2,FALSE),0)</f>
        <v>0</v>
      </c>
      <c r="Z41" s="44" t="str">
        <f>IFERROR(JK_Haubold[[#This Row],[V. 12 meses]]/JK_Haubold[[#This Row],[Proj. de V. 12 meses]],"")</f>
        <v/>
      </c>
      <c r="AA41" s="22"/>
    </row>
    <row r="42" spans="1:27" x14ac:dyDescent="0.25">
      <c r="A42" s="22" t="str">
        <f>VLOOKUP(JK_Haubold[[#This Row],[Código]],BD_Produto[#All],7,FALSE)</f>
        <v>Fora de linha</v>
      </c>
      <c r="B42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2" s="23">
        <v>33070118012</v>
      </c>
      <c r="D42" s="22" t="s">
        <v>510</v>
      </c>
      <c r="E42" s="22" t="s">
        <v>2062</v>
      </c>
      <c r="F42" s="22" t="s">
        <v>2062</v>
      </c>
      <c r="G42" s="24"/>
      <c r="H42" s="25"/>
      <c r="I42" s="22"/>
      <c r="J42" s="24"/>
      <c r="K42" s="24" t="str">
        <f>IFERROR(VLOOKUP(JK_Haubold[[#This Row],[Código]],Importação!P:R,3,FALSE),"")</f>
        <v/>
      </c>
      <c r="L42" s="24">
        <f>IFERROR(VLOOKUP(JK_Haubold[[#This Row],[Código]],Saldo[],3,FALSE),0)</f>
        <v>4</v>
      </c>
      <c r="M42" s="24">
        <f>SUM(JK_Haubold[[#This Row],[Produção]:[Estoque]])</f>
        <v>4</v>
      </c>
      <c r="N42" s="24" t="str">
        <f>IFERROR(JK_Haubold[[#This Row],[Estoque+Importação]]/JK_Haubold[[#This Row],[Proj. de V. No prox. mes]],"Sem Projeção")</f>
        <v>Sem Projeção</v>
      </c>
      <c r="O4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2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2" s="75">
        <f>VLOOKUP(JK_Haubold[[#This Row],[Código]],Projeção[#All],15,FALSE)</f>
        <v>0</v>
      </c>
      <c r="R42" s="39">
        <f>VLOOKUP(JK_Haubold[[#This Row],[Código]],Projeção[#All],14,FALSE)</f>
        <v>0</v>
      </c>
      <c r="S42" s="39">
        <f>IFERROR(VLOOKUP(JK_Haubold[[#This Row],[Código]],Venda_mes[],2,FALSE),0)</f>
        <v>0</v>
      </c>
      <c r="T42" s="44" t="str">
        <f>IFERROR(JK_Haubold[[#This Row],[V. No mes]]/JK_Haubold[[#This Row],[Proj. de V. No mes]],"")</f>
        <v/>
      </c>
      <c r="U42" s="43">
        <f>VLOOKUP(JK_Haubold[[#This Row],[Código]],Projeção[#All],14,FALSE)+VLOOKUP(JK_Haubold[[#This Row],[Código]],Projeção[#All],13,FALSE)+VLOOKUP(JK_Haubold[[#This Row],[Código]],Projeção[#All],12,FALSE)</f>
        <v>0</v>
      </c>
      <c r="V42" s="39">
        <f>IFERROR(VLOOKUP(JK_Haubold[[#This Row],[Código]],Venda_3meses[],2,FALSE),0)</f>
        <v>0</v>
      </c>
      <c r="W42" s="44" t="str">
        <f>IFERROR(JK_Haubold[[#This Row],[V. 3 meses]]/JK_Haubold[[#This Row],[Proj. de V. 3 meses]],"")</f>
        <v/>
      </c>
      <c r="X42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2" s="39">
        <f>IFERROR(VLOOKUP(JK_Haubold[[#This Row],[Código]],Venda_12meses[],2,FALSE),0)</f>
        <v>0</v>
      </c>
      <c r="Z42" s="44" t="str">
        <f>IFERROR(JK_Haubold[[#This Row],[V. 12 meses]]/JK_Haubold[[#This Row],[Proj. de V. 12 meses]],"")</f>
        <v/>
      </c>
      <c r="AA42" s="22"/>
    </row>
    <row r="43" spans="1:27" x14ac:dyDescent="0.25">
      <c r="A43" s="22" t="str">
        <f>VLOOKUP(JK_Haubold[[#This Row],[Código]],BD_Produto[#All],7,FALSE)</f>
        <v>Fora de linha</v>
      </c>
      <c r="B43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3" s="23">
        <v>33070118013</v>
      </c>
      <c r="D43" s="22" t="s">
        <v>511</v>
      </c>
      <c r="E43" s="22" t="s">
        <v>2058</v>
      </c>
      <c r="F43" s="22" t="s">
        <v>2058</v>
      </c>
      <c r="G43" s="24"/>
      <c r="H43" s="25"/>
      <c r="I43" s="22"/>
      <c r="J43" s="24"/>
      <c r="K43" s="24" t="str">
        <f>IFERROR(VLOOKUP(JK_Haubold[[#This Row],[Código]],Importação!P:R,3,FALSE),"")</f>
        <v/>
      </c>
      <c r="L43" s="24">
        <f>IFERROR(VLOOKUP(JK_Haubold[[#This Row],[Código]],Saldo[],3,FALSE),0)</f>
        <v>3</v>
      </c>
      <c r="M43" s="24">
        <f>SUM(JK_Haubold[[#This Row],[Produção]:[Estoque]])</f>
        <v>3</v>
      </c>
      <c r="N43" s="24" t="str">
        <f>IFERROR(JK_Haubold[[#This Row],[Estoque+Importação]]/JK_Haubold[[#This Row],[Proj. de V. No prox. mes]],"Sem Projeção")</f>
        <v>Sem Projeção</v>
      </c>
      <c r="O4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3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3" s="75">
        <f>VLOOKUP(JK_Haubold[[#This Row],[Código]],Projeção[#All],15,FALSE)</f>
        <v>0</v>
      </c>
      <c r="R43" s="39">
        <f>VLOOKUP(JK_Haubold[[#This Row],[Código]],Projeção[#All],14,FALSE)</f>
        <v>0</v>
      </c>
      <c r="S43" s="39">
        <f>IFERROR(VLOOKUP(JK_Haubold[[#This Row],[Código]],Venda_mes[],2,FALSE),0)</f>
        <v>0</v>
      </c>
      <c r="T43" s="44" t="str">
        <f>IFERROR(JK_Haubold[[#This Row],[V. No mes]]/JK_Haubold[[#This Row],[Proj. de V. No mes]],"")</f>
        <v/>
      </c>
      <c r="U43" s="43">
        <f>VLOOKUP(JK_Haubold[[#This Row],[Código]],Projeção[#All],14,FALSE)+VLOOKUP(JK_Haubold[[#This Row],[Código]],Projeção[#All],13,FALSE)+VLOOKUP(JK_Haubold[[#This Row],[Código]],Projeção[#All],12,FALSE)</f>
        <v>0</v>
      </c>
      <c r="V43" s="39">
        <f>IFERROR(VLOOKUP(JK_Haubold[[#This Row],[Código]],Venda_3meses[],2,FALSE),0)</f>
        <v>0</v>
      </c>
      <c r="W43" s="44" t="str">
        <f>IFERROR(JK_Haubold[[#This Row],[V. 3 meses]]/JK_Haubold[[#This Row],[Proj. de V. 3 meses]],"")</f>
        <v/>
      </c>
      <c r="X43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3" s="39">
        <f>IFERROR(VLOOKUP(JK_Haubold[[#This Row],[Código]],Venda_12meses[],2,FALSE),0)</f>
        <v>0</v>
      </c>
      <c r="Z43" s="44" t="str">
        <f>IFERROR(JK_Haubold[[#This Row],[V. 12 meses]]/JK_Haubold[[#This Row],[Proj. de V. 12 meses]],"")</f>
        <v/>
      </c>
      <c r="AA43" s="22"/>
    </row>
    <row r="44" spans="1:27" x14ac:dyDescent="0.25">
      <c r="A44" s="22" t="str">
        <f>VLOOKUP(JK_Haubold[[#This Row],[Código]],BD_Produto[#All],7,FALSE)</f>
        <v>Fora de linha</v>
      </c>
      <c r="B44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4" s="23">
        <v>33070118014</v>
      </c>
      <c r="D44" s="22" t="s">
        <v>512</v>
      </c>
      <c r="E44" s="22" t="s">
        <v>2058</v>
      </c>
      <c r="F44" s="22" t="s">
        <v>2058</v>
      </c>
      <c r="G44" s="24"/>
      <c r="H44" s="25"/>
      <c r="I44" s="22"/>
      <c r="J44" s="24"/>
      <c r="K44" s="24" t="str">
        <f>IFERROR(VLOOKUP(JK_Haubold[[#This Row],[Código]],Importação!P:R,3,FALSE),"")</f>
        <v/>
      </c>
      <c r="L44" s="24">
        <f>IFERROR(VLOOKUP(JK_Haubold[[#This Row],[Código]],Saldo[],3,FALSE),0)</f>
        <v>4</v>
      </c>
      <c r="M44" s="24">
        <f>SUM(JK_Haubold[[#This Row],[Produção]:[Estoque]])</f>
        <v>4</v>
      </c>
      <c r="N44" s="24" t="str">
        <f>IFERROR(JK_Haubold[[#This Row],[Estoque+Importação]]/JK_Haubold[[#This Row],[Proj. de V. No prox. mes]],"Sem Projeção")</f>
        <v>Sem Projeção</v>
      </c>
      <c r="O4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4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4" s="75">
        <f>VLOOKUP(JK_Haubold[[#This Row],[Código]],Projeção[#All],15,FALSE)</f>
        <v>0</v>
      </c>
      <c r="R44" s="39">
        <f>VLOOKUP(JK_Haubold[[#This Row],[Código]],Projeção[#All],14,FALSE)</f>
        <v>0</v>
      </c>
      <c r="S44" s="39">
        <f>IFERROR(VLOOKUP(JK_Haubold[[#This Row],[Código]],Venda_mes[],2,FALSE),0)</f>
        <v>0</v>
      </c>
      <c r="T44" s="44" t="str">
        <f>IFERROR(JK_Haubold[[#This Row],[V. No mes]]/JK_Haubold[[#This Row],[Proj. de V. No mes]],"")</f>
        <v/>
      </c>
      <c r="U44" s="43">
        <f>VLOOKUP(JK_Haubold[[#This Row],[Código]],Projeção[#All],14,FALSE)+VLOOKUP(JK_Haubold[[#This Row],[Código]],Projeção[#All],13,FALSE)+VLOOKUP(JK_Haubold[[#This Row],[Código]],Projeção[#All],12,FALSE)</f>
        <v>0</v>
      </c>
      <c r="V44" s="39">
        <f>IFERROR(VLOOKUP(JK_Haubold[[#This Row],[Código]],Venda_3meses[],2,FALSE),0)</f>
        <v>0</v>
      </c>
      <c r="W44" s="44" t="str">
        <f>IFERROR(JK_Haubold[[#This Row],[V. 3 meses]]/JK_Haubold[[#This Row],[Proj. de V. 3 meses]],"")</f>
        <v/>
      </c>
      <c r="X44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4" s="39">
        <f>IFERROR(VLOOKUP(JK_Haubold[[#This Row],[Código]],Venda_12meses[],2,FALSE),0)</f>
        <v>0</v>
      </c>
      <c r="Z44" s="44" t="str">
        <f>IFERROR(JK_Haubold[[#This Row],[V. 12 meses]]/JK_Haubold[[#This Row],[Proj. de V. 12 meses]],"")</f>
        <v/>
      </c>
      <c r="AA44" s="22"/>
    </row>
    <row r="45" spans="1:27" x14ac:dyDescent="0.25">
      <c r="A45" s="22" t="str">
        <f>VLOOKUP(JK_Haubold[[#This Row],[Código]],BD_Produto[#All],7,FALSE)</f>
        <v>Fora de linha</v>
      </c>
      <c r="B45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5" s="23">
        <v>33070118018</v>
      </c>
      <c r="D45" s="22" t="s">
        <v>514</v>
      </c>
      <c r="E45" s="22" t="s">
        <v>2058</v>
      </c>
      <c r="F45" s="22" t="s">
        <v>2058</v>
      </c>
      <c r="G45" s="24"/>
      <c r="H45" s="25"/>
      <c r="I45" s="22"/>
      <c r="J45" s="24"/>
      <c r="K45" s="24" t="str">
        <f>IFERROR(VLOOKUP(JK_Haubold[[#This Row],[Código]],Importação!P:R,3,FALSE),"")</f>
        <v/>
      </c>
      <c r="L45" s="24">
        <f>IFERROR(VLOOKUP(JK_Haubold[[#This Row],[Código]],Saldo[],3,FALSE),0)</f>
        <v>3</v>
      </c>
      <c r="M45" s="24">
        <f>SUM(JK_Haubold[[#This Row],[Produção]:[Estoque]])</f>
        <v>3</v>
      </c>
      <c r="N45" s="24" t="str">
        <f>IFERROR(JK_Haubold[[#This Row],[Estoque+Importação]]/JK_Haubold[[#This Row],[Proj. de V. No prox. mes]],"Sem Projeção")</f>
        <v>Sem Projeção</v>
      </c>
      <c r="O45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5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5" s="75">
        <f>VLOOKUP(JK_Haubold[[#This Row],[Código]],Projeção[#All],15,FALSE)</f>
        <v>0</v>
      </c>
      <c r="R45" s="39">
        <f>VLOOKUP(JK_Haubold[[#This Row],[Código]],Projeção[#All],14,FALSE)</f>
        <v>0</v>
      </c>
      <c r="S45" s="39">
        <f>IFERROR(VLOOKUP(JK_Haubold[[#This Row],[Código]],Venda_mes[],2,FALSE),0)</f>
        <v>0</v>
      </c>
      <c r="T45" s="44" t="str">
        <f>IFERROR(JK_Haubold[[#This Row],[V. No mes]]/JK_Haubold[[#This Row],[Proj. de V. No mes]],"")</f>
        <v/>
      </c>
      <c r="U45" s="43">
        <f>VLOOKUP(JK_Haubold[[#This Row],[Código]],Projeção[#All],14,FALSE)+VLOOKUP(JK_Haubold[[#This Row],[Código]],Projeção[#All],13,FALSE)+VLOOKUP(JK_Haubold[[#This Row],[Código]],Projeção[#All],12,FALSE)</f>
        <v>0</v>
      </c>
      <c r="V45" s="39">
        <f>IFERROR(VLOOKUP(JK_Haubold[[#This Row],[Código]],Venda_3meses[],2,FALSE),0)</f>
        <v>0</v>
      </c>
      <c r="W45" s="44" t="str">
        <f>IFERROR(JK_Haubold[[#This Row],[V. 3 meses]]/JK_Haubold[[#This Row],[Proj. de V. 3 meses]],"")</f>
        <v/>
      </c>
      <c r="X45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5" s="39">
        <f>IFERROR(VLOOKUP(JK_Haubold[[#This Row],[Código]],Venda_12meses[],2,FALSE),0)</f>
        <v>0</v>
      </c>
      <c r="Z45" s="44" t="str">
        <f>IFERROR(JK_Haubold[[#This Row],[V. 12 meses]]/JK_Haubold[[#This Row],[Proj. de V. 12 meses]],"")</f>
        <v/>
      </c>
      <c r="AA45" s="22"/>
    </row>
    <row r="46" spans="1:27" x14ac:dyDescent="0.25">
      <c r="A46" s="22" t="str">
        <f>VLOOKUP(JK_Haubold[[#This Row],[Código]],BD_Produto[#All],7,FALSE)</f>
        <v>Fora de linha</v>
      </c>
      <c r="B46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6" s="23">
        <v>33070418009</v>
      </c>
      <c r="D46" s="22" t="s">
        <v>528</v>
      </c>
      <c r="E46" s="22" t="s">
        <v>1756</v>
      </c>
      <c r="F46" s="22" t="s">
        <v>1756</v>
      </c>
      <c r="G46" s="24"/>
      <c r="H46" s="25"/>
      <c r="I46" s="22"/>
      <c r="J46" s="24"/>
      <c r="K46" s="24" t="str">
        <f>IFERROR(VLOOKUP(JK_Haubold[[#This Row],[Código]],Importação!P:R,3,FALSE),"")</f>
        <v/>
      </c>
      <c r="L46" s="24">
        <f>IFERROR(VLOOKUP(JK_Haubold[[#This Row],[Código]],Saldo[],3,FALSE),0)</f>
        <v>5</v>
      </c>
      <c r="M46" s="24">
        <f>SUM(JK_Haubold[[#This Row],[Produção]:[Estoque]])</f>
        <v>5</v>
      </c>
      <c r="N46" s="24" t="str">
        <f>IFERROR(JK_Haubold[[#This Row],[Estoque+Importação]]/JK_Haubold[[#This Row],[Proj. de V. No prox. mes]],"Sem Projeção")</f>
        <v>Sem Projeção</v>
      </c>
      <c r="O46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6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6" s="75">
        <f>VLOOKUP(JK_Haubold[[#This Row],[Código]],Projeção[#All],15,FALSE)</f>
        <v>0</v>
      </c>
      <c r="R46" s="39">
        <f>VLOOKUP(JK_Haubold[[#This Row],[Código]],Projeção[#All],14,FALSE)</f>
        <v>0</v>
      </c>
      <c r="S46" s="39">
        <f>IFERROR(VLOOKUP(JK_Haubold[[#This Row],[Código]],Venda_mes[],2,FALSE),0)</f>
        <v>0</v>
      </c>
      <c r="T46" s="44" t="str">
        <f>IFERROR(JK_Haubold[[#This Row],[V. No mes]]/JK_Haubold[[#This Row],[Proj. de V. No mes]],"")</f>
        <v/>
      </c>
      <c r="U46" s="43">
        <f>VLOOKUP(JK_Haubold[[#This Row],[Código]],Projeção[#All],14,FALSE)+VLOOKUP(JK_Haubold[[#This Row],[Código]],Projeção[#All],13,FALSE)+VLOOKUP(JK_Haubold[[#This Row],[Código]],Projeção[#All],12,FALSE)</f>
        <v>0</v>
      </c>
      <c r="V46" s="39">
        <f>IFERROR(VLOOKUP(JK_Haubold[[#This Row],[Código]],Venda_3meses[],2,FALSE),0)</f>
        <v>0</v>
      </c>
      <c r="W46" s="44" t="str">
        <f>IFERROR(JK_Haubold[[#This Row],[V. 3 meses]]/JK_Haubold[[#This Row],[Proj. de V. 3 meses]],"")</f>
        <v/>
      </c>
      <c r="X46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6" s="39">
        <f>IFERROR(VLOOKUP(JK_Haubold[[#This Row],[Código]],Venda_12meses[],2,FALSE),0)</f>
        <v>0</v>
      </c>
      <c r="Z46" s="44" t="str">
        <f>IFERROR(JK_Haubold[[#This Row],[V. 12 meses]]/JK_Haubold[[#This Row],[Proj. de V. 12 meses]],"")</f>
        <v/>
      </c>
      <c r="AA46" s="22"/>
    </row>
    <row r="47" spans="1:27" x14ac:dyDescent="0.25">
      <c r="A47" s="22" t="str">
        <f>VLOOKUP(JK_Haubold[[#This Row],[Código]],BD_Produto[#All],7,FALSE)</f>
        <v>Fora de linha</v>
      </c>
      <c r="B47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7" s="23">
        <v>33070418016</v>
      </c>
      <c r="D47" s="22" t="s">
        <v>529</v>
      </c>
      <c r="E47" s="22" t="s">
        <v>1756</v>
      </c>
      <c r="F47" s="22" t="s">
        <v>1756</v>
      </c>
      <c r="G47" s="24"/>
      <c r="H47" s="25"/>
      <c r="I47" s="22"/>
      <c r="J47" s="24"/>
      <c r="K47" s="24" t="str">
        <f>IFERROR(VLOOKUP(JK_Haubold[[#This Row],[Código]],Importação!P:R,3,FALSE),"")</f>
        <v/>
      </c>
      <c r="L47" s="24">
        <f>IFERROR(VLOOKUP(JK_Haubold[[#This Row],[Código]],Saldo[],3,FALSE),0)</f>
        <v>5</v>
      </c>
      <c r="M47" s="24">
        <f>SUM(JK_Haubold[[#This Row],[Produção]:[Estoque]])</f>
        <v>5</v>
      </c>
      <c r="N47" s="24" t="str">
        <f>IFERROR(JK_Haubold[[#This Row],[Estoque+Importação]]/JK_Haubold[[#This Row],[Proj. de V. No prox. mes]],"Sem Projeção")</f>
        <v>Sem Projeção</v>
      </c>
      <c r="O4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7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7" s="75">
        <f>VLOOKUP(JK_Haubold[[#This Row],[Código]],Projeção[#All],15,FALSE)</f>
        <v>0</v>
      </c>
      <c r="R47" s="39">
        <f>VLOOKUP(JK_Haubold[[#This Row],[Código]],Projeção[#All],14,FALSE)</f>
        <v>0</v>
      </c>
      <c r="S47" s="39">
        <f>IFERROR(VLOOKUP(JK_Haubold[[#This Row],[Código]],Venda_mes[],2,FALSE),0)</f>
        <v>0</v>
      </c>
      <c r="T47" s="44" t="str">
        <f>IFERROR(JK_Haubold[[#This Row],[V. No mes]]/JK_Haubold[[#This Row],[Proj. de V. No mes]],"")</f>
        <v/>
      </c>
      <c r="U47" s="43">
        <f>VLOOKUP(JK_Haubold[[#This Row],[Código]],Projeção[#All],14,FALSE)+VLOOKUP(JK_Haubold[[#This Row],[Código]],Projeção[#All],13,FALSE)+VLOOKUP(JK_Haubold[[#This Row],[Código]],Projeção[#All],12,FALSE)</f>
        <v>0</v>
      </c>
      <c r="V47" s="39">
        <f>IFERROR(VLOOKUP(JK_Haubold[[#This Row],[Código]],Venda_3meses[],2,FALSE),0)</f>
        <v>0</v>
      </c>
      <c r="W47" s="44" t="str">
        <f>IFERROR(JK_Haubold[[#This Row],[V. 3 meses]]/JK_Haubold[[#This Row],[Proj. de V. 3 meses]],"")</f>
        <v/>
      </c>
      <c r="X47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7" s="39">
        <f>IFERROR(VLOOKUP(JK_Haubold[[#This Row],[Código]],Venda_12meses[],2,FALSE),0)</f>
        <v>0</v>
      </c>
      <c r="Z47" s="44" t="str">
        <f>IFERROR(JK_Haubold[[#This Row],[V. 12 meses]]/JK_Haubold[[#This Row],[Proj. de V. 12 meses]],"")</f>
        <v/>
      </c>
      <c r="AA47" s="22"/>
    </row>
    <row r="48" spans="1:27" x14ac:dyDescent="0.25">
      <c r="A48" s="22" t="str">
        <f>VLOOKUP(JK_Haubold[[#This Row],[Código]],BD_Produto[#All],7,FALSE)</f>
        <v>Fora de linha</v>
      </c>
      <c r="B48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8" s="23">
        <v>33070418019</v>
      </c>
      <c r="D48" s="22" t="s">
        <v>530</v>
      </c>
      <c r="E48" s="22" t="s">
        <v>1756</v>
      </c>
      <c r="F48" s="22" t="s">
        <v>1756</v>
      </c>
      <c r="G48" s="24"/>
      <c r="H48" s="25"/>
      <c r="I48" s="22"/>
      <c r="J48" s="24"/>
      <c r="K48" s="24" t="str">
        <f>IFERROR(VLOOKUP(JK_Haubold[[#This Row],[Código]],Importação!P:R,3,FALSE),"")</f>
        <v/>
      </c>
      <c r="L48" s="24">
        <f>IFERROR(VLOOKUP(JK_Haubold[[#This Row],[Código]],Saldo[],3,FALSE),0)</f>
        <v>4</v>
      </c>
      <c r="M48" s="24">
        <f>SUM(JK_Haubold[[#This Row],[Produção]:[Estoque]])</f>
        <v>4</v>
      </c>
      <c r="N48" s="24" t="str">
        <f>IFERROR(JK_Haubold[[#This Row],[Estoque+Importação]]/JK_Haubold[[#This Row],[Proj. de V. No prox. mes]],"Sem Projeção")</f>
        <v>Sem Projeção</v>
      </c>
      <c r="O4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8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8" s="75">
        <f>VLOOKUP(JK_Haubold[[#This Row],[Código]],Projeção[#All],15,FALSE)</f>
        <v>0</v>
      </c>
      <c r="R48" s="39">
        <f>VLOOKUP(JK_Haubold[[#This Row],[Código]],Projeção[#All],14,FALSE)</f>
        <v>0</v>
      </c>
      <c r="S48" s="39">
        <f>IFERROR(VLOOKUP(JK_Haubold[[#This Row],[Código]],Venda_mes[],2,FALSE),0)</f>
        <v>0</v>
      </c>
      <c r="T48" s="44" t="str">
        <f>IFERROR(JK_Haubold[[#This Row],[V. No mes]]/JK_Haubold[[#This Row],[Proj. de V. No mes]],"")</f>
        <v/>
      </c>
      <c r="U48" s="43">
        <f>VLOOKUP(JK_Haubold[[#This Row],[Código]],Projeção[#All],14,FALSE)+VLOOKUP(JK_Haubold[[#This Row],[Código]],Projeção[#All],13,FALSE)+VLOOKUP(JK_Haubold[[#This Row],[Código]],Projeção[#All],12,FALSE)</f>
        <v>0</v>
      </c>
      <c r="V48" s="39">
        <f>IFERROR(VLOOKUP(JK_Haubold[[#This Row],[Código]],Venda_3meses[],2,FALSE),0)</f>
        <v>0</v>
      </c>
      <c r="W48" s="44" t="str">
        <f>IFERROR(JK_Haubold[[#This Row],[V. 3 meses]]/JK_Haubold[[#This Row],[Proj. de V. 3 meses]],"")</f>
        <v/>
      </c>
      <c r="X48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8" s="39">
        <f>IFERROR(VLOOKUP(JK_Haubold[[#This Row],[Código]],Venda_12meses[],2,FALSE),0)</f>
        <v>0</v>
      </c>
      <c r="Z48" s="44" t="str">
        <f>IFERROR(JK_Haubold[[#This Row],[V. 12 meses]]/JK_Haubold[[#This Row],[Proj. de V. 12 meses]],"")</f>
        <v/>
      </c>
      <c r="AA48" s="22"/>
    </row>
    <row r="49" spans="1:27" x14ac:dyDescent="0.25">
      <c r="A49" s="22" t="str">
        <f>VLOOKUP(JK_Haubold[[#This Row],[Código]],BD_Produto[#All],7,FALSE)</f>
        <v>Fora de linha</v>
      </c>
      <c r="B49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49" s="23">
        <v>33070418021</v>
      </c>
      <c r="D49" s="22" t="s">
        <v>531</v>
      </c>
      <c r="E49" s="22" t="s">
        <v>1756</v>
      </c>
      <c r="F49" s="22" t="s">
        <v>1756</v>
      </c>
      <c r="G49" s="24"/>
      <c r="H49" s="25"/>
      <c r="I49" s="22"/>
      <c r="J49" s="24"/>
      <c r="K49" s="24" t="str">
        <f>IFERROR(VLOOKUP(JK_Haubold[[#This Row],[Código]],Importação!P:R,3,FALSE),"")</f>
        <v/>
      </c>
      <c r="L49" s="24">
        <f>IFERROR(VLOOKUP(JK_Haubold[[#This Row],[Código]],Saldo[],3,FALSE),0)</f>
        <v>5</v>
      </c>
      <c r="M49" s="24">
        <f>SUM(JK_Haubold[[#This Row],[Produção]:[Estoque]])</f>
        <v>5</v>
      </c>
      <c r="N49" s="24" t="str">
        <f>IFERROR(JK_Haubold[[#This Row],[Estoque+Importação]]/JK_Haubold[[#This Row],[Proj. de V. No prox. mes]],"Sem Projeção")</f>
        <v>Sem Projeção</v>
      </c>
      <c r="O4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49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49" s="75">
        <f>VLOOKUP(JK_Haubold[[#This Row],[Código]],Projeção[#All],15,FALSE)</f>
        <v>0</v>
      </c>
      <c r="R49" s="39">
        <f>VLOOKUP(JK_Haubold[[#This Row],[Código]],Projeção[#All],14,FALSE)</f>
        <v>0</v>
      </c>
      <c r="S49" s="39">
        <f>IFERROR(VLOOKUP(JK_Haubold[[#This Row],[Código]],Venda_mes[],2,FALSE),0)</f>
        <v>0</v>
      </c>
      <c r="T49" s="44" t="str">
        <f>IFERROR(JK_Haubold[[#This Row],[V. No mes]]/JK_Haubold[[#This Row],[Proj. de V. No mes]],"")</f>
        <v/>
      </c>
      <c r="U49" s="43">
        <f>VLOOKUP(JK_Haubold[[#This Row],[Código]],Projeção[#All],14,FALSE)+VLOOKUP(JK_Haubold[[#This Row],[Código]],Projeção[#All],13,FALSE)+VLOOKUP(JK_Haubold[[#This Row],[Código]],Projeção[#All],12,FALSE)</f>
        <v>0</v>
      </c>
      <c r="V49" s="39">
        <f>IFERROR(VLOOKUP(JK_Haubold[[#This Row],[Código]],Venda_3meses[],2,FALSE),0)</f>
        <v>0</v>
      </c>
      <c r="W49" s="44" t="str">
        <f>IFERROR(JK_Haubold[[#This Row],[V. 3 meses]]/JK_Haubold[[#This Row],[Proj. de V. 3 meses]],"")</f>
        <v/>
      </c>
      <c r="X49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49" s="39">
        <f>IFERROR(VLOOKUP(JK_Haubold[[#This Row],[Código]],Venda_12meses[],2,FALSE),0)</f>
        <v>0</v>
      </c>
      <c r="Z49" s="44" t="str">
        <f>IFERROR(JK_Haubold[[#This Row],[V. 12 meses]]/JK_Haubold[[#This Row],[Proj. de V. 12 meses]],"")</f>
        <v/>
      </c>
      <c r="AA49" s="22"/>
    </row>
    <row r="50" spans="1:27" x14ac:dyDescent="0.25">
      <c r="A50" s="22" t="str">
        <f>VLOOKUP(JK_Haubold[[#This Row],[Código]],BD_Produto[#All],7,FALSE)</f>
        <v>Fora de linha</v>
      </c>
      <c r="B50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0" s="23">
        <v>33070418023</v>
      </c>
      <c r="D50" s="22" t="s">
        <v>532</v>
      </c>
      <c r="E50" s="22" t="s">
        <v>1756</v>
      </c>
      <c r="F50" s="22" t="s">
        <v>1756</v>
      </c>
      <c r="G50" s="24"/>
      <c r="H50" s="25"/>
      <c r="I50" s="22"/>
      <c r="J50" s="24"/>
      <c r="K50" s="24" t="str">
        <f>IFERROR(VLOOKUP(JK_Haubold[[#This Row],[Código]],Importação!P:R,3,FALSE),"")</f>
        <v/>
      </c>
      <c r="L50" s="24">
        <f>IFERROR(VLOOKUP(JK_Haubold[[#This Row],[Código]],Saldo[],3,FALSE),0)</f>
        <v>5</v>
      </c>
      <c r="M50" s="24">
        <f>SUM(JK_Haubold[[#This Row],[Produção]:[Estoque]])</f>
        <v>5</v>
      </c>
      <c r="N50" s="24" t="str">
        <f>IFERROR(JK_Haubold[[#This Row],[Estoque+Importação]]/JK_Haubold[[#This Row],[Proj. de V. No prox. mes]],"Sem Projeção")</f>
        <v>Sem Projeção</v>
      </c>
      <c r="O5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0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0" s="75">
        <f>VLOOKUP(JK_Haubold[[#This Row],[Código]],Projeção[#All],15,FALSE)</f>
        <v>0</v>
      </c>
      <c r="R50" s="39">
        <f>VLOOKUP(JK_Haubold[[#This Row],[Código]],Projeção[#All],14,FALSE)</f>
        <v>0</v>
      </c>
      <c r="S50" s="39">
        <f>IFERROR(VLOOKUP(JK_Haubold[[#This Row],[Código]],Venda_mes[],2,FALSE),0)</f>
        <v>0</v>
      </c>
      <c r="T50" s="44" t="str">
        <f>IFERROR(JK_Haubold[[#This Row],[V. No mes]]/JK_Haubold[[#This Row],[Proj. de V. No mes]],"")</f>
        <v/>
      </c>
      <c r="U50" s="43">
        <f>VLOOKUP(JK_Haubold[[#This Row],[Código]],Projeção[#All],14,FALSE)+VLOOKUP(JK_Haubold[[#This Row],[Código]],Projeção[#All],13,FALSE)+VLOOKUP(JK_Haubold[[#This Row],[Código]],Projeção[#All],12,FALSE)</f>
        <v>0</v>
      </c>
      <c r="V50" s="39">
        <f>IFERROR(VLOOKUP(JK_Haubold[[#This Row],[Código]],Venda_3meses[],2,FALSE),0)</f>
        <v>0</v>
      </c>
      <c r="W50" s="44" t="str">
        <f>IFERROR(JK_Haubold[[#This Row],[V. 3 meses]]/JK_Haubold[[#This Row],[Proj. de V. 3 meses]],"")</f>
        <v/>
      </c>
      <c r="X50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0" s="39">
        <f>IFERROR(VLOOKUP(JK_Haubold[[#This Row],[Código]],Venda_12meses[],2,FALSE),0)</f>
        <v>0</v>
      </c>
      <c r="Z50" s="44" t="str">
        <f>IFERROR(JK_Haubold[[#This Row],[V. 12 meses]]/JK_Haubold[[#This Row],[Proj. de V. 12 meses]],"")</f>
        <v/>
      </c>
      <c r="AA50" s="22"/>
    </row>
    <row r="51" spans="1:27" x14ac:dyDescent="0.25">
      <c r="A51" s="22" t="str">
        <f>VLOOKUP(JK_Haubold[[#This Row],[Código]],BD_Produto[#All],7,FALSE)</f>
        <v>Fora de linha</v>
      </c>
      <c r="B51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1" s="23">
        <v>33070418026</v>
      </c>
      <c r="D51" s="22" t="s">
        <v>533</v>
      </c>
      <c r="E51" s="22" t="s">
        <v>1756</v>
      </c>
      <c r="F51" s="22" t="s">
        <v>1756</v>
      </c>
      <c r="G51" s="24"/>
      <c r="H51" s="25"/>
      <c r="I51" s="22"/>
      <c r="J51" s="24"/>
      <c r="K51" s="24" t="str">
        <f>IFERROR(VLOOKUP(JK_Haubold[[#This Row],[Código]],Importação!P:R,3,FALSE),"")</f>
        <v/>
      </c>
      <c r="L51" s="24">
        <f>IFERROR(VLOOKUP(JK_Haubold[[#This Row],[Código]],Saldo[],3,FALSE),0)</f>
        <v>5</v>
      </c>
      <c r="M51" s="24">
        <f>SUM(JK_Haubold[[#This Row],[Produção]:[Estoque]])</f>
        <v>5</v>
      </c>
      <c r="N51" s="24" t="str">
        <f>IFERROR(JK_Haubold[[#This Row],[Estoque+Importação]]/JK_Haubold[[#This Row],[Proj. de V. No prox. mes]],"Sem Projeção")</f>
        <v>Sem Projeção</v>
      </c>
      <c r="O5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1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1" s="75">
        <f>VLOOKUP(JK_Haubold[[#This Row],[Código]],Projeção[#All],15,FALSE)</f>
        <v>0</v>
      </c>
      <c r="R51" s="39">
        <f>VLOOKUP(JK_Haubold[[#This Row],[Código]],Projeção[#All],14,FALSE)</f>
        <v>0</v>
      </c>
      <c r="S51" s="39">
        <f>IFERROR(VLOOKUP(JK_Haubold[[#This Row],[Código]],Venda_mes[],2,FALSE),0)</f>
        <v>0</v>
      </c>
      <c r="T51" s="44" t="str">
        <f>IFERROR(JK_Haubold[[#This Row],[V. No mes]]/JK_Haubold[[#This Row],[Proj. de V. No mes]],"")</f>
        <v/>
      </c>
      <c r="U51" s="43">
        <f>VLOOKUP(JK_Haubold[[#This Row],[Código]],Projeção[#All],14,FALSE)+VLOOKUP(JK_Haubold[[#This Row],[Código]],Projeção[#All],13,FALSE)+VLOOKUP(JK_Haubold[[#This Row],[Código]],Projeção[#All],12,FALSE)</f>
        <v>0</v>
      </c>
      <c r="V51" s="39">
        <f>IFERROR(VLOOKUP(JK_Haubold[[#This Row],[Código]],Venda_3meses[],2,FALSE),0)</f>
        <v>0</v>
      </c>
      <c r="W51" s="44" t="str">
        <f>IFERROR(JK_Haubold[[#This Row],[V. 3 meses]]/JK_Haubold[[#This Row],[Proj. de V. 3 meses]],"")</f>
        <v/>
      </c>
      <c r="X51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1" s="39">
        <f>IFERROR(VLOOKUP(JK_Haubold[[#This Row],[Código]],Venda_12meses[],2,FALSE),0)</f>
        <v>0</v>
      </c>
      <c r="Z51" s="44" t="str">
        <f>IFERROR(JK_Haubold[[#This Row],[V. 12 meses]]/JK_Haubold[[#This Row],[Proj. de V. 12 meses]],"")</f>
        <v/>
      </c>
      <c r="AA51" s="22"/>
    </row>
    <row r="52" spans="1:27" x14ac:dyDescent="0.25">
      <c r="A52" s="22" t="str">
        <f>VLOOKUP(JK_Haubold[[#This Row],[Código]],BD_Produto[#All],7,FALSE)</f>
        <v>Fora de linha</v>
      </c>
      <c r="B52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2" s="23">
        <v>33070418028</v>
      </c>
      <c r="D52" s="22" t="s">
        <v>534</v>
      </c>
      <c r="E52" s="22" t="s">
        <v>1756</v>
      </c>
      <c r="F52" s="22" t="s">
        <v>1756</v>
      </c>
      <c r="G52" s="24"/>
      <c r="H52" s="25"/>
      <c r="I52" s="22"/>
      <c r="J52" s="24"/>
      <c r="K52" s="24" t="str">
        <f>IFERROR(VLOOKUP(JK_Haubold[[#This Row],[Código]],Importação!P:R,3,FALSE),"")</f>
        <v/>
      </c>
      <c r="L52" s="24">
        <f>IFERROR(VLOOKUP(JK_Haubold[[#This Row],[Código]],Saldo[],3,FALSE),0)</f>
        <v>10</v>
      </c>
      <c r="M52" s="24">
        <f>SUM(JK_Haubold[[#This Row],[Produção]:[Estoque]])</f>
        <v>10</v>
      </c>
      <c r="N52" s="24" t="str">
        <f>IFERROR(JK_Haubold[[#This Row],[Estoque+Importação]]/JK_Haubold[[#This Row],[Proj. de V. No prox. mes]],"Sem Projeção")</f>
        <v>Sem Projeção</v>
      </c>
      <c r="O5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2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2" s="75">
        <f>VLOOKUP(JK_Haubold[[#This Row],[Código]],Projeção[#All],15,FALSE)</f>
        <v>0</v>
      </c>
      <c r="R52" s="39">
        <f>VLOOKUP(JK_Haubold[[#This Row],[Código]],Projeção[#All],14,FALSE)</f>
        <v>0</v>
      </c>
      <c r="S52" s="39">
        <f>IFERROR(VLOOKUP(JK_Haubold[[#This Row],[Código]],Venda_mes[],2,FALSE),0)</f>
        <v>0</v>
      </c>
      <c r="T52" s="44" t="str">
        <f>IFERROR(JK_Haubold[[#This Row],[V. No mes]]/JK_Haubold[[#This Row],[Proj. de V. No mes]],"")</f>
        <v/>
      </c>
      <c r="U52" s="43">
        <f>VLOOKUP(JK_Haubold[[#This Row],[Código]],Projeção[#All],14,FALSE)+VLOOKUP(JK_Haubold[[#This Row],[Código]],Projeção[#All],13,FALSE)+VLOOKUP(JK_Haubold[[#This Row],[Código]],Projeção[#All],12,FALSE)</f>
        <v>0</v>
      </c>
      <c r="V52" s="39">
        <f>IFERROR(VLOOKUP(JK_Haubold[[#This Row],[Código]],Venda_3meses[],2,FALSE),0)</f>
        <v>0</v>
      </c>
      <c r="W52" s="44" t="str">
        <f>IFERROR(JK_Haubold[[#This Row],[V. 3 meses]]/JK_Haubold[[#This Row],[Proj. de V. 3 meses]],"")</f>
        <v/>
      </c>
      <c r="X52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2" s="39">
        <f>IFERROR(VLOOKUP(JK_Haubold[[#This Row],[Código]],Venda_12meses[],2,FALSE),0)</f>
        <v>0</v>
      </c>
      <c r="Z52" s="44" t="str">
        <f>IFERROR(JK_Haubold[[#This Row],[V. 12 meses]]/JK_Haubold[[#This Row],[Proj. de V. 12 meses]],"")</f>
        <v/>
      </c>
      <c r="AA52" s="22"/>
    </row>
    <row r="53" spans="1:27" x14ac:dyDescent="0.25">
      <c r="A53" s="22" t="str">
        <f>VLOOKUP(JK_Haubold[[#This Row],[Código]],BD_Produto[#All],7,FALSE)</f>
        <v>Fora de linha</v>
      </c>
      <c r="B53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3" s="23">
        <v>33070418040</v>
      </c>
      <c r="D53" s="22" t="s">
        <v>535</v>
      </c>
      <c r="E53" s="22" t="s">
        <v>1756</v>
      </c>
      <c r="F53" s="22" t="s">
        <v>1756</v>
      </c>
      <c r="G53" s="24"/>
      <c r="H53" s="25"/>
      <c r="I53" s="22"/>
      <c r="J53" s="24"/>
      <c r="K53" s="24" t="str">
        <f>IFERROR(VLOOKUP(JK_Haubold[[#This Row],[Código]],Importação!P:R,3,FALSE),"")</f>
        <v/>
      </c>
      <c r="L53" s="24">
        <f>IFERROR(VLOOKUP(JK_Haubold[[#This Row],[Código]],Saldo[],3,FALSE),0)</f>
        <v>5</v>
      </c>
      <c r="M53" s="24">
        <f>SUM(JK_Haubold[[#This Row],[Produção]:[Estoque]])</f>
        <v>5</v>
      </c>
      <c r="N53" s="24" t="str">
        <f>IFERROR(JK_Haubold[[#This Row],[Estoque+Importação]]/JK_Haubold[[#This Row],[Proj. de V. No prox. mes]],"Sem Projeção")</f>
        <v>Sem Projeção</v>
      </c>
      <c r="O5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3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3" s="75">
        <f>VLOOKUP(JK_Haubold[[#This Row],[Código]],Projeção[#All],15,FALSE)</f>
        <v>0</v>
      </c>
      <c r="R53" s="39">
        <f>VLOOKUP(JK_Haubold[[#This Row],[Código]],Projeção[#All],14,FALSE)</f>
        <v>0</v>
      </c>
      <c r="S53" s="39">
        <f>IFERROR(VLOOKUP(JK_Haubold[[#This Row],[Código]],Venda_mes[],2,FALSE),0)</f>
        <v>0</v>
      </c>
      <c r="T53" s="44" t="str">
        <f>IFERROR(JK_Haubold[[#This Row],[V. No mes]]/JK_Haubold[[#This Row],[Proj. de V. No mes]],"")</f>
        <v/>
      </c>
      <c r="U53" s="43">
        <f>VLOOKUP(JK_Haubold[[#This Row],[Código]],Projeção[#All],14,FALSE)+VLOOKUP(JK_Haubold[[#This Row],[Código]],Projeção[#All],13,FALSE)+VLOOKUP(JK_Haubold[[#This Row],[Código]],Projeção[#All],12,FALSE)</f>
        <v>0</v>
      </c>
      <c r="V53" s="39">
        <f>IFERROR(VLOOKUP(JK_Haubold[[#This Row],[Código]],Venda_3meses[],2,FALSE),0)</f>
        <v>0</v>
      </c>
      <c r="W53" s="44" t="str">
        <f>IFERROR(JK_Haubold[[#This Row],[V. 3 meses]]/JK_Haubold[[#This Row],[Proj. de V. 3 meses]],"")</f>
        <v/>
      </c>
      <c r="X53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3" s="39">
        <f>IFERROR(VLOOKUP(JK_Haubold[[#This Row],[Código]],Venda_12meses[],2,FALSE),0)</f>
        <v>0</v>
      </c>
      <c r="Z53" s="44" t="str">
        <f>IFERROR(JK_Haubold[[#This Row],[V. 12 meses]]/JK_Haubold[[#This Row],[Proj. de V. 12 meses]],"")</f>
        <v/>
      </c>
      <c r="AA53" s="22"/>
    </row>
    <row r="54" spans="1:27" x14ac:dyDescent="0.25">
      <c r="A54" s="22" t="str">
        <f>VLOOKUP(JK_Haubold[[#This Row],[Código]],BD_Produto[#All],7,FALSE)</f>
        <v>Fora de linha</v>
      </c>
      <c r="B54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4" s="23">
        <v>33070418041</v>
      </c>
      <c r="D54" s="22" t="s">
        <v>536</v>
      </c>
      <c r="E54" s="22" t="s">
        <v>1756</v>
      </c>
      <c r="F54" s="22" t="s">
        <v>1756</v>
      </c>
      <c r="G54" s="24"/>
      <c r="H54" s="25"/>
      <c r="I54" s="22"/>
      <c r="J54" s="24"/>
      <c r="K54" s="24" t="str">
        <f>IFERROR(VLOOKUP(JK_Haubold[[#This Row],[Código]],Importação!P:R,3,FALSE),"")</f>
        <v/>
      </c>
      <c r="L54" s="24">
        <f>IFERROR(VLOOKUP(JK_Haubold[[#This Row],[Código]],Saldo[],3,FALSE),0)</f>
        <v>5</v>
      </c>
      <c r="M54" s="24">
        <f>SUM(JK_Haubold[[#This Row],[Produção]:[Estoque]])</f>
        <v>5</v>
      </c>
      <c r="N54" s="24" t="str">
        <f>IFERROR(JK_Haubold[[#This Row],[Estoque+Importação]]/JK_Haubold[[#This Row],[Proj. de V. No prox. mes]],"Sem Projeção")</f>
        <v>Sem Projeção</v>
      </c>
      <c r="O5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4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4" s="75">
        <f>VLOOKUP(JK_Haubold[[#This Row],[Código]],Projeção[#All],15,FALSE)</f>
        <v>0</v>
      </c>
      <c r="R54" s="39">
        <f>VLOOKUP(JK_Haubold[[#This Row],[Código]],Projeção[#All],14,FALSE)</f>
        <v>0</v>
      </c>
      <c r="S54" s="39">
        <f>IFERROR(VLOOKUP(JK_Haubold[[#This Row],[Código]],Venda_mes[],2,FALSE),0)</f>
        <v>0</v>
      </c>
      <c r="T54" s="44" t="str">
        <f>IFERROR(JK_Haubold[[#This Row],[V. No mes]]/JK_Haubold[[#This Row],[Proj. de V. No mes]],"")</f>
        <v/>
      </c>
      <c r="U54" s="43">
        <f>VLOOKUP(JK_Haubold[[#This Row],[Código]],Projeção[#All],14,FALSE)+VLOOKUP(JK_Haubold[[#This Row],[Código]],Projeção[#All],13,FALSE)+VLOOKUP(JK_Haubold[[#This Row],[Código]],Projeção[#All],12,FALSE)</f>
        <v>0</v>
      </c>
      <c r="V54" s="39">
        <f>IFERROR(VLOOKUP(JK_Haubold[[#This Row],[Código]],Venda_3meses[],2,FALSE),0)</f>
        <v>0</v>
      </c>
      <c r="W54" s="44" t="str">
        <f>IFERROR(JK_Haubold[[#This Row],[V. 3 meses]]/JK_Haubold[[#This Row],[Proj. de V. 3 meses]],"")</f>
        <v/>
      </c>
      <c r="X54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4" s="39">
        <f>IFERROR(VLOOKUP(JK_Haubold[[#This Row],[Código]],Venda_12meses[],2,FALSE),0)</f>
        <v>0</v>
      </c>
      <c r="Z54" s="44" t="str">
        <f>IFERROR(JK_Haubold[[#This Row],[V. 12 meses]]/JK_Haubold[[#This Row],[Proj. de V. 12 meses]],"")</f>
        <v/>
      </c>
      <c r="AA54" s="22"/>
    </row>
    <row r="55" spans="1:27" x14ac:dyDescent="0.25">
      <c r="A55" s="22" t="str">
        <f>VLOOKUP(JK_Haubold[[#This Row],[Código]],BD_Produto[#All],7,FALSE)</f>
        <v>Fora de linha</v>
      </c>
      <c r="B55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5" s="23">
        <v>33070418042</v>
      </c>
      <c r="D55" s="22" t="s">
        <v>537</v>
      </c>
      <c r="E55" s="22" t="s">
        <v>1756</v>
      </c>
      <c r="F55" s="22" t="s">
        <v>1756</v>
      </c>
      <c r="G55" s="24"/>
      <c r="H55" s="25"/>
      <c r="I55" s="22"/>
      <c r="J55" s="24"/>
      <c r="K55" s="24" t="str">
        <f>IFERROR(VLOOKUP(JK_Haubold[[#This Row],[Código]],Importação!P:R,3,FALSE),"")</f>
        <v/>
      </c>
      <c r="L55" s="24">
        <f>IFERROR(VLOOKUP(JK_Haubold[[#This Row],[Código]],Saldo[],3,FALSE),0)</f>
        <v>20</v>
      </c>
      <c r="M55" s="24">
        <f>SUM(JK_Haubold[[#This Row],[Produção]:[Estoque]])</f>
        <v>20</v>
      </c>
      <c r="N55" s="24" t="str">
        <f>IFERROR(JK_Haubold[[#This Row],[Estoque+Importação]]/JK_Haubold[[#This Row],[Proj. de V. No prox. mes]],"Sem Projeção")</f>
        <v>Sem Projeção</v>
      </c>
      <c r="O55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5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5" s="75">
        <f>VLOOKUP(JK_Haubold[[#This Row],[Código]],Projeção[#All],15,FALSE)</f>
        <v>0</v>
      </c>
      <c r="R55" s="39">
        <f>VLOOKUP(JK_Haubold[[#This Row],[Código]],Projeção[#All],14,FALSE)</f>
        <v>0</v>
      </c>
      <c r="S55" s="39">
        <f>IFERROR(VLOOKUP(JK_Haubold[[#This Row],[Código]],Venda_mes[],2,FALSE),0)</f>
        <v>0</v>
      </c>
      <c r="T55" s="44" t="str">
        <f>IFERROR(JK_Haubold[[#This Row],[V. No mes]]/JK_Haubold[[#This Row],[Proj. de V. No mes]],"")</f>
        <v/>
      </c>
      <c r="U55" s="43">
        <f>VLOOKUP(JK_Haubold[[#This Row],[Código]],Projeção[#All],14,FALSE)+VLOOKUP(JK_Haubold[[#This Row],[Código]],Projeção[#All],13,FALSE)+VLOOKUP(JK_Haubold[[#This Row],[Código]],Projeção[#All],12,FALSE)</f>
        <v>0</v>
      </c>
      <c r="V55" s="39">
        <f>IFERROR(VLOOKUP(JK_Haubold[[#This Row],[Código]],Venda_3meses[],2,FALSE),0)</f>
        <v>0</v>
      </c>
      <c r="W55" s="44" t="str">
        <f>IFERROR(JK_Haubold[[#This Row],[V. 3 meses]]/JK_Haubold[[#This Row],[Proj. de V. 3 meses]],"")</f>
        <v/>
      </c>
      <c r="X55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5" s="39">
        <f>IFERROR(VLOOKUP(JK_Haubold[[#This Row],[Código]],Venda_12meses[],2,FALSE),0)</f>
        <v>0</v>
      </c>
      <c r="Z55" s="44" t="str">
        <f>IFERROR(JK_Haubold[[#This Row],[V. 12 meses]]/JK_Haubold[[#This Row],[Proj. de V. 12 meses]],"")</f>
        <v/>
      </c>
      <c r="AA55" s="22"/>
    </row>
    <row r="56" spans="1:27" x14ac:dyDescent="0.25">
      <c r="A56" s="22" t="str">
        <f>VLOOKUP(JK_Haubold[[#This Row],[Código]],BD_Produto[#All],7,FALSE)</f>
        <v>Fora de linha</v>
      </c>
      <c r="B56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6" s="23">
        <v>33070460261</v>
      </c>
      <c r="D56" s="22" t="s">
        <v>542</v>
      </c>
      <c r="E56" s="22" t="s">
        <v>1756</v>
      </c>
      <c r="F56" s="22" t="s">
        <v>1756</v>
      </c>
      <c r="G56" s="24"/>
      <c r="H56" s="25"/>
      <c r="I56" s="22"/>
      <c r="J56" s="24"/>
      <c r="K56" s="24" t="str">
        <f>IFERROR(VLOOKUP(JK_Haubold[[#This Row],[Código]],Importação!P:R,3,FALSE),"")</f>
        <v/>
      </c>
      <c r="L56" s="24">
        <f>IFERROR(VLOOKUP(JK_Haubold[[#This Row],[Código]],Saldo[],3,FALSE),0)</f>
        <v>5</v>
      </c>
      <c r="M56" s="24">
        <f>SUM(JK_Haubold[[#This Row],[Produção]:[Estoque]])</f>
        <v>5</v>
      </c>
      <c r="N56" s="24" t="str">
        <f>IFERROR(JK_Haubold[[#This Row],[Estoque+Importação]]/JK_Haubold[[#This Row],[Proj. de V. No prox. mes]],"Sem Projeção")</f>
        <v>Sem Projeção</v>
      </c>
      <c r="O56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6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6" s="75">
        <f>VLOOKUP(JK_Haubold[[#This Row],[Código]],Projeção[#All],15,FALSE)</f>
        <v>0</v>
      </c>
      <c r="R56" s="39">
        <f>VLOOKUP(JK_Haubold[[#This Row],[Código]],Projeção[#All],14,FALSE)</f>
        <v>0</v>
      </c>
      <c r="S56" s="39">
        <f>IFERROR(VLOOKUP(JK_Haubold[[#This Row],[Código]],Venda_mes[],2,FALSE),0)</f>
        <v>0</v>
      </c>
      <c r="T56" s="44" t="str">
        <f>IFERROR(JK_Haubold[[#This Row],[V. No mes]]/JK_Haubold[[#This Row],[Proj. de V. No mes]],"")</f>
        <v/>
      </c>
      <c r="U56" s="43">
        <f>VLOOKUP(JK_Haubold[[#This Row],[Código]],Projeção[#All],14,FALSE)+VLOOKUP(JK_Haubold[[#This Row],[Código]],Projeção[#All],13,FALSE)+VLOOKUP(JK_Haubold[[#This Row],[Código]],Projeção[#All],12,FALSE)</f>
        <v>0</v>
      </c>
      <c r="V56" s="39">
        <f>IFERROR(VLOOKUP(JK_Haubold[[#This Row],[Código]],Venda_3meses[],2,FALSE),0)</f>
        <v>0</v>
      </c>
      <c r="W56" s="44" t="str">
        <f>IFERROR(JK_Haubold[[#This Row],[V. 3 meses]]/JK_Haubold[[#This Row],[Proj. de V. 3 meses]],"")</f>
        <v/>
      </c>
      <c r="X56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6" s="39">
        <f>IFERROR(VLOOKUP(JK_Haubold[[#This Row],[Código]],Venda_12meses[],2,FALSE),0)</f>
        <v>0</v>
      </c>
      <c r="Z56" s="44" t="str">
        <f>IFERROR(JK_Haubold[[#This Row],[V. 12 meses]]/JK_Haubold[[#This Row],[Proj. de V. 12 meses]],"")</f>
        <v/>
      </c>
      <c r="AA56" s="22"/>
    </row>
    <row r="57" spans="1:27" x14ac:dyDescent="0.25">
      <c r="A57" s="22" t="str">
        <f>VLOOKUP(JK_Haubold[[#This Row],[Código]],BD_Produto[#All],7,FALSE)</f>
        <v>Fora de linha</v>
      </c>
      <c r="B57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7" s="23">
        <v>33070460260</v>
      </c>
      <c r="D57" s="22" t="s">
        <v>541</v>
      </c>
      <c r="E57" s="22" t="s">
        <v>1756</v>
      </c>
      <c r="F57" s="22" t="s">
        <v>1756</v>
      </c>
      <c r="G57" s="24"/>
      <c r="H57" s="25"/>
      <c r="I57" s="22"/>
      <c r="J57" s="24"/>
      <c r="K57" s="24" t="str">
        <f>IFERROR(VLOOKUP(JK_Haubold[[#This Row],[Código]],Importação!P:R,3,FALSE),"")</f>
        <v/>
      </c>
      <c r="L57" s="24">
        <f>IFERROR(VLOOKUP(JK_Haubold[[#This Row],[Código]],Saldo[],3,FALSE),0)</f>
        <v>5</v>
      </c>
      <c r="M57" s="24">
        <f>SUM(JK_Haubold[[#This Row],[Produção]:[Estoque]])</f>
        <v>5</v>
      </c>
      <c r="N57" s="24" t="str">
        <f>IFERROR(JK_Haubold[[#This Row],[Estoque+Importação]]/JK_Haubold[[#This Row],[Proj. de V. No prox. mes]],"Sem Projeção")</f>
        <v>Sem Projeção</v>
      </c>
      <c r="O5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7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7" s="75">
        <f>VLOOKUP(JK_Haubold[[#This Row],[Código]],Projeção[#All],15,FALSE)</f>
        <v>0</v>
      </c>
      <c r="R57" s="39">
        <f>VLOOKUP(JK_Haubold[[#This Row],[Código]],Projeção[#All],14,FALSE)</f>
        <v>0</v>
      </c>
      <c r="S57" s="39">
        <f>IFERROR(VLOOKUP(JK_Haubold[[#This Row],[Código]],Venda_mes[],2,FALSE),0)</f>
        <v>0</v>
      </c>
      <c r="T57" s="44" t="str">
        <f>IFERROR(JK_Haubold[[#This Row],[V. No mes]]/JK_Haubold[[#This Row],[Proj. de V. No mes]],"")</f>
        <v/>
      </c>
      <c r="U57" s="43">
        <f>VLOOKUP(JK_Haubold[[#This Row],[Código]],Projeção[#All],14,FALSE)+VLOOKUP(JK_Haubold[[#This Row],[Código]],Projeção[#All],13,FALSE)+VLOOKUP(JK_Haubold[[#This Row],[Código]],Projeção[#All],12,FALSE)</f>
        <v>0</v>
      </c>
      <c r="V57" s="39">
        <f>IFERROR(VLOOKUP(JK_Haubold[[#This Row],[Código]],Venda_3meses[],2,FALSE),0)</f>
        <v>0</v>
      </c>
      <c r="W57" s="44" t="str">
        <f>IFERROR(JK_Haubold[[#This Row],[V. 3 meses]]/JK_Haubold[[#This Row],[Proj. de V. 3 meses]],"")</f>
        <v/>
      </c>
      <c r="X57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7" s="39">
        <f>IFERROR(VLOOKUP(JK_Haubold[[#This Row],[Código]],Venda_12meses[],2,FALSE),0)</f>
        <v>0</v>
      </c>
      <c r="Z57" s="44" t="str">
        <f>IFERROR(JK_Haubold[[#This Row],[V. 12 meses]]/JK_Haubold[[#This Row],[Proj. de V. 12 meses]],"")</f>
        <v/>
      </c>
      <c r="AA57" s="22"/>
    </row>
    <row r="58" spans="1:27" x14ac:dyDescent="0.25">
      <c r="A58" s="22" t="str">
        <f>VLOOKUP(JK_Haubold[[#This Row],[Código]],BD_Produto[#All],7,FALSE)</f>
        <v>Fora de linha</v>
      </c>
      <c r="B58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8" s="23">
        <v>33070460262</v>
      </c>
      <c r="D58" s="22" t="s">
        <v>543</v>
      </c>
      <c r="E58" s="22" t="s">
        <v>1756</v>
      </c>
      <c r="F58" s="22" t="s">
        <v>1756</v>
      </c>
      <c r="G58" s="24"/>
      <c r="H58" s="25"/>
      <c r="I58" s="22"/>
      <c r="J58" s="24"/>
      <c r="K58" s="24" t="str">
        <f>IFERROR(VLOOKUP(JK_Haubold[[#This Row],[Código]],Importação!P:R,3,FALSE),"")</f>
        <v/>
      </c>
      <c r="L58" s="24">
        <f>IFERROR(VLOOKUP(JK_Haubold[[#This Row],[Código]],Saldo[],3,FALSE),0)</f>
        <v>5</v>
      </c>
      <c r="M58" s="24">
        <f>SUM(JK_Haubold[[#This Row],[Produção]:[Estoque]])</f>
        <v>5</v>
      </c>
      <c r="N58" s="24" t="str">
        <f>IFERROR(JK_Haubold[[#This Row],[Estoque+Importação]]/JK_Haubold[[#This Row],[Proj. de V. No prox. mes]],"Sem Projeção")</f>
        <v>Sem Projeção</v>
      </c>
      <c r="O5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8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8" s="75">
        <f>VLOOKUP(JK_Haubold[[#This Row],[Código]],Projeção[#All],15,FALSE)</f>
        <v>0</v>
      </c>
      <c r="R58" s="39">
        <f>VLOOKUP(JK_Haubold[[#This Row],[Código]],Projeção[#All],14,FALSE)</f>
        <v>0</v>
      </c>
      <c r="S58" s="39">
        <f>IFERROR(VLOOKUP(JK_Haubold[[#This Row],[Código]],Venda_mes[],2,FALSE),0)</f>
        <v>0</v>
      </c>
      <c r="T58" s="44" t="str">
        <f>IFERROR(JK_Haubold[[#This Row],[V. No mes]]/JK_Haubold[[#This Row],[Proj. de V. No mes]],"")</f>
        <v/>
      </c>
      <c r="U58" s="43">
        <f>VLOOKUP(JK_Haubold[[#This Row],[Código]],Projeção[#All],14,FALSE)+VLOOKUP(JK_Haubold[[#This Row],[Código]],Projeção[#All],13,FALSE)+VLOOKUP(JK_Haubold[[#This Row],[Código]],Projeção[#All],12,FALSE)</f>
        <v>0</v>
      </c>
      <c r="V58" s="39">
        <f>IFERROR(VLOOKUP(JK_Haubold[[#This Row],[Código]],Venda_3meses[],2,FALSE),0)</f>
        <v>0</v>
      </c>
      <c r="W58" s="44" t="str">
        <f>IFERROR(JK_Haubold[[#This Row],[V. 3 meses]]/JK_Haubold[[#This Row],[Proj. de V. 3 meses]],"")</f>
        <v/>
      </c>
      <c r="X58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8" s="39">
        <f>IFERROR(VLOOKUP(JK_Haubold[[#This Row],[Código]],Venda_12meses[],2,FALSE),0)</f>
        <v>0</v>
      </c>
      <c r="Z58" s="44" t="str">
        <f>IFERROR(JK_Haubold[[#This Row],[V. 12 meses]]/JK_Haubold[[#This Row],[Proj. de V. 12 meses]],"")</f>
        <v/>
      </c>
      <c r="AA58" s="22"/>
    </row>
    <row r="59" spans="1:27" x14ac:dyDescent="0.25">
      <c r="A59" s="22" t="str">
        <f>VLOOKUP(JK_Haubold[[#This Row],[Código]],BD_Produto[#All],7,FALSE)</f>
        <v>Fora de linha</v>
      </c>
      <c r="B59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59" s="23">
        <v>33070463938</v>
      </c>
      <c r="D59" s="22" t="s">
        <v>1346</v>
      </c>
      <c r="E59" s="22" t="s">
        <v>2058</v>
      </c>
      <c r="F59" s="22" t="s">
        <v>2058</v>
      </c>
      <c r="G59" s="24"/>
      <c r="H59" s="25"/>
      <c r="I59" s="22"/>
      <c r="J59" s="24"/>
      <c r="K59" s="24" t="str">
        <f>IFERROR(VLOOKUP(JK_Haubold[[#This Row],[Código]],Importação!P:R,3,FALSE),"")</f>
        <v/>
      </c>
      <c r="L59" s="24">
        <f>IFERROR(VLOOKUP(JK_Haubold[[#This Row],[Código]],Saldo[],3,FALSE),0)</f>
        <v>1</v>
      </c>
      <c r="M59" s="24">
        <f>SUM(JK_Haubold[[#This Row],[Produção]:[Estoque]])</f>
        <v>1</v>
      </c>
      <c r="N59" s="24" t="str">
        <f>IFERROR(JK_Haubold[[#This Row],[Estoque+Importação]]/JK_Haubold[[#This Row],[Proj. de V. No prox. mes]],"Sem Projeção")</f>
        <v>Sem Projeção</v>
      </c>
      <c r="O5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59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59" s="75">
        <f>VLOOKUP(JK_Haubold[[#This Row],[Código]],Projeção[#All],15,FALSE)</f>
        <v>0</v>
      </c>
      <c r="R59" s="39">
        <f>VLOOKUP(JK_Haubold[[#This Row],[Código]],Projeção[#All],14,FALSE)</f>
        <v>0</v>
      </c>
      <c r="S59" s="39">
        <f>IFERROR(VLOOKUP(JK_Haubold[[#This Row],[Código]],Venda_mes[],2,FALSE),0)</f>
        <v>0</v>
      </c>
      <c r="T59" s="44" t="str">
        <f>IFERROR(JK_Haubold[[#This Row],[V. No mes]]/JK_Haubold[[#This Row],[Proj. de V. No mes]],"")</f>
        <v/>
      </c>
      <c r="U59" s="43">
        <f>VLOOKUP(JK_Haubold[[#This Row],[Código]],Projeção[#All],14,FALSE)+VLOOKUP(JK_Haubold[[#This Row],[Código]],Projeção[#All],13,FALSE)+VLOOKUP(JK_Haubold[[#This Row],[Código]],Projeção[#All],12,FALSE)</f>
        <v>0</v>
      </c>
      <c r="V59" s="39">
        <f>IFERROR(VLOOKUP(JK_Haubold[[#This Row],[Código]],Venda_3meses[],2,FALSE),0)</f>
        <v>0</v>
      </c>
      <c r="W59" s="44" t="str">
        <f>IFERROR(JK_Haubold[[#This Row],[V. 3 meses]]/JK_Haubold[[#This Row],[Proj. de V. 3 meses]],"")</f>
        <v/>
      </c>
      <c r="X59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59" s="39">
        <f>IFERROR(VLOOKUP(JK_Haubold[[#This Row],[Código]],Venda_12meses[],2,FALSE),0)</f>
        <v>0</v>
      </c>
      <c r="Z59" s="44" t="str">
        <f>IFERROR(JK_Haubold[[#This Row],[V. 12 meses]]/JK_Haubold[[#This Row],[Proj. de V. 12 meses]],"")</f>
        <v/>
      </c>
      <c r="AA59" s="22"/>
    </row>
    <row r="60" spans="1:27" x14ac:dyDescent="0.25">
      <c r="A60" s="22" t="str">
        <f>VLOOKUP(JK_Haubold[[#This Row],[Código]],BD_Produto[#All],7,FALSE)</f>
        <v>Fora de linha</v>
      </c>
      <c r="B60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60" s="23">
        <v>33070463939</v>
      </c>
      <c r="D60" s="22" t="s">
        <v>1347</v>
      </c>
      <c r="E60" s="22" t="s">
        <v>2058</v>
      </c>
      <c r="F60" s="22" t="s">
        <v>2058</v>
      </c>
      <c r="G60" s="24"/>
      <c r="H60" s="25"/>
      <c r="I60" s="22"/>
      <c r="J60" s="24"/>
      <c r="K60" s="24" t="str">
        <f>IFERROR(VLOOKUP(JK_Haubold[[#This Row],[Código]],Importação!P:R,3,FALSE),"")</f>
        <v/>
      </c>
      <c r="L60" s="24">
        <f>IFERROR(VLOOKUP(JK_Haubold[[#This Row],[Código]],Saldo[],3,FALSE),0)</f>
        <v>1</v>
      </c>
      <c r="M60" s="24">
        <f>SUM(JK_Haubold[[#This Row],[Produção]:[Estoque]])</f>
        <v>1</v>
      </c>
      <c r="N60" s="24" t="str">
        <f>IFERROR(JK_Haubold[[#This Row],[Estoque+Importação]]/JK_Haubold[[#This Row],[Proj. de V. No prox. mes]],"Sem Projeção")</f>
        <v>Sem Projeção</v>
      </c>
      <c r="O6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0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0" s="75">
        <f>VLOOKUP(JK_Haubold[[#This Row],[Código]],Projeção[#All],15,FALSE)</f>
        <v>0</v>
      </c>
      <c r="R60" s="39">
        <f>VLOOKUP(JK_Haubold[[#This Row],[Código]],Projeção[#All],14,FALSE)</f>
        <v>0</v>
      </c>
      <c r="S60" s="39">
        <f>IFERROR(VLOOKUP(JK_Haubold[[#This Row],[Código]],Venda_mes[],2,FALSE),0)</f>
        <v>0</v>
      </c>
      <c r="T60" s="44" t="str">
        <f>IFERROR(JK_Haubold[[#This Row],[V. No mes]]/JK_Haubold[[#This Row],[Proj. de V. No mes]],"")</f>
        <v/>
      </c>
      <c r="U60" s="43">
        <f>VLOOKUP(JK_Haubold[[#This Row],[Código]],Projeção[#All],14,FALSE)+VLOOKUP(JK_Haubold[[#This Row],[Código]],Projeção[#All],13,FALSE)+VLOOKUP(JK_Haubold[[#This Row],[Código]],Projeção[#All],12,FALSE)</f>
        <v>0</v>
      </c>
      <c r="V60" s="39">
        <f>IFERROR(VLOOKUP(JK_Haubold[[#This Row],[Código]],Venda_3meses[],2,FALSE),0)</f>
        <v>0</v>
      </c>
      <c r="W60" s="44" t="str">
        <f>IFERROR(JK_Haubold[[#This Row],[V. 3 meses]]/JK_Haubold[[#This Row],[Proj. de V. 3 meses]],"")</f>
        <v/>
      </c>
      <c r="X60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0" s="39">
        <f>IFERROR(VLOOKUP(JK_Haubold[[#This Row],[Código]],Venda_12meses[],2,FALSE),0)</f>
        <v>0</v>
      </c>
      <c r="Z60" s="44" t="str">
        <f>IFERROR(JK_Haubold[[#This Row],[V. 12 meses]]/JK_Haubold[[#This Row],[Proj. de V. 12 meses]],"")</f>
        <v/>
      </c>
      <c r="AA60" s="22"/>
    </row>
    <row r="61" spans="1:27" x14ac:dyDescent="0.25">
      <c r="A61" s="22" t="str">
        <f>VLOOKUP(JK_Haubold[[#This Row],[Código]],BD_Produto[#All],7,FALSE)</f>
        <v>Fora de linha</v>
      </c>
      <c r="B61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61" s="23">
        <v>33070160256</v>
      </c>
      <c r="D61" s="22" t="s">
        <v>523</v>
      </c>
      <c r="E61" s="22" t="s">
        <v>2058</v>
      </c>
      <c r="F61" s="22" t="s">
        <v>2058</v>
      </c>
      <c r="G61" s="24"/>
      <c r="H61" s="25"/>
      <c r="I61" s="22"/>
      <c r="J61" s="24"/>
      <c r="K61" s="24" t="str">
        <f>IFERROR(VLOOKUP(JK_Haubold[[#This Row],[Código]],Importação!P:R,3,FALSE),"")</f>
        <v/>
      </c>
      <c r="L61" s="24">
        <f>IFERROR(VLOOKUP(JK_Haubold[[#This Row],[Código]],Saldo[],3,FALSE),0)</f>
        <v>5</v>
      </c>
      <c r="M61" s="24">
        <f>SUM(JK_Haubold[[#This Row],[Produção]:[Estoque]])</f>
        <v>5</v>
      </c>
      <c r="N61" s="24" t="str">
        <f>IFERROR(JK_Haubold[[#This Row],[Estoque+Importação]]/JK_Haubold[[#This Row],[Proj. de V. No prox. mes]],"Sem Projeção")</f>
        <v>Sem Projeção</v>
      </c>
      <c r="O6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1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1" s="75">
        <f>VLOOKUP(JK_Haubold[[#This Row],[Código]],Projeção[#All],15,FALSE)</f>
        <v>0</v>
      </c>
      <c r="R61" s="39">
        <f>VLOOKUP(JK_Haubold[[#This Row],[Código]],Projeção[#All],14,FALSE)</f>
        <v>0</v>
      </c>
      <c r="S61" s="39">
        <f>IFERROR(VLOOKUP(JK_Haubold[[#This Row],[Código]],Venda_mes[],2,FALSE),0)</f>
        <v>0</v>
      </c>
      <c r="T61" s="44" t="str">
        <f>IFERROR(JK_Haubold[[#This Row],[V. No mes]]/JK_Haubold[[#This Row],[Proj. de V. No mes]],"")</f>
        <v/>
      </c>
      <c r="U61" s="43">
        <f>VLOOKUP(JK_Haubold[[#This Row],[Código]],Projeção[#All],14,FALSE)+VLOOKUP(JK_Haubold[[#This Row],[Código]],Projeção[#All],13,FALSE)+VLOOKUP(JK_Haubold[[#This Row],[Código]],Projeção[#All],12,FALSE)</f>
        <v>0</v>
      </c>
      <c r="V61" s="39">
        <f>IFERROR(VLOOKUP(JK_Haubold[[#This Row],[Código]],Venda_3meses[],2,FALSE),0)</f>
        <v>0</v>
      </c>
      <c r="W61" s="44" t="str">
        <f>IFERROR(JK_Haubold[[#This Row],[V. 3 meses]]/JK_Haubold[[#This Row],[Proj. de V. 3 meses]],"")</f>
        <v/>
      </c>
      <c r="X61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1" s="39">
        <f>IFERROR(VLOOKUP(JK_Haubold[[#This Row],[Código]],Venda_12meses[],2,FALSE),0)</f>
        <v>0</v>
      </c>
      <c r="Z61" s="44" t="str">
        <f>IFERROR(JK_Haubold[[#This Row],[V. 12 meses]]/JK_Haubold[[#This Row],[Proj. de V. 12 meses]],"")</f>
        <v/>
      </c>
      <c r="AA61" s="22"/>
    </row>
    <row r="62" spans="1:27" x14ac:dyDescent="0.25">
      <c r="A62" s="22" t="str">
        <f>VLOOKUP(JK_Haubold[[#This Row],[Código]],BD_Produto[#All],7,FALSE)</f>
        <v>Fora de linha</v>
      </c>
      <c r="B62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62" s="23">
        <v>33070160257</v>
      </c>
      <c r="D62" s="22" t="s">
        <v>524</v>
      </c>
      <c r="E62" s="22" t="s">
        <v>2058</v>
      </c>
      <c r="F62" s="22" t="s">
        <v>2058</v>
      </c>
      <c r="G62" s="24"/>
      <c r="H62" s="25"/>
      <c r="I62" s="22"/>
      <c r="J62" s="24"/>
      <c r="K62" s="24" t="str">
        <f>IFERROR(VLOOKUP(JK_Haubold[[#This Row],[Código]],Importação!P:R,3,FALSE),"")</f>
        <v/>
      </c>
      <c r="L62" s="24">
        <f>IFERROR(VLOOKUP(JK_Haubold[[#This Row],[Código]],Saldo[],3,FALSE),0)</f>
        <v>5</v>
      </c>
      <c r="M62" s="24">
        <f>SUM(JK_Haubold[[#This Row],[Produção]:[Estoque]])</f>
        <v>5</v>
      </c>
      <c r="N62" s="24" t="str">
        <f>IFERROR(JK_Haubold[[#This Row],[Estoque+Importação]]/JK_Haubold[[#This Row],[Proj. de V. No prox. mes]],"Sem Projeção")</f>
        <v>Sem Projeção</v>
      </c>
      <c r="O6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2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2" s="75">
        <f>VLOOKUP(JK_Haubold[[#This Row],[Código]],Projeção[#All],15,FALSE)</f>
        <v>0</v>
      </c>
      <c r="R62" s="39">
        <f>VLOOKUP(JK_Haubold[[#This Row],[Código]],Projeção[#All],14,FALSE)</f>
        <v>0</v>
      </c>
      <c r="S62" s="39">
        <f>IFERROR(VLOOKUP(JK_Haubold[[#This Row],[Código]],Venda_mes[],2,FALSE),0)</f>
        <v>0</v>
      </c>
      <c r="T62" s="44" t="str">
        <f>IFERROR(JK_Haubold[[#This Row],[V. No mes]]/JK_Haubold[[#This Row],[Proj. de V. No mes]],"")</f>
        <v/>
      </c>
      <c r="U62" s="43">
        <f>VLOOKUP(JK_Haubold[[#This Row],[Código]],Projeção[#All],14,FALSE)+VLOOKUP(JK_Haubold[[#This Row],[Código]],Projeção[#All],13,FALSE)+VLOOKUP(JK_Haubold[[#This Row],[Código]],Projeção[#All],12,FALSE)</f>
        <v>0</v>
      </c>
      <c r="V62" s="39">
        <f>IFERROR(VLOOKUP(JK_Haubold[[#This Row],[Código]],Venda_3meses[],2,FALSE),0)</f>
        <v>0</v>
      </c>
      <c r="W62" s="44" t="str">
        <f>IFERROR(JK_Haubold[[#This Row],[V. 3 meses]]/JK_Haubold[[#This Row],[Proj. de V. 3 meses]],"")</f>
        <v/>
      </c>
      <c r="X62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2" s="39">
        <f>IFERROR(VLOOKUP(JK_Haubold[[#This Row],[Código]],Venda_12meses[],2,FALSE),0)</f>
        <v>0</v>
      </c>
      <c r="Z62" s="44" t="str">
        <f>IFERROR(JK_Haubold[[#This Row],[V. 12 meses]]/JK_Haubold[[#This Row],[Proj. de V. 12 meses]],"")</f>
        <v/>
      </c>
      <c r="AA62" s="22"/>
    </row>
    <row r="63" spans="1:27" x14ac:dyDescent="0.25">
      <c r="A63" s="22" t="str">
        <f>VLOOKUP(JK_Haubold[[#This Row],[Código]],BD_Produto[#All],7,FALSE)</f>
        <v>Fora de linha</v>
      </c>
      <c r="B63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63" s="23">
        <v>33070160258</v>
      </c>
      <c r="D63" s="22" t="s">
        <v>525</v>
      </c>
      <c r="E63" s="22" t="s">
        <v>2058</v>
      </c>
      <c r="F63" s="22" t="s">
        <v>2058</v>
      </c>
      <c r="G63" s="24"/>
      <c r="H63" s="25"/>
      <c r="I63" s="22"/>
      <c r="J63" s="24"/>
      <c r="K63" s="24" t="str">
        <f>IFERROR(VLOOKUP(JK_Haubold[[#This Row],[Código]],Importação!P:R,3,FALSE),"")</f>
        <v/>
      </c>
      <c r="L63" s="24">
        <f>IFERROR(VLOOKUP(JK_Haubold[[#This Row],[Código]],Saldo[],3,FALSE),0)</f>
        <v>4</v>
      </c>
      <c r="M63" s="24">
        <f>SUM(JK_Haubold[[#This Row],[Produção]:[Estoque]])</f>
        <v>4</v>
      </c>
      <c r="N63" s="24" t="str">
        <f>IFERROR(JK_Haubold[[#This Row],[Estoque+Importação]]/JK_Haubold[[#This Row],[Proj. de V. No prox. mes]],"Sem Projeção")</f>
        <v>Sem Projeção</v>
      </c>
      <c r="O6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3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3" s="75">
        <f>VLOOKUP(JK_Haubold[[#This Row],[Código]],Projeção[#All],15,FALSE)</f>
        <v>0</v>
      </c>
      <c r="R63" s="39">
        <f>VLOOKUP(JK_Haubold[[#This Row],[Código]],Projeção[#All],14,FALSE)</f>
        <v>0</v>
      </c>
      <c r="S63" s="39">
        <f>IFERROR(VLOOKUP(JK_Haubold[[#This Row],[Código]],Venda_mes[],2,FALSE),0)</f>
        <v>0</v>
      </c>
      <c r="T63" s="44" t="str">
        <f>IFERROR(JK_Haubold[[#This Row],[V. No mes]]/JK_Haubold[[#This Row],[Proj. de V. No mes]],"")</f>
        <v/>
      </c>
      <c r="U63" s="43">
        <f>VLOOKUP(JK_Haubold[[#This Row],[Código]],Projeção[#All],14,FALSE)+VLOOKUP(JK_Haubold[[#This Row],[Código]],Projeção[#All],13,FALSE)+VLOOKUP(JK_Haubold[[#This Row],[Código]],Projeção[#All],12,FALSE)</f>
        <v>0</v>
      </c>
      <c r="V63" s="39">
        <f>IFERROR(VLOOKUP(JK_Haubold[[#This Row],[Código]],Venda_3meses[],2,FALSE),0)</f>
        <v>0</v>
      </c>
      <c r="W63" s="44" t="str">
        <f>IFERROR(JK_Haubold[[#This Row],[V. 3 meses]]/JK_Haubold[[#This Row],[Proj. de V. 3 meses]],"")</f>
        <v/>
      </c>
      <c r="X63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3" s="39">
        <f>IFERROR(VLOOKUP(JK_Haubold[[#This Row],[Código]],Venda_12meses[],2,FALSE),0)</f>
        <v>0</v>
      </c>
      <c r="Z63" s="44" t="str">
        <f>IFERROR(JK_Haubold[[#This Row],[V. 12 meses]]/JK_Haubold[[#This Row],[Proj. de V. 12 meses]],"")</f>
        <v/>
      </c>
      <c r="AA63" s="22"/>
    </row>
    <row r="64" spans="1:27" x14ac:dyDescent="0.25">
      <c r="A64" s="22" t="str">
        <f>VLOOKUP(JK_Haubold[[#This Row],[Código]],BD_Produto[#All],7,FALSE)</f>
        <v>Fora de linha</v>
      </c>
      <c r="B64" s="22" t="str">
        <f>IF(OR(JK_Haubold[[#This Row],[Status]]="Em linha",JK_Haubold[[#This Row],[Status]]="Materia Prima",JK_Haubold[[#This Row],[Status]]="Componente"),"ok",IF(JK_Haubold[[#This Row],[Estoque+Importação]]&lt;1,"Tirar","ok"))</f>
        <v>ok</v>
      </c>
      <c r="C64" s="23">
        <v>33070518035</v>
      </c>
      <c r="D64" s="22" t="s">
        <v>574</v>
      </c>
      <c r="E64" s="22" t="s">
        <v>1677</v>
      </c>
      <c r="F64" s="22" t="s">
        <v>1677</v>
      </c>
      <c r="G64" s="24"/>
      <c r="H64" s="25"/>
      <c r="I64" s="22"/>
      <c r="J64" s="24"/>
      <c r="K64" s="24" t="str">
        <f>IFERROR(VLOOKUP(JK_Haubold[[#This Row],[Código]],Importação!P:R,3,FALSE),"")</f>
        <v/>
      </c>
      <c r="L64" s="24">
        <f>IFERROR(VLOOKUP(JK_Haubold[[#This Row],[Código]],Saldo[],3,FALSE),0)</f>
        <v>276</v>
      </c>
      <c r="M64" s="24">
        <f>SUM(JK_Haubold[[#This Row],[Produção]:[Estoque]])</f>
        <v>276</v>
      </c>
      <c r="N64" s="24" t="str">
        <f>IFERROR(JK_Haubold[[#This Row],[Estoque+Importação]]/JK_Haubold[[#This Row],[Proj. de V. No prox. mes]],"Sem Projeção")</f>
        <v>Sem Projeção</v>
      </c>
      <c r="O6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4" s="3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4" s="75">
        <f>VLOOKUP(JK_Haubold[[#This Row],[Código]],Projeção[#All],15,FALSE)</f>
        <v>0</v>
      </c>
      <c r="R64" s="39">
        <f>VLOOKUP(JK_Haubold[[#This Row],[Código]],Projeção[#All],14,FALSE)</f>
        <v>0</v>
      </c>
      <c r="S64" s="39">
        <f>IFERROR(VLOOKUP(JK_Haubold[[#This Row],[Código]],Venda_mes[],2,FALSE),0)</f>
        <v>0</v>
      </c>
      <c r="T64" s="44" t="str">
        <f>IFERROR(JK_Haubold[[#This Row],[V. No mes]]/JK_Haubold[[#This Row],[Proj. de V. No mes]],"")</f>
        <v/>
      </c>
      <c r="U64" s="43">
        <f>VLOOKUP(JK_Haubold[[#This Row],[Código]],Projeção[#All],14,FALSE)+VLOOKUP(JK_Haubold[[#This Row],[Código]],Projeção[#All],13,FALSE)+VLOOKUP(JK_Haubold[[#This Row],[Código]],Projeção[#All],12,FALSE)</f>
        <v>0</v>
      </c>
      <c r="V64" s="39">
        <f>IFERROR(VLOOKUP(JK_Haubold[[#This Row],[Código]],Venda_3meses[],2,FALSE),0)</f>
        <v>0</v>
      </c>
      <c r="W64" s="44" t="str">
        <f>IFERROR(JK_Haubold[[#This Row],[V. 3 meses]]/JK_Haubold[[#This Row],[Proj. de V. 3 meses]],"")</f>
        <v/>
      </c>
      <c r="X64" s="43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4" s="39">
        <f>IFERROR(VLOOKUP(JK_Haubold[[#This Row],[Código]],Venda_12meses[],2,FALSE),0)</f>
        <v>0</v>
      </c>
      <c r="Z64" s="44" t="str">
        <f>IFERROR(JK_Haubold[[#This Row],[V. 12 meses]]/JK_Haubold[[#This Row],[Proj. de V. 12 meses]],"")</f>
        <v/>
      </c>
      <c r="AA64" s="22"/>
    </row>
    <row r="65" spans="1:27" x14ac:dyDescent="0.25">
      <c r="A65" s="22" t="str">
        <f>VLOOKUP(JK_Haubold[[#This Row],[Código]],BD_Produto[#All],7,FALSE)</f>
        <v>Fora de linha</v>
      </c>
      <c r="B65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65" s="23">
        <v>33070160259</v>
      </c>
      <c r="D65" s="22" t="s">
        <v>1471</v>
      </c>
      <c r="E65" s="22" t="s">
        <v>2058</v>
      </c>
      <c r="F65" s="22" t="s">
        <v>2058</v>
      </c>
      <c r="G65" s="24"/>
      <c r="H65" s="25"/>
      <c r="I65" s="22"/>
      <c r="J65" s="24"/>
      <c r="K65" s="24" t="str">
        <f>IFERROR(VLOOKUP(JK_Haubold[[#This Row],[Código]],Importação!P:R,3,FALSE),"")</f>
        <v/>
      </c>
      <c r="L65" s="24">
        <f>IFERROR(VLOOKUP(JK_Haubold[[#This Row],[Código]],Saldo[],3,FALSE),0)</f>
        <v>0</v>
      </c>
      <c r="M65" s="24">
        <f>SUM(JK_Haubold[[#This Row],[Produção]:[Estoque]])</f>
        <v>0</v>
      </c>
      <c r="N65" s="24" t="str">
        <f>IFERROR(JK_Haubold[[#This Row],[Estoque+Importação]]/JK_Haubold[[#This Row],[Proj. de V. No prox. mes]],"Sem Projeção")</f>
        <v>Sem Projeção</v>
      </c>
      <c r="O65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5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5" s="39">
        <f>VLOOKUP(JK_Haubold[[#This Row],[Código]],Projeção[#All],15,FALSE)</f>
        <v>0</v>
      </c>
      <c r="R65" s="24">
        <f>VLOOKUP(JK_Haubold[[#This Row],[Código]],Projeção[#All],14,FALSE)</f>
        <v>0</v>
      </c>
      <c r="S65" s="24">
        <f>IFERROR(VLOOKUP(JK_Haubold[[#This Row],[Código]],Venda_mes[],2,FALSE),0)</f>
        <v>0</v>
      </c>
      <c r="T65" s="45" t="str">
        <f>IFERROR(JK_Haubold[[#This Row],[V. No mes]]/JK_Haubold[[#This Row],[Proj. de V. No mes]],"")</f>
        <v/>
      </c>
      <c r="U65" s="39">
        <f>VLOOKUP(JK_Haubold[[#This Row],[Código]],Projeção[#All],14,FALSE)+VLOOKUP(JK_Haubold[[#This Row],[Código]],Projeção[#All],13,FALSE)+VLOOKUP(JK_Haubold[[#This Row],[Código]],Projeção[#All],12,FALSE)</f>
        <v>0</v>
      </c>
      <c r="V65" s="24">
        <f>IFERROR(VLOOKUP(JK_Haubold[[#This Row],[Código]],Venda_3meses[],2,FALSE),0)</f>
        <v>0</v>
      </c>
      <c r="W65" s="45" t="str">
        <f>IFERROR(JK_Haubold[[#This Row],[V. 3 meses]]/JK_Haubold[[#This Row],[Proj. de V. 3 meses]],"")</f>
        <v/>
      </c>
      <c r="X65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5" s="24">
        <f>IFERROR(VLOOKUP(JK_Haubold[[#This Row],[Código]],Venda_12meses[],2,FALSE),0)</f>
        <v>0</v>
      </c>
      <c r="Z65" s="45" t="str">
        <f>IFERROR(JK_Haubold[[#This Row],[V. 12 meses]]/JK_Haubold[[#This Row],[Proj. de V. 12 meses]],"")</f>
        <v/>
      </c>
      <c r="AA65" s="22"/>
    </row>
    <row r="66" spans="1:27" x14ac:dyDescent="0.25">
      <c r="A66" s="22" t="str">
        <f>VLOOKUP(JK_Haubold[[#This Row],[Código]],BD_Produto[#All],7,FALSE)</f>
        <v>Fora de linha</v>
      </c>
      <c r="B66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66" s="23">
        <v>33070518031</v>
      </c>
      <c r="D66" s="22" t="s">
        <v>1472</v>
      </c>
      <c r="E66" s="22" t="s">
        <v>1677</v>
      </c>
      <c r="F66" s="22" t="s">
        <v>1677</v>
      </c>
      <c r="G66" s="24"/>
      <c r="H66" s="25"/>
      <c r="I66" s="22"/>
      <c r="J66" s="24"/>
      <c r="K66" s="24" t="str">
        <f>IFERROR(VLOOKUP(JK_Haubold[[#This Row],[Código]],Importação!P:R,3,FALSE),"")</f>
        <v/>
      </c>
      <c r="L66" s="24">
        <f>IFERROR(VLOOKUP(JK_Haubold[[#This Row],[Código]],Saldo[],3,FALSE),0)</f>
        <v>0</v>
      </c>
      <c r="M66" s="24">
        <f>SUM(JK_Haubold[[#This Row],[Produção]:[Estoque]])</f>
        <v>0</v>
      </c>
      <c r="N66" s="24" t="str">
        <f>IFERROR(JK_Haubold[[#This Row],[Estoque+Importação]]/JK_Haubold[[#This Row],[Proj. de V. No prox. mes]],"Sem Projeção")</f>
        <v>Sem Projeção</v>
      </c>
      <c r="O66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6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6" s="39">
        <f>VLOOKUP(JK_Haubold[[#This Row],[Código]],Projeção[#All],15,FALSE)</f>
        <v>0</v>
      </c>
      <c r="R66" s="24">
        <f>VLOOKUP(JK_Haubold[[#This Row],[Código]],Projeção[#All],14,FALSE)</f>
        <v>0</v>
      </c>
      <c r="S66" s="24">
        <f>IFERROR(VLOOKUP(JK_Haubold[[#This Row],[Código]],Venda_mes[],2,FALSE),0)</f>
        <v>0</v>
      </c>
      <c r="T66" s="45" t="str">
        <f>IFERROR(JK_Haubold[[#This Row],[V. No mes]]/JK_Haubold[[#This Row],[Proj. de V. No mes]],"")</f>
        <v/>
      </c>
      <c r="U66" s="39">
        <f>VLOOKUP(JK_Haubold[[#This Row],[Código]],Projeção[#All],14,FALSE)+VLOOKUP(JK_Haubold[[#This Row],[Código]],Projeção[#All],13,FALSE)+VLOOKUP(JK_Haubold[[#This Row],[Código]],Projeção[#All],12,FALSE)</f>
        <v>0</v>
      </c>
      <c r="V66" s="24">
        <f>IFERROR(VLOOKUP(JK_Haubold[[#This Row],[Código]],Venda_3meses[],2,FALSE),0)</f>
        <v>0</v>
      </c>
      <c r="W66" s="45" t="str">
        <f>IFERROR(JK_Haubold[[#This Row],[V. 3 meses]]/JK_Haubold[[#This Row],[Proj. de V. 3 meses]],"")</f>
        <v/>
      </c>
      <c r="X66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6" s="24">
        <f>IFERROR(VLOOKUP(JK_Haubold[[#This Row],[Código]],Venda_12meses[],2,FALSE),0)</f>
        <v>0</v>
      </c>
      <c r="Z66" s="45" t="str">
        <f>IFERROR(JK_Haubold[[#This Row],[V. 12 meses]]/JK_Haubold[[#This Row],[Proj. de V. 12 meses]],"")</f>
        <v/>
      </c>
      <c r="AA66" s="22"/>
    </row>
    <row r="67" spans="1:27" x14ac:dyDescent="0.25">
      <c r="A67" s="22" t="str">
        <f>VLOOKUP(JK_Haubold[[#This Row],[Código]],BD_Produto[#All],7,FALSE)</f>
        <v>Fora de linha</v>
      </c>
      <c r="B67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67" s="23">
        <v>33070518038</v>
      </c>
      <c r="D67" s="22" t="s">
        <v>1473</v>
      </c>
      <c r="E67" s="22" t="s">
        <v>1677</v>
      </c>
      <c r="F67" s="22" t="s">
        <v>1677</v>
      </c>
      <c r="G67" s="24"/>
      <c r="H67" s="25"/>
      <c r="I67" s="22"/>
      <c r="J67" s="24"/>
      <c r="K67" s="24" t="str">
        <f>IFERROR(VLOOKUP(JK_Haubold[[#This Row],[Código]],Importação!P:R,3,FALSE),"")</f>
        <v/>
      </c>
      <c r="L67" s="24">
        <f>IFERROR(VLOOKUP(JK_Haubold[[#This Row],[Código]],Saldo[],3,FALSE),0)</f>
        <v>0</v>
      </c>
      <c r="M67" s="24">
        <f>SUM(JK_Haubold[[#This Row],[Produção]:[Estoque]])</f>
        <v>0</v>
      </c>
      <c r="N67" s="24" t="str">
        <f>IFERROR(JK_Haubold[[#This Row],[Estoque+Importação]]/JK_Haubold[[#This Row],[Proj. de V. No prox. mes]],"Sem Projeção")</f>
        <v>Sem Projeção</v>
      </c>
      <c r="O67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7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7" s="39">
        <f>VLOOKUP(JK_Haubold[[#This Row],[Código]],Projeção[#All],15,FALSE)</f>
        <v>0</v>
      </c>
      <c r="R67" s="24">
        <f>VLOOKUP(JK_Haubold[[#This Row],[Código]],Projeção[#All],14,FALSE)</f>
        <v>0</v>
      </c>
      <c r="S67" s="24">
        <f>IFERROR(VLOOKUP(JK_Haubold[[#This Row],[Código]],Venda_mes[],2,FALSE),0)</f>
        <v>0</v>
      </c>
      <c r="T67" s="45" t="str">
        <f>IFERROR(JK_Haubold[[#This Row],[V. No mes]]/JK_Haubold[[#This Row],[Proj. de V. No mes]],"")</f>
        <v/>
      </c>
      <c r="U67" s="39">
        <f>VLOOKUP(JK_Haubold[[#This Row],[Código]],Projeção[#All],14,FALSE)+VLOOKUP(JK_Haubold[[#This Row],[Código]],Projeção[#All],13,FALSE)+VLOOKUP(JK_Haubold[[#This Row],[Código]],Projeção[#All],12,FALSE)</f>
        <v>0</v>
      </c>
      <c r="V67" s="24">
        <f>IFERROR(VLOOKUP(JK_Haubold[[#This Row],[Código]],Venda_3meses[],2,FALSE),0)</f>
        <v>0</v>
      </c>
      <c r="W67" s="45" t="str">
        <f>IFERROR(JK_Haubold[[#This Row],[V. 3 meses]]/JK_Haubold[[#This Row],[Proj. de V. 3 meses]],"")</f>
        <v/>
      </c>
      <c r="X67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7" s="24">
        <f>IFERROR(VLOOKUP(JK_Haubold[[#This Row],[Código]],Venda_12meses[],2,FALSE),0)</f>
        <v>0</v>
      </c>
      <c r="Z67" s="45" t="str">
        <f>IFERROR(JK_Haubold[[#This Row],[V. 12 meses]]/JK_Haubold[[#This Row],[Proj. de V. 12 meses]],"")</f>
        <v/>
      </c>
      <c r="AA67" s="22"/>
    </row>
    <row r="68" spans="1:27" x14ac:dyDescent="0.25">
      <c r="A68" s="22" t="str">
        <f>VLOOKUP(JK_Haubold[[#This Row],[Código]],BD_Produto[#All],7,FALSE)</f>
        <v>Fora de linha</v>
      </c>
      <c r="B68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68" s="23">
        <v>33070560248</v>
      </c>
      <c r="D68" s="22" t="s">
        <v>1474</v>
      </c>
      <c r="E68" s="22" t="s">
        <v>1677</v>
      </c>
      <c r="F68" s="22" t="s">
        <v>1677</v>
      </c>
      <c r="G68" s="24"/>
      <c r="H68" s="25"/>
      <c r="I68" s="22"/>
      <c r="J68" s="24"/>
      <c r="K68" s="24" t="str">
        <f>IFERROR(VLOOKUP(JK_Haubold[[#This Row],[Código]],Importação!P:R,3,FALSE),"")</f>
        <v/>
      </c>
      <c r="L68" s="24">
        <f>IFERROR(VLOOKUP(JK_Haubold[[#This Row],[Código]],Saldo[],3,FALSE),0)</f>
        <v>0</v>
      </c>
      <c r="M68" s="24">
        <f>SUM(JK_Haubold[[#This Row],[Produção]:[Estoque]])</f>
        <v>0</v>
      </c>
      <c r="N68" s="24" t="str">
        <f>IFERROR(JK_Haubold[[#This Row],[Estoque+Importação]]/JK_Haubold[[#This Row],[Proj. de V. No prox. mes]],"Sem Projeção")</f>
        <v>Sem Projeção</v>
      </c>
      <c r="O68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8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8" s="39">
        <f>VLOOKUP(JK_Haubold[[#This Row],[Código]],Projeção[#All],15,FALSE)</f>
        <v>0</v>
      </c>
      <c r="R68" s="24">
        <f>VLOOKUP(JK_Haubold[[#This Row],[Código]],Projeção[#All],14,FALSE)</f>
        <v>0</v>
      </c>
      <c r="S68" s="24">
        <f>IFERROR(VLOOKUP(JK_Haubold[[#This Row],[Código]],Venda_mes[],2,FALSE),0)</f>
        <v>0</v>
      </c>
      <c r="T68" s="45" t="str">
        <f>IFERROR(JK_Haubold[[#This Row],[V. No mes]]/JK_Haubold[[#This Row],[Proj. de V. No mes]],"")</f>
        <v/>
      </c>
      <c r="U68" s="39">
        <f>VLOOKUP(JK_Haubold[[#This Row],[Código]],Projeção[#All],14,FALSE)+VLOOKUP(JK_Haubold[[#This Row],[Código]],Projeção[#All],13,FALSE)+VLOOKUP(JK_Haubold[[#This Row],[Código]],Projeção[#All],12,FALSE)</f>
        <v>0</v>
      </c>
      <c r="V68" s="24">
        <f>IFERROR(VLOOKUP(JK_Haubold[[#This Row],[Código]],Venda_3meses[],2,FALSE),0)</f>
        <v>0</v>
      </c>
      <c r="W68" s="45" t="str">
        <f>IFERROR(JK_Haubold[[#This Row],[V. 3 meses]]/JK_Haubold[[#This Row],[Proj. de V. 3 meses]],"")</f>
        <v/>
      </c>
      <c r="X68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8" s="24">
        <f>IFERROR(VLOOKUP(JK_Haubold[[#This Row],[Código]],Venda_12meses[],2,FALSE),0)</f>
        <v>0</v>
      </c>
      <c r="Z68" s="45" t="str">
        <f>IFERROR(JK_Haubold[[#This Row],[V. 12 meses]]/JK_Haubold[[#This Row],[Proj. de V. 12 meses]],"")</f>
        <v/>
      </c>
      <c r="AA68" s="22"/>
    </row>
    <row r="69" spans="1:27" x14ac:dyDescent="0.25">
      <c r="A69" s="22" t="str">
        <f>VLOOKUP(JK_Haubold[[#This Row],[Código]],BD_Produto[#All],7,FALSE)</f>
        <v>Fora de linha</v>
      </c>
      <c r="B69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69" s="23">
        <v>33070118024</v>
      </c>
      <c r="D69" s="22" t="s">
        <v>1475</v>
      </c>
      <c r="E69" s="22" t="s">
        <v>2058</v>
      </c>
      <c r="F69" s="22" t="s">
        <v>2058</v>
      </c>
      <c r="G69" s="24"/>
      <c r="H69" s="25"/>
      <c r="I69" s="22"/>
      <c r="J69" s="24"/>
      <c r="K69" s="24" t="str">
        <f>IFERROR(VLOOKUP(JK_Haubold[[#This Row],[Código]],Importação!P:R,3,FALSE),"")</f>
        <v/>
      </c>
      <c r="L69" s="24">
        <f>IFERROR(VLOOKUP(JK_Haubold[[#This Row],[Código]],Saldo[],3,FALSE),0)</f>
        <v>0</v>
      </c>
      <c r="M69" s="24">
        <f>SUM(JK_Haubold[[#This Row],[Produção]:[Estoque]])</f>
        <v>0</v>
      </c>
      <c r="N69" s="24" t="str">
        <f>IFERROR(JK_Haubold[[#This Row],[Estoque+Importação]]/JK_Haubold[[#This Row],[Proj. de V. No prox. mes]],"Sem Projeção")</f>
        <v>Sem Projeção</v>
      </c>
      <c r="O69" s="24" t="str">
        <f>IF(OR(JK_Haubold[[#This Row],[Status]]="Em Linha",JK_Haubold[[#This Row],[Status]]="Componente",JK_Haubold[[#This Row],[Status]]="Materia Prima"),JK_Haubold[[#This Row],[Proj. de V. No prox. mes]]*10,"-")</f>
        <v>-</v>
      </c>
      <c r="P69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69" s="39">
        <f>VLOOKUP(JK_Haubold[[#This Row],[Código]],Projeção[#All],15,FALSE)</f>
        <v>0</v>
      </c>
      <c r="R69" s="24">
        <f>VLOOKUP(JK_Haubold[[#This Row],[Código]],Projeção[#All],14,FALSE)</f>
        <v>0</v>
      </c>
      <c r="S69" s="24">
        <f>IFERROR(VLOOKUP(JK_Haubold[[#This Row],[Código]],Venda_mes[],2,FALSE),0)</f>
        <v>0</v>
      </c>
      <c r="T69" s="45" t="str">
        <f>IFERROR(JK_Haubold[[#This Row],[V. No mes]]/JK_Haubold[[#This Row],[Proj. de V. No mes]],"")</f>
        <v/>
      </c>
      <c r="U69" s="39">
        <f>VLOOKUP(JK_Haubold[[#This Row],[Código]],Projeção[#All],14,FALSE)+VLOOKUP(JK_Haubold[[#This Row],[Código]],Projeção[#All],13,FALSE)+VLOOKUP(JK_Haubold[[#This Row],[Código]],Projeção[#All],12,FALSE)</f>
        <v>0</v>
      </c>
      <c r="V69" s="24">
        <f>IFERROR(VLOOKUP(JK_Haubold[[#This Row],[Código]],Venda_3meses[],2,FALSE),0)</f>
        <v>0</v>
      </c>
      <c r="W69" s="45" t="str">
        <f>IFERROR(JK_Haubold[[#This Row],[V. 3 meses]]/JK_Haubold[[#This Row],[Proj. de V. 3 meses]],"")</f>
        <v/>
      </c>
      <c r="X69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69" s="24">
        <f>IFERROR(VLOOKUP(JK_Haubold[[#This Row],[Código]],Venda_12meses[],2,FALSE),0)</f>
        <v>0</v>
      </c>
      <c r="Z69" s="45" t="str">
        <f>IFERROR(JK_Haubold[[#This Row],[V. 12 meses]]/JK_Haubold[[#This Row],[Proj. de V. 12 meses]],"")</f>
        <v/>
      </c>
      <c r="AA69" s="22"/>
    </row>
    <row r="70" spans="1:27" x14ac:dyDescent="0.25">
      <c r="A70" s="22" t="str">
        <f>VLOOKUP(JK_Haubold[[#This Row],[Código]],BD_Produto[#All],7,FALSE)</f>
        <v>Fora de linha</v>
      </c>
      <c r="B70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70" s="23">
        <v>33070163821</v>
      </c>
      <c r="D70" s="22" t="s">
        <v>1476</v>
      </c>
      <c r="E70" s="22" t="s">
        <v>2058</v>
      </c>
      <c r="F70" s="22" t="s">
        <v>2058</v>
      </c>
      <c r="G70" s="24"/>
      <c r="H70" s="25"/>
      <c r="I70" s="22"/>
      <c r="J70" s="24"/>
      <c r="K70" s="24" t="str">
        <f>IFERROR(VLOOKUP(JK_Haubold[[#This Row],[Código]],Importação!P:R,3,FALSE),"")</f>
        <v/>
      </c>
      <c r="L70" s="24">
        <f>IFERROR(VLOOKUP(JK_Haubold[[#This Row],[Código]],Saldo[],3,FALSE),0)</f>
        <v>0</v>
      </c>
      <c r="M70" s="24">
        <f>SUM(JK_Haubold[[#This Row],[Produção]:[Estoque]])</f>
        <v>0</v>
      </c>
      <c r="N70" s="24" t="str">
        <f>IFERROR(JK_Haubold[[#This Row],[Estoque+Importação]]/JK_Haubold[[#This Row],[Proj. de V. No prox. mes]],"Sem Projeção")</f>
        <v>Sem Projeção</v>
      </c>
      <c r="O70" s="24" t="str">
        <f>IF(OR(JK_Haubold[[#This Row],[Status]]="Em Linha",JK_Haubold[[#This Row],[Status]]="Componente",JK_Haubold[[#This Row],[Status]]="Materia Prima"),JK_Haubold[[#This Row],[Proj. de V. No prox. mes]]*10,"-")</f>
        <v>-</v>
      </c>
      <c r="P70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70" s="39">
        <f>VLOOKUP(JK_Haubold[[#This Row],[Código]],Projeção[#All],15,FALSE)</f>
        <v>0</v>
      </c>
      <c r="R70" s="24">
        <f>VLOOKUP(JK_Haubold[[#This Row],[Código]],Projeção[#All],14,FALSE)</f>
        <v>0</v>
      </c>
      <c r="S70" s="24">
        <f>IFERROR(VLOOKUP(JK_Haubold[[#This Row],[Código]],Venda_mes[],2,FALSE),0)</f>
        <v>0</v>
      </c>
      <c r="T70" s="45" t="str">
        <f>IFERROR(JK_Haubold[[#This Row],[V. No mes]]/JK_Haubold[[#This Row],[Proj. de V. No mes]],"")</f>
        <v/>
      </c>
      <c r="U70" s="39">
        <f>VLOOKUP(JK_Haubold[[#This Row],[Código]],Projeção[#All],14,FALSE)+VLOOKUP(JK_Haubold[[#This Row],[Código]],Projeção[#All],13,FALSE)+VLOOKUP(JK_Haubold[[#This Row],[Código]],Projeção[#All],12,FALSE)</f>
        <v>0</v>
      </c>
      <c r="V70" s="24">
        <f>IFERROR(VLOOKUP(JK_Haubold[[#This Row],[Código]],Venda_3meses[],2,FALSE),0)</f>
        <v>0</v>
      </c>
      <c r="W70" s="45" t="str">
        <f>IFERROR(JK_Haubold[[#This Row],[V. 3 meses]]/JK_Haubold[[#This Row],[Proj. de V. 3 meses]],"")</f>
        <v/>
      </c>
      <c r="X70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70" s="24">
        <f>IFERROR(VLOOKUP(JK_Haubold[[#This Row],[Código]],Venda_12meses[],2,FALSE),0)</f>
        <v>0</v>
      </c>
      <c r="Z70" s="45" t="str">
        <f>IFERROR(JK_Haubold[[#This Row],[V. 12 meses]]/JK_Haubold[[#This Row],[Proj. de V. 12 meses]],"")</f>
        <v/>
      </c>
      <c r="AA70" s="22"/>
    </row>
    <row r="71" spans="1:27" x14ac:dyDescent="0.25">
      <c r="A71" s="22" t="str">
        <f>VLOOKUP(JK_Haubold[[#This Row],[Código]],BD_Produto[#All],7,FALSE)</f>
        <v>Fora de linha</v>
      </c>
      <c r="B71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71" s="23">
        <v>33070118015</v>
      </c>
      <c r="D71" s="22" t="s">
        <v>1477</v>
      </c>
      <c r="E71" s="22" t="s">
        <v>2058</v>
      </c>
      <c r="F71" s="22" t="s">
        <v>2058</v>
      </c>
      <c r="G71" s="24"/>
      <c r="H71" s="25"/>
      <c r="I71" s="22"/>
      <c r="J71" s="24"/>
      <c r="K71" s="24" t="str">
        <f>IFERROR(VLOOKUP(JK_Haubold[[#This Row],[Código]],Importação!P:R,3,FALSE),"")</f>
        <v/>
      </c>
      <c r="L71" s="24">
        <f>IFERROR(VLOOKUP(JK_Haubold[[#This Row],[Código]],Saldo[],3,FALSE),0)</f>
        <v>0</v>
      </c>
      <c r="M71" s="24">
        <f>SUM(JK_Haubold[[#This Row],[Produção]:[Estoque]])</f>
        <v>0</v>
      </c>
      <c r="N71" s="24" t="str">
        <f>IFERROR(JK_Haubold[[#This Row],[Estoque+Importação]]/JK_Haubold[[#This Row],[Proj. de V. No prox. mes]],"Sem Projeção")</f>
        <v>Sem Projeção</v>
      </c>
      <c r="O71" s="24" t="str">
        <f>IF(OR(JK_Haubold[[#This Row],[Status]]="Em Linha",JK_Haubold[[#This Row],[Status]]="Componente",JK_Haubold[[#This Row],[Status]]="Materia Prima"),JK_Haubold[[#This Row],[Proj. de V. No prox. mes]]*10,"-")</f>
        <v>-</v>
      </c>
      <c r="P71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71" s="39">
        <f>VLOOKUP(JK_Haubold[[#This Row],[Código]],Projeção[#All],15,FALSE)</f>
        <v>0</v>
      </c>
      <c r="R71" s="24">
        <f>VLOOKUP(JK_Haubold[[#This Row],[Código]],Projeção[#All],14,FALSE)</f>
        <v>0</v>
      </c>
      <c r="S71" s="24">
        <f>IFERROR(VLOOKUP(JK_Haubold[[#This Row],[Código]],Venda_mes[],2,FALSE),0)</f>
        <v>0</v>
      </c>
      <c r="T71" s="45" t="str">
        <f>IFERROR(JK_Haubold[[#This Row],[V. No mes]]/JK_Haubold[[#This Row],[Proj. de V. No mes]],"")</f>
        <v/>
      </c>
      <c r="U71" s="39">
        <f>VLOOKUP(JK_Haubold[[#This Row],[Código]],Projeção[#All],14,FALSE)+VLOOKUP(JK_Haubold[[#This Row],[Código]],Projeção[#All],13,FALSE)+VLOOKUP(JK_Haubold[[#This Row],[Código]],Projeção[#All],12,FALSE)</f>
        <v>0</v>
      </c>
      <c r="V71" s="24">
        <f>IFERROR(VLOOKUP(JK_Haubold[[#This Row],[Código]],Venda_3meses[],2,FALSE),0)</f>
        <v>0</v>
      </c>
      <c r="W71" s="45" t="str">
        <f>IFERROR(JK_Haubold[[#This Row],[V. 3 meses]]/JK_Haubold[[#This Row],[Proj. de V. 3 meses]],"")</f>
        <v/>
      </c>
      <c r="X71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71" s="24">
        <f>IFERROR(VLOOKUP(JK_Haubold[[#This Row],[Código]],Venda_12meses[],2,FALSE),0)</f>
        <v>0</v>
      </c>
      <c r="Z71" s="45" t="str">
        <f>IFERROR(JK_Haubold[[#This Row],[V. 12 meses]]/JK_Haubold[[#This Row],[Proj. de V. 12 meses]],"")</f>
        <v/>
      </c>
      <c r="AA71" s="22"/>
    </row>
    <row r="72" spans="1:27" x14ac:dyDescent="0.25">
      <c r="A72" s="22" t="str">
        <f>VLOOKUP(JK_Haubold[[#This Row],[Código]],BD_Produto[#All],7,FALSE)</f>
        <v>Fora de linha</v>
      </c>
      <c r="B72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72" s="23">
        <v>33070460896</v>
      </c>
      <c r="D72" s="22" t="s">
        <v>1478</v>
      </c>
      <c r="E72" s="22" t="s">
        <v>1756</v>
      </c>
      <c r="F72" s="22" t="s">
        <v>1756</v>
      </c>
      <c r="G72" s="24"/>
      <c r="H72" s="25"/>
      <c r="I72" s="22"/>
      <c r="J72" s="24"/>
      <c r="K72" s="24" t="str">
        <f>IFERROR(VLOOKUP(JK_Haubold[[#This Row],[Código]],Importação!P:R,3,FALSE),"")</f>
        <v/>
      </c>
      <c r="L72" s="24">
        <f>IFERROR(VLOOKUP(JK_Haubold[[#This Row],[Código]],Saldo[],3,FALSE),0)</f>
        <v>0</v>
      </c>
      <c r="M72" s="24">
        <f>SUM(JK_Haubold[[#This Row],[Produção]:[Estoque]])</f>
        <v>0</v>
      </c>
      <c r="N72" s="24" t="str">
        <f>IFERROR(JK_Haubold[[#This Row],[Estoque+Importação]]/JK_Haubold[[#This Row],[Proj. de V. No prox. mes]],"Sem Projeção")</f>
        <v>Sem Projeção</v>
      </c>
      <c r="O72" s="24" t="str">
        <f>IF(OR(JK_Haubold[[#This Row],[Status]]="Em Linha",JK_Haubold[[#This Row],[Status]]="Componente",JK_Haubold[[#This Row],[Status]]="Materia Prima"),JK_Haubold[[#This Row],[Proj. de V. No prox. mes]]*10,"-")</f>
        <v>-</v>
      </c>
      <c r="P72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72" s="39">
        <f>VLOOKUP(JK_Haubold[[#This Row],[Código]],Projeção[#All],15,FALSE)</f>
        <v>0</v>
      </c>
      <c r="R72" s="24">
        <f>VLOOKUP(JK_Haubold[[#This Row],[Código]],Projeção[#All],14,FALSE)</f>
        <v>0</v>
      </c>
      <c r="S72" s="24">
        <f>IFERROR(VLOOKUP(JK_Haubold[[#This Row],[Código]],Venda_mes[],2,FALSE),0)</f>
        <v>0</v>
      </c>
      <c r="T72" s="45" t="str">
        <f>IFERROR(JK_Haubold[[#This Row],[V. No mes]]/JK_Haubold[[#This Row],[Proj. de V. No mes]],"")</f>
        <v/>
      </c>
      <c r="U72" s="39">
        <f>VLOOKUP(JK_Haubold[[#This Row],[Código]],Projeção[#All],14,FALSE)+VLOOKUP(JK_Haubold[[#This Row],[Código]],Projeção[#All],13,FALSE)+VLOOKUP(JK_Haubold[[#This Row],[Código]],Projeção[#All],12,FALSE)</f>
        <v>0</v>
      </c>
      <c r="V72" s="24">
        <f>IFERROR(VLOOKUP(JK_Haubold[[#This Row],[Código]],Venda_3meses[],2,FALSE),0)</f>
        <v>0</v>
      </c>
      <c r="W72" s="45" t="str">
        <f>IFERROR(JK_Haubold[[#This Row],[V. 3 meses]]/JK_Haubold[[#This Row],[Proj. de V. 3 meses]],"")</f>
        <v/>
      </c>
      <c r="X72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72" s="24">
        <f>IFERROR(VLOOKUP(JK_Haubold[[#This Row],[Código]],Venda_12meses[],2,FALSE),0)</f>
        <v>0</v>
      </c>
      <c r="Z72" s="45" t="str">
        <f>IFERROR(JK_Haubold[[#This Row],[V. 12 meses]]/JK_Haubold[[#This Row],[Proj. de V. 12 meses]],"")</f>
        <v/>
      </c>
      <c r="AA72" s="22"/>
    </row>
    <row r="73" spans="1:27" x14ac:dyDescent="0.25">
      <c r="A73" s="22" t="str">
        <f>VLOOKUP(JK_Haubold[[#This Row],[Código]],BD_Produto[#All],7,FALSE)</f>
        <v>Fora de linha</v>
      </c>
      <c r="B73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73" s="23">
        <v>33070460223</v>
      </c>
      <c r="D73" s="22" t="s">
        <v>1479</v>
      </c>
      <c r="E73" s="22" t="s">
        <v>1756</v>
      </c>
      <c r="F73" s="22" t="s">
        <v>1756</v>
      </c>
      <c r="G73" s="24"/>
      <c r="H73" s="25"/>
      <c r="I73" s="22"/>
      <c r="J73" s="24"/>
      <c r="K73" s="24" t="str">
        <f>IFERROR(VLOOKUP(JK_Haubold[[#This Row],[Código]],Importação!P:R,3,FALSE),"")</f>
        <v/>
      </c>
      <c r="L73" s="24">
        <f>IFERROR(VLOOKUP(JK_Haubold[[#This Row],[Código]],Saldo[],3,FALSE),0)</f>
        <v>0</v>
      </c>
      <c r="M73" s="24">
        <f>SUM(JK_Haubold[[#This Row],[Produção]:[Estoque]])</f>
        <v>0</v>
      </c>
      <c r="N73" s="24" t="str">
        <f>IFERROR(JK_Haubold[[#This Row],[Estoque+Importação]]/JK_Haubold[[#This Row],[Proj. de V. No prox. mes]],"Sem Projeção")</f>
        <v>Sem Projeção</v>
      </c>
      <c r="O73" s="24" t="str">
        <f>IF(OR(JK_Haubold[[#This Row],[Status]]="Em Linha",JK_Haubold[[#This Row],[Status]]="Componente",JK_Haubold[[#This Row],[Status]]="Materia Prima"),JK_Haubold[[#This Row],[Proj. de V. No prox. mes]]*10,"-")</f>
        <v>-</v>
      </c>
      <c r="P73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73" s="39">
        <f>VLOOKUP(JK_Haubold[[#This Row],[Código]],Projeção[#All],15,FALSE)</f>
        <v>0</v>
      </c>
      <c r="R73" s="24">
        <f>VLOOKUP(JK_Haubold[[#This Row],[Código]],Projeção[#All],14,FALSE)</f>
        <v>0</v>
      </c>
      <c r="S73" s="24">
        <f>IFERROR(VLOOKUP(JK_Haubold[[#This Row],[Código]],Venda_mes[],2,FALSE),0)</f>
        <v>0</v>
      </c>
      <c r="T73" s="45" t="str">
        <f>IFERROR(JK_Haubold[[#This Row],[V. No mes]]/JK_Haubold[[#This Row],[Proj. de V. No mes]],"")</f>
        <v/>
      </c>
      <c r="U73" s="39">
        <f>VLOOKUP(JK_Haubold[[#This Row],[Código]],Projeção[#All],14,FALSE)+VLOOKUP(JK_Haubold[[#This Row],[Código]],Projeção[#All],13,FALSE)+VLOOKUP(JK_Haubold[[#This Row],[Código]],Projeção[#All],12,FALSE)</f>
        <v>0</v>
      </c>
      <c r="V73" s="24">
        <f>IFERROR(VLOOKUP(JK_Haubold[[#This Row],[Código]],Venda_3meses[],2,FALSE),0)</f>
        <v>0</v>
      </c>
      <c r="W73" s="45" t="str">
        <f>IFERROR(JK_Haubold[[#This Row],[V. 3 meses]]/JK_Haubold[[#This Row],[Proj. de V. 3 meses]],"")</f>
        <v/>
      </c>
      <c r="X73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73" s="24">
        <f>IFERROR(VLOOKUP(JK_Haubold[[#This Row],[Código]],Venda_12meses[],2,FALSE),0)</f>
        <v>0</v>
      </c>
      <c r="Z73" s="45" t="str">
        <f>IFERROR(JK_Haubold[[#This Row],[V. 12 meses]]/JK_Haubold[[#This Row],[Proj. de V. 12 meses]],"")</f>
        <v/>
      </c>
      <c r="AA73" s="22"/>
    </row>
    <row r="74" spans="1:27" x14ac:dyDescent="0.25">
      <c r="A74" s="22" t="str">
        <f>VLOOKUP(JK_Haubold[[#This Row],[Código]],BD_Produto[#All],7,FALSE)</f>
        <v>Fora de linha</v>
      </c>
      <c r="B74" s="22" t="str">
        <f>IF(OR(JK_Haubold[[#This Row],[Status]]="Em linha",JK_Haubold[[#This Row],[Status]]="Materia Prima",JK_Haubold[[#This Row],[Status]]="Componente"),"ok",IF(JK_Haubold[[#This Row],[Estoque+Importação]]&lt;1,"Tirar","ok"))</f>
        <v>Tirar</v>
      </c>
      <c r="C74" s="23">
        <v>33070161319</v>
      </c>
      <c r="D74" s="22" t="s">
        <v>1480</v>
      </c>
      <c r="E74" s="22" t="s">
        <v>2058</v>
      </c>
      <c r="F74" s="22" t="s">
        <v>2058</v>
      </c>
      <c r="G74" s="24"/>
      <c r="H74" s="25"/>
      <c r="I74" s="22"/>
      <c r="J74" s="24"/>
      <c r="K74" s="24" t="str">
        <f>IFERROR(VLOOKUP(JK_Haubold[[#This Row],[Código]],Importação!P:R,3,FALSE),"")</f>
        <v/>
      </c>
      <c r="L74" s="24">
        <f>IFERROR(VLOOKUP(JK_Haubold[[#This Row],[Código]],Saldo[],3,FALSE),0)</f>
        <v>0</v>
      </c>
      <c r="M74" s="24">
        <f>SUM(JK_Haubold[[#This Row],[Produção]:[Estoque]])</f>
        <v>0</v>
      </c>
      <c r="N74" s="24" t="str">
        <f>IFERROR(JK_Haubold[[#This Row],[Estoque+Importação]]/JK_Haubold[[#This Row],[Proj. de V. No prox. mes]],"Sem Projeção")</f>
        <v>Sem Projeção</v>
      </c>
      <c r="O74" s="24" t="str">
        <f>IF(OR(JK_Haubold[[#This Row],[Status]]="Em Linha",JK_Haubold[[#This Row],[Status]]="Componente",JK_Haubold[[#This Row],[Status]]="Materia Prima"),JK_Haubold[[#This Row],[Proj. de V. No prox. mes]]*10,"-")</f>
        <v>-</v>
      </c>
      <c r="P74" s="24">
        <f>IF(OR(JK_Haubold[[#This Row],[Status]]="Em Linha",JK_Haubold[[#This Row],[Status]]="Componente",JK_Haubold[[#This Row],[Status]]="Materia Prima"),JK_Haubold[[#This Row],[estoque 10 meses]]-JK_Haubold[[#This Row],[Estoque+Importação]],0)</f>
        <v>0</v>
      </c>
      <c r="Q74" s="39">
        <f>VLOOKUP(JK_Haubold[[#This Row],[Código]],Projeção[#All],15,FALSE)</f>
        <v>0</v>
      </c>
      <c r="R74" s="24">
        <f>VLOOKUP(JK_Haubold[[#This Row],[Código]],Projeção[#All],14,FALSE)</f>
        <v>0</v>
      </c>
      <c r="S74" s="24">
        <f>IFERROR(VLOOKUP(JK_Haubold[[#This Row],[Código]],Venda_mes[],2,FALSE),0)</f>
        <v>0</v>
      </c>
      <c r="T74" s="45" t="str">
        <f>IFERROR(JK_Haubold[[#This Row],[V. No mes]]/JK_Haubold[[#This Row],[Proj. de V. No mes]],"")</f>
        <v/>
      </c>
      <c r="U74" s="39">
        <f>VLOOKUP(JK_Haubold[[#This Row],[Código]],Projeção[#All],14,FALSE)+VLOOKUP(JK_Haubold[[#This Row],[Código]],Projeção[#All],13,FALSE)+VLOOKUP(JK_Haubold[[#This Row],[Código]],Projeção[#All],12,FALSE)</f>
        <v>0</v>
      </c>
      <c r="V74" s="24">
        <f>IFERROR(VLOOKUP(JK_Haubold[[#This Row],[Código]],Venda_3meses[],2,FALSE),0)</f>
        <v>0</v>
      </c>
      <c r="W74" s="45" t="str">
        <f>IFERROR(JK_Haubold[[#This Row],[V. 3 meses]]/JK_Haubold[[#This Row],[Proj. de V. 3 meses]],"")</f>
        <v/>
      </c>
      <c r="X74" s="39">
        <f>VLOOKUP(JK_Haubold[[#This Row],[Código]],Projeção[#All],14,FALSE)+VLOOKUP(JK_Haubold[[#This Row],[Código]],Projeção[#All],13,FALSE)+VLOOKUP(JK_Haubold[[#This Row],[Código]],Projeção[#All],12,FALSE)+VLOOKUP(JK_Haubold[[#This Row],[Código]],Projeção[#All],11,FALSE)+VLOOKUP(JK_Haubold[[#This Row],[Código]],Projeção[#All],10,FALSE)+VLOOKUP(JK_Haubold[[#This Row],[Código]],Projeção[#All],9,FALSE)+VLOOKUP(JK_Haubold[[#This Row],[Código]],Projeção[#All],8,FALSE)+VLOOKUP(JK_Haubold[[#This Row],[Código]],Projeção[#All],7,FALSE)+VLOOKUP(JK_Haubold[[#This Row],[Código]],Projeção[#All],6,FALSE)+VLOOKUP(JK_Haubold[[#This Row],[Código]],Projeção[#All],5,FALSE)+VLOOKUP(JK_Haubold[[#This Row],[Código]],Projeção[#All],4,FALSE)+VLOOKUP(JK_Haubold[[#This Row],[Código]],Projeção[#All],3,FALSE)</f>
        <v>0</v>
      </c>
      <c r="Y74" s="24">
        <f>IFERROR(VLOOKUP(JK_Haubold[[#This Row],[Código]],Venda_12meses[],2,FALSE),0)</f>
        <v>0</v>
      </c>
      <c r="Z74" s="45" t="str">
        <f>IFERROR(JK_Haubold[[#This Row],[V. 12 meses]]/JK_Haubold[[#This Row],[Proj. de V. 12 meses]],"")</f>
        <v/>
      </c>
      <c r="AA74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2:T2"/>
    <mergeCell ref="R3:R5"/>
    <mergeCell ref="S3:S5"/>
    <mergeCell ref="T3:T5"/>
    <mergeCell ref="Z3:Z5"/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B9803C1-C121-417D-AB7F-11A8398D89DF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T7:T74 W7:W74 Z7:Z74</xm:sqref>
        </x14:conditionalFormatting>
        <x14:conditionalFormatting xmlns:xm="http://schemas.microsoft.com/office/excel/2006/main">
          <x14:cfRule type="iconSet" priority="1" id="{C76E209A-7084-484D-B0C0-2E7DE7467334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P7:P64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090"/>
  <sheetViews>
    <sheetView zoomScale="85" zoomScaleNormal="85" workbookViewId="0">
      <selection activeCell="D2" sqref="D2"/>
    </sheetView>
  </sheetViews>
  <sheetFormatPr defaultColWidth="9.140625" defaultRowHeight="15" x14ac:dyDescent="0.25"/>
  <cols>
    <col min="1" max="1" width="13.85546875" style="54" bestFit="1" customWidth="1"/>
    <col min="2" max="2" width="69.85546875" style="8" bestFit="1" customWidth="1"/>
    <col min="3" max="3" width="11.42578125" style="8" bestFit="1" customWidth="1"/>
    <col min="4" max="4" width="13.42578125" style="6" bestFit="1" customWidth="1"/>
    <col min="5" max="5" width="9.140625" style="6"/>
    <col min="6" max="6" width="11.42578125" style="6" bestFit="1" customWidth="1"/>
    <col min="7" max="16384" width="9.140625" style="6"/>
  </cols>
  <sheetData>
    <row r="1" spans="1:6" s="5" customFormat="1" x14ac:dyDescent="0.25">
      <c r="A1" s="54" t="s">
        <v>37</v>
      </c>
      <c r="B1" s="3" t="s">
        <v>38</v>
      </c>
      <c r="C1" s="3" t="s">
        <v>39</v>
      </c>
      <c r="D1" s="4" t="s">
        <v>3102</v>
      </c>
    </row>
    <row r="2" spans="1:6" x14ac:dyDescent="0.25">
      <c r="A2" s="54">
        <v>11061224013</v>
      </c>
      <c r="B2" s="143" t="s">
        <v>40</v>
      </c>
      <c r="C2" s="158">
        <v>0</v>
      </c>
      <c r="F2" s="175" t="e">
        <f>VLOOKUP(Saldo[[#This Row],[ITEM]],#REF!,4,0)</f>
        <v>#REF!</v>
      </c>
    </row>
    <row r="3" spans="1:6" x14ac:dyDescent="0.25">
      <c r="A3" s="54">
        <v>11061224034</v>
      </c>
      <c r="B3" s="143" t="s">
        <v>2829</v>
      </c>
      <c r="C3" s="158">
        <v>1818120</v>
      </c>
      <c r="F3" s="175" t="e">
        <f>VLOOKUP(Saldo[[#This Row],[ITEM]],#REF!,4,0)</f>
        <v>#REF!</v>
      </c>
    </row>
    <row r="4" spans="1:6" x14ac:dyDescent="0.25">
      <c r="A4" s="54">
        <v>11061224035</v>
      </c>
      <c r="B4" s="143" t="s">
        <v>2830</v>
      </c>
      <c r="C4" s="158">
        <v>482500</v>
      </c>
      <c r="F4" s="175" t="e">
        <f>VLOOKUP(Saldo[[#This Row],[ITEM]],#REF!,4,0)</f>
        <v>#REF!</v>
      </c>
    </row>
    <row r="5" spans="1:6" x14ac:dyDescent="0.25">
      <c r="A5" s="54">
        <v>11061224036</v>
      </c>
      <c r="B5" s="143" t="s">
        <v>43</v>
      </c>
      <c r="C5" s="158">
        <v>27500</v>
      </c>
      <c r="F5" s="175" t="e">
        <f>VLOOKUP(Saldo[[#This Row],[ITEM]],#REF!,4,0)</f>
        <v>#REF!</v>
      </c>
    </row>
    <row r="6" spans="1:6" x14ac:dyDescent="0.25">
      <c r="A6" s="54">
        <v>11061224037</v>
      </c>
      <c r="B6" s="143" t="s">
        <v>44</v>
      </c>
      <c r="C6" s="158">
        <v>961760</v>
      </c>
      <c r="F6" s="175" t="e">
        <f>VLOOKUP(Saldo[[#This Row],[ITEM]],#REF!,4,0)</f>
        <v>#REF!</v>
      </c>
    </row>
    <row r="7" spans="1:6" x14ac:dyDescent="0.25">
      <c r="A7" s="54">
        <v>11061224043</v>
      </c>
      <c r="B7" s="143" t="s">
        <v>2831</v>
      </c>
      <c r="C7" s="158">
        <v>1799100</v>
      </c>
      <c r="F7" s="175" t="e">
        <f>VLOOKUP(Saldo[[#This Row],[ITEM]],#REF!,4,0)</f>
        <v>#REF!</v>
      </c>
    </row>
    <row r="8" spans="1:6" x14ac:dyDescent="0.25">
      <c r="A8" s="54">
        <v>11061224044</v>
      </c>
      <c r="B8" s="143" t="s">
        <v>46</v>
      </c>
      <c r="C8" s="158">
        <v>1061350</v>
      </c>
      <c r="F8" s="175" t="e">
        <f>VLOOKUP(Saldo[[#This Row],[ITEM]],#REF!,4,0)</f>
        <v>#REF!</v>
      </c>
    </row>
    <row r="9" spans="1:6" x14ac:dyDescent="0.25">
      <c r="A9" s="54">
        <v>11061224654</v>
      </c>
      <c r="B9" s="143" t="s">
        <v>47</v>
      </c>
      <c r="C9" s="158">
        <v>2392</v>
      </c>
      <c r="F9" s="175" t="e">
        <f>VLOOKUP(Saldo[[#This Row],[ITEM]],#REF!,4,0)</f>
        <v>#REF!</v>
      </c>
    </row>
    <row r="10" spans="1:6" x14ac:dyDescent="0.25">
      <c r="A10" s="54">
        <v>11061260273</v>
      </c>
      <c r="B10" s="143" t="s">
        <v>48</v>
      </c>
      <c r="C10" s="158">
        <v>15800</v>
      </c>
      <c r="F10" s="175" t="e">
        <f>VLOOKUP(Saldo[[#This Row],[ITEM]],#REF!,4,0)</f>
        <v>#REF!</v>
      </c>
    </row>
    <row r="11" spans="1:6" x14ac:dyDescent="0.25">
      <c r="A11" s="54">
        <v>11061260274</v>
      </c>
      <c r="B11" s="143" t="s">
        <v>49</v>
      </c>
      <c r="C11" s="158">
        <v>15200</v>
      </c>
      <c r="F11" s="175" t="e">
        <f>VLOOKUP(Saldo[[#This Row],[ITEM]],#REF!,4,0)</f>
        <v>#REF!</v>
      </c>
    </row>
    <row r="12" spans="1:6" x14ac:dyDescent="0.25">
      <c r="A12" s="54">
        <v>11100062410</v>
      </c>
      <c r="B12" s="143" t="s">
        <v>50</v>
      </c>
      <c r="C12" s="158">
        <v>0</v>
      </c>
      <c r="F12" s="175">
        <v>0</v>
      </c>
    </row>
    <row r="13" spans="1:6" x14ac:dyDescent="0.25">
      <c r="A13" s="54">
        <v>20011661611</v>
      </c>
      <c r="B13" s="143" t="s">
        <v>51</v>
      </c>
      <c r="C13" s="158">
        <v>0</v>
      </c>
      <c r="F13" s="175">
        <v>0</v>
      </c>
    </row>
    <row r="14" spans="1:6" x14ac:dyDescent="0.25">
      <c r="A14" s="54">
        <v>20100061515</v>
      </c>
      <c r="B14" s="143" t="s">
        <v>52</v>
      </c>
      <c r="C14" s="158">
        <v>0</v>
      </c>
      <c r="F14" s="175">
        <v>0</v>
      </c>
    </row>
    <row r="15" spans="1:6" x14ac:dyDescent="0.25">
      <c r="A15" s="54">
        <v>20100061516</v>
      </c>
      <c r="B15" s="143" t="s">
        <v>53</v>
      </c>
      <c r="C15" s="158">
        <v>0</v>
      </c>
      <c r="F15" s="175">
        <v>0</v>
      </c>
    </row>
    <row r="16" spans="1:6" x14ac:dyDescent="0.25">
      <c r="A16" s="54">
        <v>20100061517</v>
      </c>
      <c r="B16" s="143" t="s">
        <v>54</v>
      </c>
      <c r="C16" s="158">
        <v>0</v>
      </c>
      <c r="F16" s="175">
        <v>0</v>
      </c>
    </row>
    <row r="17" spans="1:6" x14ac:dyDescent="0.25">
      <c r="A17" s="54">
        <v>20100061518</v>
      </c>
      <c r="B17" s="143" t="s">
        <v>55</v>
      </c>
      <c r="C17" s="158">
        <v>0</v>
      </c>
      <c r="F17" s="175">
        <v>0</v>
      </c>
    </row>
    <row r="18" spans="1:6" x14ac:dyDescent="0.25">
      <c r="A18" s="54">
        <v>20100061519</v>
      </c>
      <c r="B18" s="143" t="s">
        <v>56</v>
      </c>
      <c r="C18" s="158">
        <v>0</v>
      </c>
      <c r="F18" s="175">
        <v>0</v>
      </c>
    </row>
    <row r="19" spans="1:6" x14ac:dyDescent="0.25">
      <c r="A19" s="54">
        <v>20100061520</v>
      </c>
      <c r="B19" s="143" t="s">
        <v>57</v>
      </c>
      <c r="C19" s="158">
        <v>0</v>
      </c>
      <c r="F19" s="175">
        <v>0</v>
      </c>
    </row>
    <row r="20" spans="1:6" x14ac:dyDescent="0.25">
      <c r="A20" s="54">
        <v>20100061522</v>
      </c>
      <c r="B20" s="143" t="s">
        <v>58</v>
      </c>
      <c r="C20" s="158">
        <v>0</v>
      </c>
      <c r="F20" s="175">
        <v>0</v>
      </c>
    </row>
    <row r="21" spans="1:6" x14ac:dyDescent="0.25">
      <c r="A21" s="54">
        <v>20100061523</v>
      </c>
      <c r="B21" s="143" t="s">
        <v>59</v>
      </c>
      <c r="C21" s="158">
        <v>0</v>
      </c>
      <c r="F21" s="175">
        <v>0</v>
      </c>
    </row>
    <row r="22" spans="1:6" x14ac:dyDescent="0.25">
      <c r="A22" s="54">
        <v>20100061524</v>
      </c>
      <c r="B22" s="143" t="s">
        <v>60</v>
      </c>
      <c r="C22" s="158">
        <v>0</v>
      </c>
      <c r="F22" s="175">
        <v>0</v>
      </c>
    </row>
    <row r="23" spans="1:6" x14ac:dyDescent="0.25">
      <c r="A23" s="54">
        <v>20100061525</v>
      </c>
      <c r="B23" s="143" t="s">
        <v>61</v>
      </c>
      <c r="C23" s="158">
        <v>0</v>
      </c>
      <c r="F23" s="175">
        <v>0</v>
      </c>
    </row>
    <row r="24" spans="1:6" x14ac:dyDescent="0.25">
      <c r="A24" s="54">
        <v>20100061526</v>
      </c>
      <c r="B24" s="143" t="s">
        <v>62</v>
      </c>
      <c r="C24" s="158">
        <v>0</v>
      </c>
      <c r="F24" s="175">
        <v>0</v>
      </c>
    </row>
    <row r="25" spans="1:6" x14ac:dyDescent="0.25">
      <c r="A25" s="54">
        <v>20100062811</v>
      </c>
      <c r="B25" s="143" t="s">
        <v>63</v>
      </c>
      <c r="C25" s="158">
        <v>0</v>
      </c>
      <c r="F25" s="175">
        <v>0</v>
      </c>
    </row>
    <row r="26" spans="1:6" x14ac:dyDescent="0.25">
      <c r="A26" s="54">
        <v>20100062813</v>
      </c>
      <c r="B26" s="143" t="s">
        <v>64</v>
      </c>
      <c r="C26" s="158">
        <v>0</v>
      </c>
      <c r="F26" s="175">
        <v>0</v>
      </c>
    </row>
    <row r="27" spans="1:6" x14ac:dyDescent="0.25">
      <c r="A27" s="54">
        <v>20100062815</v>
      </c>
      <c r="B27" s="143" t="s">
        <v>65</v>
      </c>
      <c r="C27" s="158">
        <v>0</v>
      </c>
      <c r="F27" s="175">
        <v>0</v>
      </c>
    </row>
    <row r="28" spans="1:6" x14ac:dyDescent="0.25">
      <c r="A28" s="54">
        <v>20100062816</v>
      </c>
      <c r="B28" s="143" t="s">
        <v>66</v>
      </c>
      <c r="C28" s="158">
        <v>0</v>
      </c>
      <c r="F28" s="175">
        <v>0</v>
      </c>
    </row>
    <row r="29" spans="1:6" x14ac:dyDescent="0.25">
      <c r="A29" s="54">
        <v>30061214973</v>
      </c>
      <c r="B29" s="143" t="s">
        <v>67</v>
      </c>
      <c r="C29" s="158">
        <v>321</v>
      </c>
      <c r="F29" s="175" t="e">
        <f>VLOOKUP(Saldo[[#This Row],[ITEM]],#REF!,4,0)</f>
        <v>#REF!</v>
      </c>
    </row>
    <row r="30" spans="1:6" x14ac:dyDescent="0.25">
      <c r="A30" s="54">
        <v>30061214974</v>
      </c>
      <c r="B30" s="143" t="s">
        <v>2878</v>
      </c>
      <c r="C30" s="158">
        <v>0</v>
      </c>
      <c r="F30" s="175" t="e">
        <f>VLOOKUP(Saldo[[#This Row],[ITEM]],#REF!,4,0)</f>
        <v>#REF!</v>
      </c>
    </row>
    <row r="31" spans="1:6" x14ac:dyDescent="0.25">
      <c r="A31" s="54">
        <v>30061214978</v>
      </c>
      <c r="B31" s="143" t="s">
        <v>2879</v>
      </c>
      <c r="C31" s="158">
        <v>3</v>
      </c>
      <c r="F31" s="175" t="e">
        <f>VLOOKUP(Saldo[[#This Row],[ITEM]],#REF!,4,0)</f>
        <v>#REF!</v>
      </c>
    </row>
    <row r="32" spans="1:6" x14ac:dyDescent="0.25">
      <c r="A32" s="54">
        <v>30061214980</v>
      </c>
      <c r="B32" s="143" t="s">
        <v>68</v>
      </c>
      <c r="C32" s="158">
        <v>0</v>
      </c>
      <c r="F32" s="175" t="e">
        <f>VLOOKUP(Saldo[[#This Row],[ITEM]],#REF!,4,0)</f>
        <v>#REF!</v>
      </c>
    </row>
    <row r="33" spans="1:6" x14ac:dyDescent="0.25">
      <c r="A33" s="54">
        <v>30061224002</v>
      </c>
      <c r="B33" s="143" t="s">
        <v>69</v>
      </c>
      <c r="C33" s="158">
        <v>38</v>
      </c>
      <c r="F33" s="175" t="e">
        <f>VLOOKUP(Saldo[[#This Row],[ITEM]],#REF!,4,0)</f>
        <v>#REF!</v>
      </c>
    </row>
    <row r="34" spans="1:6" x14ac:dyDescent="0.25">
      <c r="A34" s="54">
        <v>30061224007</v>
      </c>
      <c r="B34" s="143" t="s">
        <v>70</v>
      </c>
      <c r="C34" s="158">
        <v>0</v>
      </c>
      <c r="F34" s="175" t="e">
        <f>VLOOKUP(Saldo[[#This Row],[ITEM]],#REF!,4,0)</f>
        <v>#REF!</v>
      </c>
    </row>
    <row r="35" spans="1:6" x14ac:dyDescent="0.25">
      <c r="A35" s="54">
        <v>30061224008</v>
      </c>
      <c r="B35" s="143" t="s">
        <v>71</v>
      </c>
      <c r="C35" s="158">
        <v>0</v>
      </c>
      <c r="F35" s="175" t="e">
        <f>VLOOKUP(Saldo[[#This Row],[ITEM]],#REF!,4,0)</f>
        <v>#REF!</v>
      </c>
    </row>
    <row r="36" spans="1:6" x14ac:dyDescent="0.25">
      <c r="A36" s="54">
        <v>30061224018</v>
      </c>
      <c r="B36" s="143" t="s">
        <v>72</v>
      </c>
      <c r="C36" s="158">
        <v>377</v>
      </c>
      <c r="F36" s="175" t="e">
        <f>VLOOKUP(Saldo[[#This Row],[ITEM]],#REF!,4,0)</f>
        <v>#REF!</v>
      </c>
    </row>
    <row r="37" spans="1:6" x14ac:dyDescent="0.25">
      <c r="A37" s="54">
        <v>30061224020</v>
      </c>
      <c r="B37" s="143" t="s">
        <v>73</v>
      </c>
      <c r="C37" s="158">
        <v>129</v>
      </c>
      <c r="F37" s="175" t="e">
        <f>VLOOKUP(Saldo[[#This Row],[ITEM]],#REF!,4,0)</f>
        <v>#REF!</v>
      </c>
    </row>
    <row r="38" spans="1:6" x14ac:dyDescent="0.25">
      <c r="A38" s="54">
        <v>30061224022</v>
      </c>
      <c r="B38" s="143" t="s">
        <v>74</v>
      </c>
      <c r="C38" s="158">
        <v>261</v>
      </c>
      <c r="F38" s="175" t="e">
        <f>VLOOKUP(Saldo[[#This Row],[ITEM]],#REF!,4,0)</f>
        <v>#REF!</v>
      </c>
    </row>
    <row r="39" spans="1:6" x14ac:dyDescent="0.25">
      <c r="A39" s="54">
        <v>30061224030</v>
      </c>
      <c r="B39" s="143" t="s">
        <v>75</v>
      </c>
      <c r="C39" s="158">
        <v>581</v>
      </c>
      <c r="F39" s="175" t="e">
        <f>VLOOKUP(Saldo[[#This Row],[ITEM]],#REF!,4,0)</f>
        <v>#REF!</v>
      </c>
    </row>
    <row r="40" spans="1:6" x14ac:dyDescent="0.25">
      <c r="A40" s="54">
        <v>30061224031</v>
      </c>
      <c r="B40" s="143" t="s">
        <v>76</v>
      </c>
      <c r="C40" s="158">
        <v>0</v>
      </c>
      <c r="F40" s="175" t="e">
        <f>VLOOKUP(Saldo[[#This Row],[ITEM]],#REF!,4,0)</f>
        <v>#REF!</v>
      </c>
    </row>
    <row r="41" spans="1:6" x14ac:dyDescent="0.25">
      <c r="A41" s="54">
        <v>30061224032</v>
      </c>
      <c r="B41" s="143" t="s">
        <v>77</v>
      </c>
      <c r="C41" s="158">
        <v>267</v>
      </c>
      <c r="F41" s="175" t="e">
        <f>VLOOKUP(Saldo[[#This Row],[ITEM]],#REF!,4,0)</f>
        <v>#REF!</v>
      </c>
    </row>
    <row r="42" spans="1:6" x14ac:dyDescent="0.25">
      <c r="A42" s="54">
        <v>30061224049</v>
      </c>
      <c r="B42" s="143" t="s">
        <v>2880</v>
      </c>
      <c r="C42" s="158">
        <v>10</v>
      </c>
      <c r="F42" s="175" t="e">
        <f>VLOOKUP(Saldo[[#This Row],[ITEM]],#REF!,4,0)</f>
        <v>#REF!</v>
      </c>
    </row>
    <row r="43" spans="1:6" x14ac:dyDescent="0.25">
      <c r="A43" s="54">
        <v>30061224050</v>
      </c>
      <c r="B43" s="143" t="s">
        <v>78</v>
      </c>
      <c r="C43" s="158">
        <v>39</v>
      </c>
      <c r="F43" s="175" t="e">
        <f>VLOOKUP(Saldo[[#This Row],[ITEM]],#REF!,4,0)</f>
        <v>#REF!</v>
      </c>
    </row>
    <row r="44" spans="1:6" x14ac:dyDescent="0.25">
      <c r="A44" s="54">
        <v>30061224346</v>
      </c>
      <c r="B44" s="143" t="s">
        <v>79</v>
      </c>
      <c r="C44" s="158">
        <v>15</v>
      </c>
      <c r="F44" s="175" t="e">
        <f>VLOOKUP(Saldo[[#This Row],[ITEM]],#REF!,4,0)</f>
        <v>#REF!</v>
      </c>
    </row>
    <row r="45" spans="1:6" x14ac:dyDescent="0.25">
      <c r="A45" s="54">
        <v>30061224371</v>
      </c>
      <c r="B45" s="143" t="s">
        <v>80</v>
      </c>
      <c r="C45" s="158">
        <v>5</v>
      </c>
      <c r="F45" s="175" t="e">
        <f>VLOOKUP(Saldo[[#This Row],[ITEM]],#REF!,4,0)</f>
        <v>#REF!</v>
      </c>
    </row>
    <row r="46" spans="1:6" x14ac:dyDescent="0.25">
      <c r="A46" s="54">
        <v>30061224386</v>
      </c>
      <c r="B46" s="143" t="s">
        <v>79</v>
      </c>
      <c r="C46" s="158">
        <v>112</v>
      </c>
      <c r="F46" s="175" t="e">
        <f>VLOOKUP(Saldo[[#This Row],[ITEM]],#REF!,4,0)</f>
        <v>#REF!</v>
      </c>
    </row>
    <row r="47" spans="1:6" x14ac:dyDescent="0.25">
      <c r="A47" s="54">
        <v>30061224414</v>
      </c>
      <c r="B47" s="143" t="s">
        <v>81</v>
      </c>
      <c r="C47" s="158">
        <v>141</v>
      </c>
      <c r="F47" s="175" t="e">
        <f>VLOOKUP(Saldo[[#This Row],[ITEM]],#REF!,4,0)</f>
        <v>#REF!</v>
      </c>
    </row>
    <row r="48" spans="1:6" x14ac:dyDescent="0.25">
      <c r="A48" s="54">
        <v>30061224415</v>
      </c>
      <c r="B48" s="143" t="s">
        <v>3041</v>
      </c>
      <c r="C48" s="158">
        <v>313</v>
      </c>
      <c r="F48" s="175" t="e">
        <f>VLOOKUP(Saldo[[#This Row],[ITEM]],#REF!,4,0)</f>
        <v>#REF!</v>
      </c>
    </row>
    <row r="49" spans="1:6" x14ac:dyDescent="0.25">
      <c r="A49" s="54">
        <v>30061224597</v>
      </c>
      <c r="B49" s="143" t="s">
        <v>3042</v>
      </c>
      <c r="C49" s="158">
        <v>1592</v>
      </c>
      <c r="F49" s="175" t="e">
        <f>VLOOKUP(Saldo[[#This Row],[ITEM]],#REF!,4,0)</f>
        <v>#REF!</v>
      </c>
    </row>
    <row r="50" spans="1:6" x14ac:dyDescent="0.25">
      <c r="A50" s="54">
        <v>30061224599</v>
      </c>
      <c r="B50" s="143" t="s">
        <v>82</v>
      </c>
      <c r="C50" s="158">
        <v>0</v>
      </c>
      <c r="F50" s="175" t="e">
        <f>VLOOKUP(Saldo[[#This Row],[ITEM]],#REF!,4,0)</f>
        <v>#REF!</v>
      </c>
    </row>
    <row r="51" spans="1:6" x14ac:dyDescent="0.25">
      <c r="A51" s="54">
        <v>30061224600</v>
      </c>
      <c r="B51" s="143" t="s">
        <v>3043</v>
      </c>
      <c r="C51" s="158">
        <v>296</v>
      </c>
      <c r="F51" s="175" t="e">
        <f>VLOOKUP(Saldo[[#This Row],[ITEM]],#REF!,4,0)</f>
        <v>#REF!</v>
      </c>
    </row>
    <row r="52" spans="1:6" x14ac:dyDescent="0.25">
      <c r="A52" s="54">
        <v>30061224601</v>
      </c>
      <c r="B52" s="143" t="s">
        <v>3044</v>
      </c>
      <c r="C52" s="158">
        <v>482</v>
      </c>
      <c r="F52" s="175" t="e">
        <f>VLOOKUP(Saldo[[#This Row],[ITEM]],#REF!,4,0)</f>
        <v>#REF!</v>
      </c>
    </row>
    <row r="53" spans="1:6" x14ac:dyDescent="0.25">
      <c r="A53" s="54">
        <v>30061224606</v>
      </c>
      <c r="B53" s="143" t="s">
        <v>2881</v>
      </c>
      <c r="C53" s="158">
        <v>6</v>
      </c>
      <c r="F53" s="175" t="e">
        <f>VLOOKUP(Saldo[[#This Row],[ITEM]],#REF!,4,0)</f>
        <v>#REF!</v>
      </c>
    </row>
    <row r="54" spans="1:6" x14ac:dyDescent="0.25">
      <c r="A54" s="54">
        <v>30061265232</v>
      </c>
      <c r="B54" s="143" t="s">
        <v>3065</v>
      </c>
      <c r="C54" s="158">
        <v>808</v>
      </c>
      <c r="F54" s="175" t="e">
        <f>VLOOKUP(Saldo[[#This Row],[ITEM]],#REF!,4,0)</f>
        <v>#REF!</v>
      </c>
    </row>
    <row r="55" spans="1:6" x14ac:dyDescent="0.25">
      <c r="A55" s="54">
        <v>30061265264</v>
      </c>
      <c r="B55" s="143" t="s">
        <v>3083</v>
      </c>
      <c r="C55" s="158">
        <v>1369</v>
      </c>
      <c r="D55" s="7"/>
      <c r="F55" s="175" t="e">
        <f>VLOOKUP(Saldo[[#This Row],[ITEM]],#REF!,4,0)</f>
        <v>#REF!</v>
      </c>
    </row>
    <row r="56" spans="1:6" x14ac:dyDescent="0.25">
      <c r="A56" s="54">
        <v>30061265265</v>
      </c>
      <c r="B56" s="143" t="s">
        <v>3084</v>
      </c>
      <c r="C56" s="158">
        <v>1824</v>
      </c>
      <c r="D56" s="7"/>
      <c r="F56" s="175" t="e">
        <f>VLOOKUP(Saldo[[#This Row],[ITEM]],#REF!,4,0)</f>
        <v>#REF!</v>
      </c>
    </row>
    <row r="57" spans="1:6" x14ac:dyDescent="0.25">
      <c r="A57" s="54">
        <v>30061265266</v>
      </c>
      <c r="B57" s="8" t="s">
        <v>3085</v>
      </c>
      <c r="C57" s="158">
        <v>1340</v>
      </c>
      <c r="D57" s="7"/>
      <c r="F57" s="175" t="e">
        <f>VLOOKUP(Saldo[[#This Row],[ITEM]],#REF!,4,0)</f>
        <v>#REF!</v>
      </c>
    </row>
    <row r="58" spans="1:6" x14ac:dyDescent="0.25">
      <c r="A58" s="54">
        <v>30062065195</v>
      </c>
      <c r="B58" s="143" t="s">
        <v>108</v>
      </c>
      <c r="C58" s="158">
        <v>12</v>
      </c>
      <c r="F58" s="175" t="e">
        <f>VLOOKUP(Saldo[[#This Row],[ITEM]],#REF!,4,0)</f>
        <v>#REF!</v>
      </c>
    </row>
    <row r="59" spans="1:6" x14ac:dyDescent="0.25">
      <c r="A59" s="54">
        <v>30062065196</v>
      </c>
      <c r="B59" s="143" t="s">
        <v>109</v>
      </c>
      <c r="C59" s="158">
        <v>69</v>
      </c>
      <c r="F59" s="175" t="e">
        <f>VLOOKUP(Saldo[[#This Row],[ITEM]],#REF!,4,0)</f>
        <v>#REF!</v>
      </c>
    </row>
    <row r="60" spans="1:6" x14ac:dyDescent="0.25">
      <c r="A60" s="54">
        <v>30100061445</v>
      </c>
      <c r="B60" s="143" t="s">
        <v>83</v>
      </c>
      <c r="C60" s="158">
        <v>0</v>
      </c>
      <c r="F60" s="175">
        <v>0</v>
      </c>
    </row>
    <row r="61" spans="1:6" x14ac:dyDescent="0.25">
      <c r="A61" s="54">
        <v>30100061447</v>
      </c>
      <c r="B61" s="143" t="s">
        <v>84</v>
      </c>
      <c r="C61" s="158">
        <v>0</v>
      </c>
      <c r="F61" s="175">
        <v>0</v>
      </c>
    </row>
    <row r="62" spans="1:6" x14ac:dyDescent="0.25">
      <c r="A62" s="54">
        <v>30100061448</v>
      </c>
      <c r="B62" s="143" t="s">
        <v>85</v>
      </c>
      <c r="C62" s="158">
        <v>0</v>
      </c>
      <c r="F62" s="175">
        <v>0</v>
      </c>
    </row>
    <row r="63" spans="1:6" x14ac:dyDescent="0.25">
      <c r="A63" s="54">
        <v>30100061449</v>
      </c>
      <c r="B63" s="143" t="s">
        <v>86</v>
      </c>
      <c r="C63" s="158">
        <v>0</v>
      </c>
      <c r="F63" s="175">
        <v>0</v>
      </c>
    </row>
    <row r="64" spans="1:6" x14ac:dyDescent="0.25">
      <c r="A64" s="54">
        <v>30100061450</v>
      </c>
      <c r="B64" s="143" t="s">
        <v>87</v>
      </c>
      <c r="C64" s="158">
        <v>0</v>
      </c>
      <c r="F64" s="175">
        <v>0</v>
      </c>
    </row>
    <row r="65" spans="1:6" x14ac:dyDescent="0.25">
      <c r="A65" s="54">
        <v>30100061451</v>
      </c>
      <c r="B65" s="143" t="s">
        <v>88</v>
      </c>
      <c r="C65" s="158">
        <v>0</v>
      </c>
      <c r="F65" s="175">
        <v>0</v>
      </c>
    </row>
    <row r="66" spans="1:6" x14ac:dyDescent="0.25">
      <c r="A66" s="54">
        <v>30100061454</v>
      </c>
      <c r="B66" s="143" t="s">
        <v>89</v>
      </c>
      <c r="C66" s="158">
        <v>0</v>
      </c>
      <c r="F66" s="175">
        <v>0</v>
      </c>
    </row>
    <row r="67" spans="1:6" x14ac:dyDescent="0.25">
      <c r="A67" s="54">
        <v>30100061455</v>
      </c>
      <c r="B67" s="143" t="s">
        <v>90</v>
      </c>
      <c r="C67" s="158">
        <v>0</v>
      </c>
      <c r="F67" s="175">
        <v>0</v>
      </c>
    </row>
    <row r="68" spans="1:6" x14ac:dyDescent="0.25">
      <c r="A68" s="54">
        <v>30100061456</v>
      </c>
      <c r="B68" s="143" t="s">
        <v>91</v>
      </c>
      <c r="C68" s="158">
        <v>0</v>
      </c>
      <c r="F68" s="175">
        <v>0</v>
      </c>
    </row>
    <row r="69" spans="1:6" x14ac:dyDescent="0.25">
      <c r="A69" s="54">
        <v>30100061457</v>
      </c>
      <c r="B69" s="143" t="s">
        <v>92</v>
      </c>
      <c r="C69" s="158">
        <v>0</v>
      </c>
      <c r="F69" s="175">
        <v>0</v>
      </c>
    </row>
    <row r="70" spans="1:6" x14ac:dyDescent="0.25">
      <c r="A70" s="54">
        <v>30100061459</v>
      </c>
      <c r="B70" s="143" t="s">
        <v>93</v>
      </c>
      <c r="C70" s="158">
        <v>0</v>
      </c>
      <c r="F70" s="175">
        <v>0</v>
      </c>
    </row>
    <row r="71" spans="1:6" x14ac:dyDescent="0.25">
      <c r="A71" s="54">
        <v>30100062074</v>
      </c>
      <c r="B71" s="143" t="s">
        <v>94</v>
      </c>
      <c r="C71" s="158">
        <v>0</v>
      </c>
      <c r="F71" s="175">
        <v>0</v>
      </c>
    </row>
    <row r="72" spans="1:6" x14ac:dyDescent="0.25">
      <c r="A72" s="54">
        <v>30100062761</v>
      </c>
      <c r="B72" s="143" t="s">
        <v>95</v>
      </c>
      <c r="C72" s="158">
        <v>0</v>
      </c>
      <c r="F72" s="175">
        <v>0</v>
      </c>
    </row>
    <row r="73" spans="1:6" x14ac:dyDescent="0.25">
      <c r="A73" s="54">
        <v>30100062762</v>
      </c>
      <c r="B73" s="143" t="s">
        <v>96</v>
      </c>
      <c r="C73" s="158">
        <v>0</v>
      </c>
      <c r="F73" s="175">
        <v>0</v>
      </c>
    </row>
    <row r="74" spans="1:6" x14ac:dyDescent="0.25">
      <c r="A74" s="54">
        <v>30100062763</v>
      </c>
      <c r="B74" s="143" t="s">
        <v>97</v>
      </c>
      <c r="C74" s="158">
        <v>0</v>
      </c>
      <c r="F74" s="175">
        <v>0</v>
      </c>
    </row>
    <row r="75" spans="1:6" x14ac:dyDescent="0.25">
      <c r="A75" s="54">
        <v>30100062764</v>
      </c>
      <c r="B75" s="143" t="s">
        <v>98</v>
      </c>
      <c r="C75" s="158">
        <v>0</v>
      </c>
      <c r="F75" s="175">
        <v>0</v>
      </c>
    </row>
    <row r="76" spans="1:6" x14ac:dyDescent="0.25">
      <c r="A76" s="54">
        <v>30100062770</v>
      </c>
      <c r="B76" s="143" t="s">
        <v>99</v>
      </c>
      <c r="C76" s="158">
        <v>0</v>
      </c>
      <c r="F76" s="175">
        <v>0</v>
      </c>
    </row>
    <row r="77" spans="1:6" x14ac:dyDescent="0.25">
      <c r="A77" s="54">
        <v>30100062771</v>
      </c>
      <c r="B77" s="143" t="s">
        <v>100</v>
      </c>
      <c r="C77" s="158">
        <v>0</v>
      </c>
      <c r="F77" s="175">
        <v>0</v>
      </c>
    </row>
    <row r="78" spans="1:6" x14ac:dyDescent="0.25">
      <c r="A78" s="54">
        <v>30100062772</v>
      </c>
      <c r="B78" s="143" t="s">
        <v>101</v>
      </c>
      <c r="C78" s="158">
        <v>0</v>
      </c>
      <c r="F78" s="175">
        <v>0</v>
      </c>
    </row>
    <row r="79" spans="1:6" x14ac:dyDescent="0.25">
      <c r="A79" s="54">
        <v>30100062773</v>
      </c>
      <c r="B79" s="143" t="s">
        <v>102</v>
      </c>
      <c r="C79" s="158">
        <v>0</v>
      </c>
      <c r="F79" s="175">
        <v>0</v>
      </c>
    </row>
    <row r="80" spans="1:6" x14ac:dyDescent="0.25">
      <c r="A80" s="54">
        <v>30100062774</v>
      </c>
      <c r="B80" s="143" t="s">
        <v>103</v>
      </c>
      <c r="C80" s="158">
        <v>0</v>
      </c>
      <c r="F80" s="175">
        <v>0</v>
      </c>
    </row>
    <row r="81" spans="1:6" x14ac:dyDescent="0.25">
      <c r="A81" s="54">
        <v>30100062780</v>
      </c>
      <c r="B81" s="143" t="s">
        <v>104</v>
      </c>
      <c r="C81" s="158">
        <v>3915</v>
      </c>
      <c r="F81" s="6">
        <v>3915</v>
      </c>
    </row>
    <row r="82" spans="1:6" x14ac:dyDescent="0.25">
      <c r="A82" s="54">
        <v>30100062817</v>
      </c>
      <c r="B82" s="143" t="s">
        <v>105</v>
      </c>
      <c r="C82" s="158">
        <v>0</v>
      </c>
      <c r="F82" s="175">
        <v>0</v>
      </c>
    </row>
    <row r="83" spans="1:6" x14ac:dyDescent="0.25">
      <c r="A83" s="54">
        <v>30100062818</v>
      </c>
      <c r="B83" s="143" t="s">
        <v>106</v>
      </c>
      <c r="C83" s="158">
        <v>0</v>
      </c>
      <c r="F83" s="175">
        <v>0</v>
      </c>
    </row>
    <row r="84" spans="1:6" x14ac:dyDescent="0.25">
      <c r="A84" s="54">
        <v>30103062251</v>
      </c>
      <c r="B84" s="143" t="s">
        <v>107</v>
      </c>
      <c r="C84" s="158">
        <v>0</v>
      </c>
      <c r="F84" s="175">
        <v>0</v>
      </c>
    </row>
    <row r="85" spans="1:6" x14ac:dyDescent="0.25">
      <c r="A85" s="54">
        <v>31062064984</v>
      </c>
      <c r="B85" s="143" t="s">
        <v>108</v>
      </c>
      <c r="C85" s="158">
        <v>0</v>
      </c>
      <c r="F85" s="175">
        <v>0</v>
      </c>
    </row>
    <row r="86" spans="1:6" x14ac:dyDescent="0.25">
      <c r="A86" s="54">
        <v>31062064985</v>
      </c>
      <c r="B86" s="143" t="s">
        <v>109</v>
      </c>
      <c r="C86" s="158">
        <v>0</v>
      </c>
      <c r="F86" s="175">
        <v>0</v>
      </c>
    </row>
    <row r="87" spans="1:6" x14ac:dyDescent="0.25">
      <c r="A87" s="54">
        <v>32060144115</v>
      </c>
      <c r="B87" s="143" t="s">
        <v>110</v>
      </c>
      <c r="C87" s="158">
        <v>0</v>
      </c>
      <c r="F87" s="175">
        <v>0</v>
      </c>
    </row>
    <row r="88" spans="1:6" x14ac:dyDescent="0.25">
      <c r="A88" s="54">
        <v>32060144116</v>
      </c>
      <c r="B88" s="143" t="s">
        <v>111</v>
      </c>
      <c r="C88" s="158">
        <v>0</v>
      </c>
      <c r="F88" s="175">
        <v>0</v>
      </c>
    </row>
    <row r="89" spans="1:6" x14ac:dyDescent="0.25">
      <c r="A89" s="54">
        <v>32060144123</v>
      </c>
      <c r="B89" s="143" t="s">
        <v>112</v>
      </c>
      <c r="C89" s="158">
        <v>79</v>
      </c>
      <c r="F89" s="175" t="e">
        <f>VLOOKUP(Saldo[[#This Row],[ITEM]],#REF!,4,0)</f>
        <v>#REF!</v>
      </c>
    </row>
    <row r="90" spans="1:6" x14ac:dyDescent="0.25">
      <c r="A90" s="54">
        <v>32060144125</v>
      </c>
      <c r="B90" s="143" t="s">
        <v>113</v>
      </c>
      <c r="C90" s="158">
        <v>48</v>
      </c>
      <c r="F90" s="175" t="e">
        <f>VLOOKUP(Saldo[[#This Row],[ITEM]],#REF!,4,0)</f>
        <v>#REF!</v>
      </c>
    </row>
    <row r="91" spans="1:6" x14ac:dyDescent="0.25">
      <c r="A91" s="54">
        <v>32060524133</v>
      </c>
      <c r="B91" s="143" t="s">
        <v>114</v>
      </c>
      <c r="C91" s="158">
        <v>180</v>
      </c>
      <c r="F91" s="175" t="e">
        <f>VLOOKUP(Saldo[[#This Row],[ITEM]],#REF!,4,0)</f>
        <v>#REF!</v>
      </c>
    </row>
    <row r="92" spans="1:6" x14ac:dyDescent="0.25">
      <c r="A92" s="54">
        <v>32060534786</v>
      </c>
      <c r="B92" s="143" t="s">
        <v>115</v>
      </c>
      <c r="C92" s="158">
        <v>51</v>
      </c>
      <c r="F92" s="175" t="e">
        <f>VLOOKUP(Saldo[[#This Row],[ITEM]],#REF!,4,0)</f>
        <v>#REF!</v>
      </c>
    </row>
    <row r="93" spans="1:6" x14ac:dyDescent="0.25">
      <c r="A93" s="54">
        <v>32060534787</v>
      </c>
      <c r="B93" s="143" t="s">
        <v>116</v>
      </c>
      <c r="C93" s="158">
        <v>17</v>
      </c>
      <c r="F93" s="175" t="e">
        <f>VLOOKUP(Saldo[[#This Row],[ITEM]],#REF!,4,0)</f>
        <v>#REF!</v>
      </c>
    </row>
    <row r="94" spans="1:6" x14ac:dyDescent="0.25">
      <c r="A94" s="54">
        <v>32060534788</v>
      </c>
      <c r="B94" s="143" t="s">
        <v>117</v>
      </c>
      <c r="C94" s="158">
        <v>28</v>
      </c>
      <c r="F94" s="175" t="e">
        <f>VLOOKUP(Saldo[[#This Row],[ITEM]],#REF!,4,0)</f>
        <v>#REF!</v>
      </c>
    </row>
    <row r="95" spans="1:6" x14ac:dyDescent="0.25">
      <c r="A95" s="54">
        <v>32105064138</v>
      </c>
      <c r="B95" s="143" t="s">
        <v>118</v>
      </c>
      <c r="C95" s="158">
        <v>82</v>
      </c>
      <c r="F95" s="175" t="e">
        <f>VLOOKUP(Saldo[[#This Row],[ITEM]],#REF!,4,0)</f>
        <v>#REF!</v>
      </c>
    </row>
    <row r="96" spans="1:6" x14ac:dyDescent="0.25">
      <c r="A96" s="54">
        <v>32105064139</v>
      </c>
      <c r="B96" s="143" t="s">
        <v>119</v>
      </c>
      <c r="C96" s="158">
        <v>106</v>
      </c>
      <c r="F96" s="175" t="e">
        <f>VLOOKUP(Saldo[[#This Row],[ITEM]],#REF!,4,0)</f>
        <v>#REF!</v>
      </c>
    </row>
    <row r="97" spans="1:6" x14ac:dyDescent="0.25">
      <c r="A97" s="54">
        <v>32105064140</v>
      </c>
      <c r="B97" s="143" t="s">
        <v>120</v>
      </c>
      <c r="C97" s="158">
        <v>104</v>
      </c>
      <c r="F97" s="175" t="e">
        <f>VLOOKUP(Saldo[[#This Row],[ITEM]],#REF!,4,0)</f>
        <v>#REF!</v>
      </c>
    </row>
    <row r="98" spans="1:6" x14ac:dyDescent="0.25">
      <c r="A98" s="54">
        <v>32105064142</v>
      </c>
      <c r="B98" s="143" t="s">
        <v>2882</v>
      </c>
      <c r="C98" s="158">
        <v>77</v>
      </c>
      <c r="F98" s="175" t="e">
        <f>VLOOKUP(Saldo[[#This Row],[ITEM]],#REF!,4,0)</f>
        <v>#REF!</v>
      </c>
    </row>
    <row r="99" spans="1:6" x14ac:dyDescent="0.25">
      <c r="A99" s="54">
        <v>32105064143</v>
      </c>
      <c r="B99" s="143" t="s">
        <v>121</v>
      </c>
      <c r="C99" s="158">
        <v>107</v>
      </c>
      <c r="F99" s="175" t="e">
        <f>VLOOKUP(Saldo[[#This Row],[ITEM]],#REF!,4,0)</f>
        <v>#REF!</v>
      </c>
    </row>
    <row r="100" spans="1:6" x14ac:dyDescent="0.25">
      <c r="A100" s="54">
        <v>32105064150</v>
      </c>
      <c r="B100" s="143" t="s">
        <v>122</v>
      </c>
      <c r="C100" s="158">
        <v>113</v>
      </c>
      <c r="F100" s="175" t="e">
        <f>VLOOKUP(Saldo[[#This Row],[ITEM]],#REF!,4,0)</f>
        <v>#REF!</v>
      </c>
    </row>
    <row r="101" spans="1:6" x14ac:dyDescent="0.25">
      <c r="A101" s="54">
        <v>32105064151</v>
      </c>
      <c r="B101" s="143" t="s">
        <v>123</v>
      </c>
      <c r="C101" s="158">
        <v>113</v>
      </c>
      <c r="F101" s="175" t="e">
        <f>VLOOKUP(Saldo[[#This Row],[ITEM]],#REF!,4,0)</f>
        <v>#REF!</v>
      </c>
    </row>
    <row r="102" spans="1:6" x14ac:dyDescent="0.25">
      <c r="A102" s="54">
        <v>32105064152</v>
      </c>
      <c r="B102" s="143" t="s">
        <v>124</v>
      </c>
      <c r="C102" s="158">
        <v>112</v>
      </c>
      <c r="F102" s="175" t="e">
        <f>VLOOKUP(Saldo[[#This Row],[ITEM]],#REF!,4,0)</f>
        <v>#REF!</v>
      </c>
    </row>
    <row r="103" spans="1:6" x14ac:dyDescent="0.25">
      <c r="A103" s="54">
        <v>32105064154</v>
      </c>
      <c r="B103" s="143" t="s">
        <v>2883</v>
      </c>
      <c r="C103" s="158">
        <v>109</v>
      </c>
      <c r="F103" s="175" t="e">
        <f>VLOOKUP(Saldo[[#This Row],[ITEM]],#REF!,4,0)</f>
        <v>#REF!</v>
      </c>
    </row>
    <row r="104" spans="1:6" x14ac:dyDescent="0.25">
      <c r="A104" s="54">
        <v>32105064169</v>
      </c>
      <c r="B104" s="143" t="s">
        <v>125</v>
      </c>
      <c r="C104" s="158">
        <v>98</v>
      </c>
      <c r="F104" s="175" t="e">
        <f>VLOOKUP(Saldo[[#This Row],[ITEM]],#REF!,4,0)</f>
        <v>#REF!</v>
      </c>
    </row>
    <row r="105" spans="1:6" x14ac:dyDescent="0.25">
      <c r="A105" s="54">
        <v>32105064170</v>
      </c>
      <c r="B105" s="143" t="s">
        <v>126</v>
      </c>
      <c r="C105" s="158">
        <v>102</v>
      </c>
      <c r="F105" s="175" t="e">
        <f>VLOOKUP(Saldo[[#This Row],[ITEM]],#REF!,4,0)</f>
        <v>#REF!</v>
      </c>
    </row>
    <row r="106" spans="1:6" x14ac:dyDescent="0.25">
      <c r="A106" s="54">
        <v>32105064171</v>
      </c>
      <c r="B106" s="143" t="s">
        <v>127</v>
      </c>
      <c r="C106" s="158">
        <v>107</v>
      </c>
      <c r="F106" s="175" t="e">
        <f>VLOOKUP(Saldo[[#This Row],[ITEM]],#REF!,4,0)</f>
        <v>#REF!</v>
      </c>
    </row>
    <row r="107" spans="1:6" x14ac:dyDescent="0.25">
      <c r="A107" s="54">
        <v>32105064172</v>
      </c>
      <c r="B107" s="143" t="s">
        <v>128</v>
      </c>
      <c r="C107" s="158">
        <v>114</v>
      </c>
      <c r="F107" s="175" t="e">
        <f>VLOOKUP(Saldo[[#This Row],[ITEM]],#REF!,4,0)</f>
        <v>#REF!</v>
      </c>
    </row>
    <row r="108" spans="1:6" x14ac:dyDescent="0.25">
      <c r="A108" s="54">
        <v>32105064174</v>
      </c>
      <c r="B108" s="143" t="s">
        <v>129</v>
      </c>
      <c r="C108" s="158">
        <v>114</v>
      </c>
      <c r="F108" s="175" t="e">
        <f>VLOOKUP(Saldo[[#This Row],[ITEM]],#REF!,4,0)</f>
        <v>#REF!</v>
      </c>
    </row>
    <row r="109" spans="1:6" x14ac:dyDescent="0.25">
      <c r="A109" s="54">
        <v>32105064273</v>
      </c>
      <c r="B109" s="143" t="s">
        <v>130</v>
      </c>
      <c r="C109" s="158">
        <v>85</v>
      </c>
      <c r="F109" s="175" t="e">
        <f>VLOOKUP(Saldo[[#This Row],[ITEM]],#REF!,4,0)</f>
        <v>#REF!</v>
      </c>
    </row>
    <row r="110" spans="1:6" x14ac:dyDescent="0.25">
      <c r="A110" s="54">
        <v>32105064274</v>
      </c>
      <c r="B110" s="143" t="s">
        <v>2884</v>
      </c>
      <c r="C110" s="158">
        <v>80</v>
      </c>
      <c r="F110" s="175" t="e">
        <f>VLOOKUP(Saldo[[#This Row],[ITEM]],#REF!,4,0)</f>
        <v>#REF!</v>
      </c>
    </row>
    <row r="111" spans="1:6" x14ac:dyDescent="0.25">
      <c r="A111" s="54">
        <v>32105064275</v>
      </c>
      <c r="B111" s="143" t="s">
        <v>2885</v>
      </c>
      <c r="C111" s="158">
        <v>90</v>
      </c>
      <c r="F111" s="175" t="e">
        <f>VLOOKUP(Saldo[[#This Row],[ITEM]],#REF!,4,0)</f>
        <v>#REF!</v>
      </c>
    </row>
    <row r="112" spans="1:6" x14ac:dyDescent="0.25">
      <c r="A112" s="54">
        <v>32105064276</v>
      </c>
      <c r="B112" s="143" t="s">
        <v>131</v>
      </c>
      <c r="C112" s="158">
        <v>42</v>
      </c>
      <c r="F112" s="175" t="e">
        <f>VLOOKUP(Saldo[[#This Row],[ITEM]],#REF!,4,0)</f>
        <v>#REF!</v>
      </c>
    </row>
    <row r="113" spans="1:6" x14ac:dyDescent="0.25">
      <c r="A113" s="54">
        <v>32105064277</v>
      </c>
      <c r="B113" s="143" t="s">
        <v>132</v>
      </c>
      <c r="C113" s="158">
        <v>49</v>
      </c>
      <c r="F113" s="175" t="e">
        <f>VLOOKUP(Saldo[[#This Row],[ITEM]],#REF!,4,0)</f>
        <v>#REF!</v>
      </c>
    </row>
    <row r="114" spans="1:6" x14ac:dyDescent="0.25">
      <c r="A114" s="54">
        <v>32105064278</v>
      </c>
      <c r="B114" s="143" t="s">
        <v>133</v>
      </c>
      <c r="C114" s="158">
        <v>106</v>
      </c>
      <c r="F114" s="175" t="e">
        <f>VLOOKUP(Saldo[[#This Row],[ITEM]],#REF!,4,0)</f>
        <v>#REF!</v>
      </c>
    </row>
    <row r="115" spans="1:6" x14ac:dyDescent="0.25">
      <c r="A115" s="54">
        <v>32105064280</v>
      </c>
      <c r="B115" s="143" t="s">
        <v>2886</v>
      </c>
      <c r="C115" s="158">
        <v>107</v>
      </c>
      <c r="F115" s="175" t="e">
        <f>VLOOKUP(Saldo[[#This Row],[ITEM]],#REF!,4,0)</f>
        <v>#REF!</v>
      </c>
    </row>
    <row r="116" spans="1:6" x14ac:dyDescent="0.25">
      <c r="A116" s="54">
        <v>32105064281</v>
      </c>
      <c r="B116" s="143" t="s">
        <v>134</v>
      </c>
      <c r="C116" s="158">
        <v>108</v>
      </c>
      <c r="F116" s="175" t="e">
        <f>VLOOKUP(Saldo[[#This Row],[ITEM]],#REF!,4,0)</f>
        <v>#REF!</v>
      </c>
    </row>
    <row r="117" spans="1:6" x14ac:dyDescent="0.25">
      <c r="A117" s="54">
        <v>32105064282</v>
      </c>
      <c r="B117" s="143" t="s">
        <v>135</v>
      </c>
      <c r="C117" s="158">
        <v>108</v>
      </c>
      <c r="F117" s="175" t="e">
        <f>VLOOKUP(Saldo[[#This Row],[ITEM]],#REF!,4,0)</f>
        <v>#REF!</v>
      </c>
    </row>
    <row r="118" spans="1:6" x14ac:dyDescent="0.25">
      <c r="A118" s="54">
        <v>32105064285</v>
      </c>
      <c r="B118" s="143" t="s">
        <v>2887</v>
      </c>
      <c r="C118" s="158">
        <v>108</v>
      </c>
      <c r="F118" s="175" t="e">
        <f>VLOOKUP(Saldo[[#This Row],[ITEM]],#REF!,4,0)</f>
        <v>#REF!</v>
      </c>
    </row>
    <row r="119" spans="1:6" x14ac:dyDescent="0.25">
      <c r="A119" s="54">
        <v>32105064286</v>
      </c>
      <c r="B119" s="143" t="s">
        <v>136</v>
      </c>
      <c r="C119" s="158">
        <v>108</v>
      </c>
      <c r="F119" s="175" t="e">
        <f>VLOOKUP(Saldo[[#This Row],[ITEM]],#REF!,4,0)</f>
        <v>#REF!</v>
      </c>
    </row>
    <row r="120" spans="1:6" x14ac:dyDescent="0.25">
      <c r="A120" s="54">
        <v>32105064287</v>
      </c>
      <c r="B120" s="143" t="s">
        <v>137</v>
      </c>
      <c r="C120" s="158">
        <v>107</v>
      </c>
      <c r="F120" s="175" t="e">
        <f>VLOOKUP(Saldo[[#This Row],[ITEM]],#REF!,4,0)</f>
        <v>#REF!</v>
      </c>
    </row>
    <row r="121" spans="1:6" x14ac:dyDescent="0.25">
      <c r="A121" s="54">
        <v>32105064292</v>
      </c>
      <c r="B121" s="143" t="s">
        <v>2888</v>
      </c>
      <c r="C121" s="158">
        <v>0</v>
      </c>
      <c r="F121" s="175" t="e">
        <f>VLOOKUP(Saldo[[#This Row],[ITEM]],#REF!,4,0)</f>
        <v>#REF!</v>
      </c>
    </row>
    <row r="122" spans="1:6" x14ac:dyDescent="0.25">
      <c r="A122" s="54">
        <v>32105064298</v>
      </c>
      <c r="B122" s="143" t="s">
        <v>138</v>
      </c>
      <c r="C122" s="158">
        <v>92</v>
      </c>
      <c r="F122" s="175" t="e">
        <f>VLOOKUP(Saldo[[#This Row],[ITEM]],#REF!,4,0)</f>
        <v>#REF!</v>
      </c>
    </row>
    <row r="123" spans="1:6" x14ac:dyDescent="0.25">
      <c r="A123" s="54">
        <v>32105064299</v>
      </c>
      <c r="B123" s="143" t="s">
        <v>2889</v>
      </c>
      <c r="C123" s="158">
        <v>93</v>
      </c>
      <c r="F123" s="175" t="e">
        <f>VLOOKUP(Saldo[[#This Row],[ITEM]],#REF!,4,0)</f>
        <v>#REF!</v>
      </c>
    </row>
    <row r="124" spans="1:6" x14ac:dyDescent="0.25">
      <c r="A124" s="54">
        <v>32105064300</v>
      </c>
      <c r="B124" s="143" t="s">
        <v>139</v>
      </c>
      <c r="C124" s="158">
        <v>95</v>
      </c>
      <c r="F124" s="175" t="e">
        <f>VLOOKUP(Saldo[[#This Row],[ITEM]],#REF!,4,0)</f>
        <v>#REF!</v>
      </c>
    </row>
    <row r="125" spans="1:6" x14ac:dyDescent="0.25">
      <c r="A125" s="54">
        <v>32105064301</v>
      </c>
      <c r="B125" s="143" t="s">
        <v>140</v>
      </c>
      <c r="C125" s="158">
        <v>86</v>
      </c>
      <c r="F125" s="175" t="e">
        <f>VLOOKUP(Saldo[[#This Row],[ITEM]],#REF!,4,0)</f>
        <v>#REF!</v>
      </c>
    </row>
    <row r="126" spans="1:6" x14ac:dyDescent="0.25">
      <c r="A126" s="54">
        <v>32105064302</v>
      </c>
      <c r="B126" s="143" t="s">
        <v>141</v>
      </c>
      <c r="C126" s="158">
        <v>61</v>
      </c>
      <c r="F126" s="175" t="e">
        <f>VLOOKUP(Saldo[[#This Row],[ITEM]],#REF!,4,0)</f>
        <v>#REF!</v>
      </c>
    </row>
    <row r="127" spans="1:6" x14ac:dyDescent="0.25">
      <c r="A127" s="54">
        <v>32105064303</v>
      </c>
      <c r="B127" s="143" t="s">
        <v>142</v>
      </c>
      <c r="C127" s="158">
        <v>100</v>
      </c>
      <c r="F127" s="175" t="e">
        <f>VLOOKUP(Saldo[[#This Row],[ITEM]],#REF!,4,0)</f>
        <v>#REF!</v>
      </c>
    </row>
    <row r="128" spans="1:6" x14ac:dyDescent="0.25">
      <c r="A128" s="54">
        <v>32105064304</v>
      </c>
      <c r="B128" s="143" t="s">
        <v>143</v>
      </c>
      <c r="C128" s="158">
        <v>76</v>
      </c>
      <c r="F128" s="175" t="e">
        <f>VLOOKUP(Saldo[[#This Row],[ITEM]],#REF!,4,0)</f>
        <v>#REF!</v>
      </c>
    </row>
    <row r="129" spans="1:6" x14ac:dyDescent="0.25">
      <c r="A129" s="54">
        <v>33060114113</v>
      </c>
      <c r="B129" s="143" t="s">
        <v>144</v>
      </c>
      <c r="C129" s="158">
        <v>405</v>
      </c>
      <c r="F129" s="175" t="e">
        <f>VLOOKUP(Saldo[[#This Row],[ITEM]],#REF!,4,0)</f>
        <v>#REF!</v>
      </c>
    </row>
    <row r="130" spans="1:6" x14ac:dyDescent="0.25">
      <c r="A130" s="54">
        <v>33060114114</v>
      </c>
      <c r="B130" s="143" t="s">
        <v>145</v>
      </c>
      <c r="C130" s="158">
        <v>0</v>
      </c>
      <c r="F130" s="175" t="e">
        <f>VLOOKUP(Saldo[[#This Row],[ITEM]],#REF!,4,0)</f>
        <v>#REF!</v>
      </c>
    </row>
    <row r="131" spans="1:6" x14ac:dyDescent="0.25">
      <c r="A131" s="54">
        <v>33060114487</v>
      </c>
      <c r="B131" s="143" t="s">
        <v>146</v>
      </c>
      <c r="C131" s="158">
        <v>148</v>
      </c>
      <c r="F131" s="175" t="e">
        <f>VLOOKUP(Saldo[[#This Row],[ITEM]],#REF!,4,0)</f>
        <v>#REF!</v>
      </c>
    </row>
    <row r="132" spans="1:6" x14ac:dyDescent="0.25">
      <c r="A132" s="54">
        <v>33060114488</v>
      </c>
      <c r="B132" s="143" t="s">
        <v>147</v>
      </c>
      <c r="C132" s="158">
        <v>291</v>
      </c>
      <c r="F132" s="175" t="e">
        <f>VLOOKUP(Saldo[[#This Row],[ITEM]],#REF!,4,0)</f>
        <v>#REF!</v>
      </c>
    </row>
    <row r="133" spans="1:6" x14ac:dyDescent="0.25">
      <c r="A133" s="54">
        <v>33060114591</v>
      </c>
      <c r="B133" s="143" t="s">
        <v>148</v>
      </c>
      <c r="C133" s="158">
        <v>1607</v>
      </c>
      <c r="F133" s="175" t="e">
        <f>VLOOKUP(Saldo[[#This Row],[ITEM]],#REF!,4,0)</f>
        <v>#REF!</v>
      </c>
    </row>
    <row r="134" spans="1:6" x14ac:dyDescent="0.25">
      <c r="A134" s="54">
        <v>33060114592</v>
      </c>
      <c r="B134" s="143" t="s">
        <v>149</v>
      </c>
      <c r="C134" s="158">
        <v>1000</v>
      </c>
      <c r="F134" s="175" t="e">
        <f>VLOOKUP(Saldo[[#This Row],[ITEM]],#REF!,4,0)</f>
        <v>#REF!</v>
      </c>
    </row>
    <row r="135" spans="1:6" x14ac:dyDescent="0.25">
      <c r="A135" s="54">
        <v>33060114635</v>
      </c>
      <c r="B135" s="143" t="s">
        <v>150</v>
      </c>
      <c r="C135" s="158">
        <v>4</v>
      </c>
      <c r="F135" s="175" t="e">
        <f>VLOOKUP(Saldo[[#This Row],[ITEM]],#REF!,4,0)</f>
        <v>#REF!</v>
      </c>
    </row>
    <row r="136" spans="1:6" x14ac:dyDescent="0.25">
      <c r="A136" s="54">
        <v>33060114789</v>
      </c>
      <c r="B136" s="143" t="s">
        <v>151</v>
      </c>
      <c r="C136" s="158">
        <v>109</v>
      </c>
      <c r="F136" s="175" t="e">
        <f>VLOOKUP(Saldo[[#This Row],[ITEM]],#REF!,4,0)</f>
        <v>#REF!</v>
      </c>
    </row>
    <row r="137" spans="1:6" x14ac:dyDescent="0.25">
      <c r="A137" s="54">
        <v>33060114791</v>
      </c>
      <c r="B137" s="143" t="s">
        <v>152</v>
      </c>
      <c r="C137" s="158">
        <v>11</v>
      </c>
      <c r="F137" s="175" t="e">
        <f>VLOOKUP(Saldo[[#This Row],[ITEM]],#REF!,4,0)</f>
        <v>#REF!</v>
      </c>
    </row>
    <row r="138" spans="1:6" x14ac:dyDescent="0.25">
      <c r="A138" s="54">
        <v>33060114792</v>
      </c>
      <c r="B138" s="143" t="s">
        <v>153</v>
      </c>
      <c r="C138" s="158">
        <v>81</v>
      </c>
      <c r="F138" s="175" t="e">
        <f>VLOOKUP(Saldo[[#This Row],[ITEM]],#REF!,4,0)</f>
        <v>#REF!</v>
      </c>
    </row>
    <row r="139" spans="1:6" x14ac:dyDescent="0.25">
      <c r="A139" s="54">
        <v>33060114793</v>
      </c>
      <c r="B139" s="143" t="s">
        <v>154</v>
      </c>
      <c r="C139" s="158">
        <v>89</v>
      </c>
      <c r="F139" s="175" t="e">
        <f>VLOOKUP(Saldo[[#This Row],[ITEM]],#REF!,4,0)</f>
        <v>#REF!</v>
      </c>
    </row>
    <row r="140" spans="1:6" x14ac:dyDescent="0.25">
      <c r="A140" s="54">
        <v>33060114802</v>
      </c>
      <c r="B140" s="143" t="s">
        <v>155</v>
      </c>
      <c r="C140" s="158">
        <v>170</v>
      </c>
      <c r="F140" s="175" t="e">
        <f>VLOOKUP(Saldo[[#This Row],[ITEM]],#REF!,4,0)</f>
        <v>#REF!</v>
      </c>
    </row>
    <row r="141" spans="1:6" x14ac:dyDescent="0.25">
      <c r="A141" s="54">
        <v>33060114803</v>
      </c>
      <c r="B141" s="143" t="s">
        <v>156</v>
      </c>
      <c r="C141" s="158">
        <v>321</v>
      </c>
      <c r="F141" s="175" t="e">
        <f>VLOOKUP(Saldo[[#This Row],[ITEM]],#REF!,4,0)</f>
        <v>#REF!</v>
      </c>
    </row>
    <row r="142" spans="1:6" x14ac:dyDescent="0.25">
      <c r="A142" s="54">
        <v>33060114804</v>
      </c>
      <c r="B142" s="143" t="s">
        <v>157</v>
      </c>
      <c r="C142" s="158">
        <v>117</v>
      </c>
      <c r="F142" s="175" t="e">
        <f>VLOOKUP(Saldo[[#This Row],[ITEM]],#REF!,4,0)</f>
        <v>#REF!</v>
      </c>
    </row>
    <row r="143" spans="1:6" x14ac:dyDescent="0.25">
      <c r="A143" s="54">
        <v>33060114805</v>
      </c>
      <c r="B143" s="143" t="s">
        <v>158</v>
      </c>
      <c r="C143" s="158">
        <v>594</v>
      </c>
      <c r="F143" s="175" t="e">
        <f>VLOOKUP(Saldo[[#This Row],[ITEM]],#REF!,4,0)</f>
        <v>#REF!</v>
      </c>
    </row>
    <row r="144" spans="1:6" x14ac:dyDescent="0.25">
      <c r="A144" s="54">
        <v>33060114806</v>
      </c>
      <c r="B144" s="143" t="s">
        <v>159</v>
      </c>
      <c r="C144" s="158">
        <v>0</v>
      </c>
      <c r="F144" s="175" t="e">
        <f>VLOOKUP(Saldo[[#This Row],[ITEM]],#REF!,4,0)</f>
        <v>#REF!</v>
      </c>
    </row>
    <row r="145" spans="1:6" x14ac:dyDescent="0.25">
      <c r="A145" s="54">
        <v>33060114809</v>
      </c>
      <c r="B145" s="143" t="s">
        <v>160</v>
      </c>
      <c r="C145" s="158">
        <v>0</v>
      </c>
      <c r="F145" s="175" t="e">
        <f>VLOOKUP(Saldo[[#This Row],[ITEM]],#REF!,4,0)</f>
        <v>#REF!</v>
      </c>
    </row>
    <row r="146" spans="1:6" x14ac:dyDescent="0.25">
      <c r="A146" s="54">
        <v>33060114810</v>
      </c>
      <c r="B146" s="143" t="s">
        <v>161</v>
      </c>
      <c r="C146" s="158">
        <v>0</v>
      </c>
      <c r="F146" s="175" t="e">
        <f>VLOOKUP(Saldo[[#This Row],[ITEM]],#REF!,4,0)</f>
        <v>#REF!</v>
      </c>
    </row>
    <row r="147" spans="1:6" x14ac:dyDescent="0.25">
      <c r="A147" s="54">
        <v>33060114821</v>
      </c>
      <c r="B147" s="143" t="s">
        <v>162</v>
      </c>
      <c r="C147" s="158">
        <v>272</v>
      </c>
      <c r="F147" s="175" t="e">
        <f>VLOOKUP(Saldo[[#This Row],[ITEM]],#REF!,4,0)</f>
        <v>#REF!</v>
      </c>
    </row>
    <row r="148" spans="1:6" x14ac:dyDescent="0.25">
      <c r="A148" s="54">
        <v>33060114824</v>
      </c>
      <c r="B148" s="143" t="s">
        <v>163</v>
      </c>
      <c r="C148" s="158">
        <v>381</v>
      </c>
      <c r="F148" s="175" t="e">
        <f>VLOOKUP(Saldo[[#This Row],[ITEM]],#REF!,4,0)</f>
        <v>#REF!</v>
      </c>
    </row>
    <row r="149" spans="1:6" x14ac:dyDescent="0.25">
      <c r="A149" s="54">
        <v>33060114825</v>
      </c>
      <c r="B149" s="143" t="s">
        <v>164</v>
      </c>
      <c r="C149" s="158">
        <v>1756</v>
      </c>
      <c r="F149" s="175" t="e">
        <f>VLOOKUP(Saldo[[#This Row],[ITEM]],#REF!,4,0)</f>
        <v>#REF!</v>
      </c>
    </row>
    <row r="150" spans="1:6" x14ac:dyDescent="0.25">
      <c r="A150" s="54">
        <v>33060114877</v>
      </c>
      <c r="B150" s="143" t="s">
        <v>165</v>
      </c>
      <c r="C150" s="158">
        <v>6</v>
      </c>
      <c r="F150" s="175" t="e">
        <f>VLOOKUP(Saldo[[#This Row],[ITEM]],#REF!,4,0)</f>
        <v>#REF!</v>
      </c>
    </row>
    <row r="151" spans="1:6" x14ac:dyDescent="0.25">
      <c r="A151" s="54">
        <v>33060114880</v>
      </c>
      <c r="B151" s="143" t="s">
        <v>166</v>
      </c>
      <c r="C151" s="158">
        <v>23</v>
      </c>
      <c r="F151" s="175" t="e">
        <f>VLOOKUP(Saldo[[#This Row],[ITEM]],#REF!,4,0)</f>
        <v>#REF!</v>
      </c>
    </row>
    <row r="152" spans="1:6" x14ac:dyDescent="0.25">
      <c r="A152" s="54">
        <v>33060114881</v>
      </c>
      <c r="B152" s="143" t="s">
        <v>167</v>
      </c>
      <c r="C152" s="158">
        <v>4</v>
      </c>
      <c r="F152" s="175" t="e">
        <f>VLOOKUP(Saldo[[#This Row],[ITEM]],#REF!,4,0)</f>
        <v>#REF!</v>
      </c>
    </row>
    <row r="153" spans="1:6" x14ac:dyDescent="0.25">
      <c r="A153" s="54">
        <v>33060114902</v>
      </c>
      <c r="B153" s="143" t="s">
        <v>168</v>
      </c>
      <c r="C153" s="158">
        <v>0</v>
      </c>
      <c r="F153" s="175" t="e">
        <f>VLOOKUP(Saldo[[#This Row],[ITEM]],#REF!,4,0)</f>
        <v>#REF!</v>
      </c>
    </row>
    <row r="154" spans="1:6" x14ac:dyDescent="0.25">
      <c r="A154" s="54">
        <v>33060114903</v>
      </c>
      <c r="B154" s="143" t="s">
        <v>3054</v>
      </c>
      <c r="C154" s="158">
        <v>0</v>
      </c>
      <c r="F154" s="175" t="e">
        <f>VLOOKUP(Saldo[[#This Row],[ITEM]],#REF!,4,0)</f>
        <v>#REF!</v>
      </c>
    </row>
    <row r="155" spans="1:6" x14ac:dyDescent="0.25">
      <c r="A155" s="54">
        <v>33060114904</v>
      </c>
      <c r="B155" s="143" t="s">
        <v>169</v>
      </c>
      <c r="C155" s="158">
        <v>0</v>
      </c>
      <c r="F155" s="175" t="e">
        <f>VLOOKUP(Saldo[[#This Row],[ITEM]],#REF!,4,0)</f>
        <v>#REF!</v>
      </c>
    </row>
    <row r="156" spans="1:6" x14ac:dyDescent="0.25">
      <c r="A156" s="54">
        <v>33060114914</v>
      </c>
      <c r="B156" s="143" t="s">
        <v>170</v>
      </c>
      <c r="C156" s="158">
        <v>29</v>
      </c>
      <c r="F156" s="175" t="e">
        <f>VLOOKUP(Saldo[[#This Row],[ITEM]],#REF!,4,0)</f>
        <v>#REF!</v>
      </c>
    </row>
    <row r="157" spans="1:6" x14ac:dyDescent="0.25">
      <c r="A157" s="54">
        <v>33060114915</v>
      </c>
      <c r="B157" s="143" t="s">
        <v>171</v>
      </c>
      <c r="C157" s="158">
        <v>1104</v>
      </c>
      <c r="F157" s="175" t="e">
        <f>VLOOKUP(Saldo[[#This Row],[ITEM]],#REF!,4,0)</f>
        <v>#REF!</v>
      </c>
    </row>
    <row r="158" spans="1:6" x14ac:dyDescent="0.25">
      <c r="A158" s="54">
        <v>33060114943</v>
      </c>
      <c r="B158" s="143" t="s">
        <v>172</v>
      </c>
      <c r="C158" s="158">
        <v>805</v>
      </c>
      <c r="F158" s="175" t="e">
        <f>VLOOKUP(Saldo[[#This Row],[ITEM]],#REF!,4,0)</f>
        <v>#REF!</v>
      </c>
    </row>
    <row r="159" spans="1:6" x14ac:dyDescent="0.25">
      <c r="A159" s="54">
        <v>33060114944</v>
      </c>
      <c r="B159" s="143" t="s">
        <v>173</v>
      </c>
      <c r="C159" s="158">
        <v>0</v>
      </c>
      <c r="F159" s="175" t="e">
        <f>VLOOKUP(Saldo[[#This Row],[ITEM]],#REF!,4,0)</f>
        <v>#REF!</v>
      </c>
    </row>
    <row r="160" spans="1:6" x14ac:dyDescent="0.25">
      <c r="A160" s="54">
        <v>33060114946</v>
      </c>
      <c r="B160" s="143" t="s">
        <v>174</v>
      </c>
      <c r="C160" s="158">
        <v>4467</v>
      </c>
      <c r="F160" s="175" t="e">
        <f>VLOOKUP(Saldo[[#This Row],[ITEM]],#REF!,4,0)</f>
        <v>#REF!</v>
      </c>
    </row>
    <row r="161" spans="1:6" x14ac:dyDescent="0.25">
      <c r="A161" s="54">
        <v>33060114947</v>
      </c>
      <c r="B161" s="143" t="s">
        <v>175</v>
      </c>
      <c r="C161" s="158">
        <v>11</v>
      </c>
      <c r="F161" s="175" t="e">
        <f>VLOOKUP(Saldo[[#This Row],[ITEM]],#REF!,4,0)</f>
        <v>#REF!</v>
      </c>
    </row>
    <row r="162" spans="1:6" x14ac:dyDescent="0.25">
      <c r="A162" s="54">
        <v>33060114991</v>
      </c>
      <c r="B162" s="143" t="s">
        <v>176</v>
      </c>
      <c r="C162" s="158">
        <v>2266</v>
      </c>
      <c r="F162" s="175" t="e">
        <f>VLOOKUP(Saldo[[#This Row],[ITEM]],#REF!,4,0)</f>
        <v>#REF!</v>
      </c>
    </row>
    <row r="163" spans="1:6" x14ac:dyDescent="0.25">
      <c r="A163" s="54">
        <v>33060114992</v>
      </c>
      <c r="B163" s="143" t="s">
        <v>177</v>
      </c>
      <c r="C163" s="158">
        <v>440</v>
      </c>
      <c r="F163" s="175" t="e">
        <f>VLOOKUP(Saldo[[#This Row],[ITEM]],#REF!,4,0)</f>
        <v>#REF!</v>
      </c>
    </row>
    <row r="164" spans="1:6" x14ac:dyDescent="0.25">
      <c r="A164" s="54">
        <v>33060114993</v>
      </c>
      <c r="B164" s="143" t="s">
        <v>178</v>
      </c>
      <c r="C164" s="158">
        <v>0</v>
      </c>
      <c r="F164" s="175" t="e">
        <f>VLOOKUP(Saldo[[#This Row],[ITEM]],#REF!,4,0)</f>
        <v>#REF!</v>
      </c>
    </row>
    <row r="165" spans="1:6" x14ac:dyDescent="0.25">
      <c r="A165" s="54">
        <v>33060114994</v>
      </c>
      <c r="B165" s="143" t="s">
        <v>179</v>
      </c>
      <c r="C165" s="158">
        <v>3363</v>
      </c>
      <c r="F165" s="175" t="e">
        <f>VLOOKUP(Saldo[[#This Row],[ITEM]],#REF!,4,0)</f>
        <v>#REF!</v>
      </c>
    </row>
    <row r="166" spans="1:6" x14ac:dyDescent="0.25">
      <c r="A166" s="54">
        <v>33060124131</v>
      </c>
      <c r="B166" s="143" t="s">
        <v>180</v>
      </c>
      <c r="C166" s="158">
        <v>912</v>
      </c>
      <c r="F166" s="175" t="e">
        <f>VLOOKUP(Saldo[[#This Row],[ITEM]],#REF!,4,0)</f>
        <v>#REF!</v>
      </c>
    </row>
    <row r="167" spans="1:6" x14ac:dyDescent="0.25">
      <c r="A167" s="54">
        <v>33060144131</v>
      </c>
      <c r="B167" s="143" t="s">
        <v>180</v>
      </c>
      <c r="C167" s="158">
        <v>17</v>
      </c>
      <c r="F167" s="175" t="e">
        <f>VLOOKUP(Saldo[[#This Row],[ITEM]],#REF!,4,0)</f>
        <v>#REF!</v>
      </c>
    </row>
    <row r="168" spans="1:6" x14ac:dyDescent="0.25">
      <c r="A168" s="54">
        <v>33060154031</v>
      </c>
      <c r="B168" s="143" t="s">
        <v>181</v>
      </c>
      <c r="C168" s="158">
        <v>0</v>
      </c>
      <c r="F168" s="175" t="e">
        <f>VLOOKUP(Saldo[[#This Row],[ITEM]],#REF!,4,0)</f>
        <v>#REF!</v>
      </c>
    </row>
    <row r="169" spans="1:6" x14ac:dyDescent="0.25">
      <c r="A169" s="54">
        <v>33060154033</v>
      </c>
      <c r="B169" s="143" t="s">
        <v>182</v>
      </c>
      <c r="C169" s="158">
        <v>0</v>
      </c>
      <c r="F169" s="175" t="e">
        <f>VLOOKUP(Saldo[[#This Row],[ITEM]],#REF!,4,0)</f>
        <v>#REF!</v>
      </c>
    </row>
    <row r="170" spans="1:6" x14ac:dyDescent="0.25">
      <c r="A170" s="54">
        <v>33060160287</v>
      </c>
      <c r="B170" s="143" t="s">
        <v>183</v>
      </c>
      <c r="C170" s="158">
        <v>89</v>
      </c>
      <c r="F170" s="175" t="e">
        <f>VLOOKUP(Saldo[[#This Row],[ITEM]],#REF!,4,0)</f>
        <v>#REF!</v>
      </c>
    </row>
    <row r="171" spans="1:6" x14ac:dyDescent="0.25">
      <c r="A171" s="54">
        <v>33060160515</v>
      </c>
      <c r="B171" s="143" t="s">
        <v>184</v>
      </c>
      <c r="C171" s="158">
        <v>0</v>
      </c>
      <c r="F171" s="175" t="e">
        <f>VLOOKUP(Saldo[[#This Row],[ITEM]],#REF!,4,0)</f>
        <v>#REF!</v>
      </c>
    </row>
    <row r="172" spans="1:6" x14ac:dyDescent="0.25">
      <c r="A172" s="54">
        <v>33060160516</v>
      </c>
      <c r="B172" s="143" t="s">
        <v>185</v>
      </c>
      <c r="C172" s="158">
        <v>2813</v>
      </c>
      <c r="F172" s="175" t="e">
        <f>VLOOKUP(Saldo[[#This Row],[ITEM]],#REF!,4,0)</f>
        <v>#REF!</v>
      </c>
    </row>
    <row r="173" spans="1:6" x14ac:dyDescent="0.25">
      <c r="A173" s="54">
        <v>33060160517</v>
      </c>
      <c r="B173" s="143" t="s">
        <v>186</v>
      </c>
      <c r="C173" s="158">
        <v>4136</v>
      </c>
      <c r="F173" s="175" t="e">
        <f>VLOOKUP(Saldo[[#This Row],[ITEM]],#REF!,4,0)</f>
        <v>#REF!</v>
      </c>
    </row>
    <row r="174" spans="1:6" x14ac:dyDescent="0.25">
      <c r="A174" s="54">
        <v>33060160518</v>
      </c>
      <c r="B174" s="143" t="s">
        <v>187</v>
      </c>
      <c r="C174" s="158">
        <v>320</v>
      </c>
      <c r="F174" s="175" t="e">
        <f>VLOOKUP(Saldo[[#This Row],[ITEM]],#REF!,4,0)</f>
        <v>#REF!</v>
      </c>
    </row>
    <row r="175" spans="1:6" x14ac:dyDescent="0.25">
      <c r="A175" s="54">
        <v>33060160519</v>
      </c>
      <c r="B175" s="143" t="s">
        <v>188</v>
      </c>
      <c r="C175" s="158">
        <v>8962</v>
      </c>
      <c r="F175" s="175" t="e">
        <f>VLOOKUP(Saldo[[#This Row],[ITEM]],#REF!,4,0)</f>
        <v>#REF!</v>
      </c>
    </row>
    <row r="176" spans="1:6" x14ac:dyDescent="0.25">
      <c r="A176" s="54">
        <v>33060160520</v>
      </c>
      <c r="B176" s="143" t="s">
        <v>189</v>
      </c>
      <c r="C176" s="158">
        <v>1748</v>
      </c>
      <c r="F176" s="175" t="e">
        <f>VLOOKUP(Saldo[[#This Row],[ITEM]],#REF!,4,0)</f>
        <v>#REF!</v>
      </c>
    </row>
    <row r="177" spans="1:6" x14ac:dyDescent="0.25">
      <c r="A177" s="54">
        <v>33060160537</v>
      </c>
      <c r="B177" s="143" t="s">
        <v>190</v>
      </c>
      <c r="C177" s="158">
        <v>47</v>
      </c>
      <c r="F177" s="175" t="e">
        <f>VLOOKUP(Saldo[[#This Row],[ITEM]],#REF!,4,0)</f>
        <v>#REF!</v>
      </c>
    </row>
    <row r="178" spans="1:6" x14ac:dyDescent="0.25">
      <c r="A178" s="54">
        <v>33060160538</v>
      </c>
      <c r="B178" s="143" t="s">
        <v>191</v>
      </c>
      <c r="C178" s="158">
        <v>2</v>
      </c>
      <c r="F178" s="175" t="e">
        <f>VLOOKUP(Saldo[[#This Row],[ITEM]],#REF!,4,0)</f>
        <v>#REF!</v>
      </c>
    </row>
    <row r="179" spans="1:6" x14ac:dyDescent="0.25">
      <c r="A179" s="54">
        <v>33060160539</v>
      </c>
      <c r="B179" s="143" t="s">
        <v>192</v>
      </c>
      <c r="C179" s="158">
        <v>1</v>
      </c>
      <c r="F179" s="175" t="e">
        <f>VLOOKUP(Saldo[[#This Row],[ITEM]],#REF!,4,0)</f>
        <v>#REF!</v>
      </c>
    </row>
    <row r="180" spans="1:6" x14ac:dyDescent="0.25">
      <c r="A180" s="54">
        <v>33060160540</v>
      </c>
      <c r="B180" s="143" t="s">
        <v>193</v>
      </c>
      <c r="C180" s="158">
        <v>21</v>
      </c>
      <c r="F180" s="175" t="e">
        <f>VLOOKUP(Saldo[[#This Row],[ITEM]],#REF!,4,0)</f>
        <v>#REF!</v>
      </c>
    </row>
    <row r="181" spans="1:6" x14ac:dyDescent="0.25">
      <c r="A181" s="54">
        <v>33060160541</v>
      </c>
      <c r="B181" s="143" t="s">
        <v>194</v>
      </c>
      <c r="C181" s="158">
        <v>91</v>
      </c>
      <c r="F181" s="175" t="e">
        <f>VLOOKUP(Saldo[[#This Row],[ITEM]],#REF!,4,0)</f>
        <v>#REF!</v>
      </c>
    </row>
    <row r="182" spans="1:6" x14ac:dyDescent="0.25">
      <c r="A182" s="54">
        <v>33060161112</v>
      </c>
      <c r="B182" s="143" t="s">
        <v>195</v>
      </c>
      <c r="C182" s="158">
        <v>398</v>
      </c>
      <c r="F182" s="175" t="e">
        <f>VLOOKUP(Saldo[[#This Row],[ITEM]],#REF!,4,0)</f>
        <v>#REF!</v>
      </c>
    </row>
    <row r="183" spans="1:6" x14ac:dyDescent="0.25">
      <c r="A183" s="54">
        <v>33060161113</v>
      </c>
      <c r="B183" s="143" t="s">
        <v>3081</v>
      </c>
      <c r="C183" s="158">
        <v>8</v>
      </c>
      <c r="F183" s="175" t="e">
        <f>VLOOKUP(Saldo[[#This Row],[ITEM]],#REF!,4,0)</f>
        <v>#REF!</v>
      </c>
    </row>
    <row r="184" spans="1:6" x14ac:dyDescent="0.25">
      <c r="A184" s="54">
        <v>33060161114</v>
      </c>
      <c r="B184" s="143" t="s">
        <v>196</v>
      </c>
      <c r="C184" s="158">
        <v>8936</v>
      </c>
      <c r="F184" s="175" t="e">
        <f>VLOOKUP(Saldo[[#This Row],[ITEM]],#REF!,4,0)</f>
        <v>#REF!</v>
      </c>
    </row>
    <row r="185" spans="1:6" x14ac:dyDescent="0.25">
      <c r="A185" s="54">
        <v>33060161826</v>
      </c>
      <c r="B185" s="143" t="s">
        <v>197</v>
      </c>
      <c r="C185" s="158">
        <v>2333</v>
      </c>
      <c r="F185" s="175" t="e">
        <f>VLOOKUP(Saldo[[#This Row],[ITEM]],#REF!,4,0)</f>
        <v>#REF!</v>
      </c>
    </row>
    <row r="186" spans="1:6" x14ac:dyDescent="0.25">
      <c r="A186" s="54">
        <v>33060161827</v>
      </c>
      <c r="B186" s="143" t="s">
        <v>198</v>
      </c>
      <c r="C186" s="158">
        <v>427</v>
      </c>
      <c r="F186" s="175" t="e">
        <f>VLOOKUP(Saldo[[#This Row],[ITEM]],#REF!,4,0)</f>
        <v>#REF!</v>
      </c>
    </row>
    <row r="187" spans="1:6" x14ac:dyDescent="0.25">
      <c r="A187" s="54">
        <v>33060161828</v>
      </c>
      <c r="B187" s="143" t="s">
        <v>199</v>
      </c>
      <c r="C187" s="158">
        <v>1177</v>
      </c>
      <c r="F187" s="175" t="e">
        <f>VLOOKUP(Saldo[[#This Row],[ITEM]],#REF!,4,0)</f>
        <v>#REF!</v>
      </c>
    </row>
    <row r="188" spans="1:6" x14ac:dyDescent="0.25">
      <c r="A188" s="54">
        <v>33060161829</v>
      </c>
      <c r="B188" s="143" t="s">
        <v>200</v>
      </c>
      <c r="C188" s="158">
        <v>1738</v>
      </c>
      <c r="F188" s="175" t="e">
        <f>VLOOKUP(Saldo[[#This Row],[ITEM]],#REF!,4,0)</f>
        <v>#REF!</v>
      </c>
    </row>
    <row r="189" spans="1:6" x14ac:dyDescent="0.25">
      <c r="A189" s="54">
        <v>33060161830</v>
      </c>
      <c r="B189" s="143" t="s">
        <v>201</v>
      </c>
      <c r="C189" s="158">
        <v>0</v>
      </c>
      <c r="F189" s="175" t="e">
        <f>VLOOKUP(Saldo[[#This Row],[ITEM]],#REF!,4,0)</f>
        <v>#REF!</v>
      </c>
    </row>
    <row r="190" spans="1:6" x14ac:dyDescent="0.25">
      <c r="A190" s="54">
        <v>33060163220</v>
      </c>
      <c r="B190" s="143" t="s">
        <v>202</v>
      </c>
      <c r="C190" s="158">
        <v>6714</v>
      </c>
      <c r="F190" s="175" t="e">
        <f>VLOOKUP(Saldo[[#This Row],[ITEM]],#REF!,4,0)</f>
        <v>#REF!</v>
      </c>
    </row>
    <row r="191" spans="1:6" x14ac:dyDescent="0.25">
      <c r="A191" s="54">
        <v>33060163221</v>
      </c>
      <c r="B191" s="143" t="s">
        <v>203</v>
      </c>
      <c r="C191" s="158">
        <v>3115</v>
      </c>
      <c r="F191" s="175" t="e">
        <f>VLOOKUP(Saldo[[#This Row],[ITEM]],#REF!,4,0)</f>
        <v>#REF!</v>
      </c>
    </row>
    <row r="192" spans="1:6" x14ac:dyDescent="0.25">
      <c r="A192" s="54">
        <v>33060163222</v>
      </c>
      <c r="B192" s="143" t="s">
        <v>204</v>
      </c>
      <c r="C192" s="158">
        <v>212</v>
      </c>
      <c r="F192" s="175" t="e">
        <f>VLOOKUP(Saldo[[#This Row],[ITEM]],#REF!,4,0)</f>
        <v>#REF!</v>
      </c>
    </row>
    <row r="193" spans="1:6" x14ac:dyDescent="0.25">
      <c r="A193" s="54">
        <v>33060163226</v>
      </c>
      <c r="B193" s="143" t="s">
        <v>205</v>
      </c>
      <c r="C193" s="158">
        <v>235</v>
      </c>
      <c r="F193" s="175" t="e">
        <f>VLOOKUP(Saldo[[#This Row],[ITEM]],#REF!,4,0)</f>
        <v>#REF!</v>
      </c>
    </row>
    <row r="194" spans="1:6" x14ac:dyDescent="0.25">
      <c r="A194" s="54">
        <v>33060163227</v>
      </c>
      <c r="B194" s="143" t="s">
        <v>206</v>
      </c>
      <c r="C194" s="158">
        <v>205</v>
      </c>
      <c r="F194" s="175" t="e">
        <f>VLOOKUP(Saldo[[#This Row],[ITEM]],#REF!,4,0)</f>
        <v>#REF!</v>
      </c>
    </row>
    <row r="195" spans="1:6" x14ac:dyDescent="0.25">
      <c r="A195" s="54">
        <v>33060163877</v>
      </c>
      <c r="B195" s="143" t="s">
        <v>207</v>
      </c>
      <c r="C195" s="158">
        <v>139</v>
      </c>
      <c r="F195" s="175" t="e">
        <f>VLOOKUP(Saldo[[#This Row],[ITEM]],#REF!,4,0)</f>
        <v>#REF!</v>
      </c>
    </row>
    <row r="196" spans="1:6" x14ac:dyDescent="0.25">
      <c r="A196" s="54">
        <v>33060163879</v>
      </c>
      <c r="B196" s="143" t="s">
        <v>181</v>
      </c>
      <c r="C196" s="158">
        <v>0</v>
      </c>
      <c r="F196" s="175" t="e">
        <f>VLOOKUP(Saldo[[#This Row],[ITEM]],#REF!,4,0)</f>
        <v>#REF!</v>
      </c>
    </row>
    <row r="197" spans="1:6" x14ac:dyDescent="0.25">
      <c r="A197" s="54">
        <v>33060163880</v>
      </c>
      <c r="B197" s="143" t="s">
        <v>208</v>
      </c>
      <c r="C197" s="158">
        <v>89</v>
      </c>
      <c r="F197" s="175" t="e">
        <f>VLOOKUP(Saldo[[#This Row],[ITEM]],#REF!,4,0)</f>
        <v>#REF!</v>
      </c>
    </row>
    <row r="198" spans="1:6" x14ac:dyDescent="0.25">
      <c r="A198" s="54">
        <v>33060164508</v>
      </c>
      <c r="B198" s="143" t="s">
        <v>209</v>
      </c>
      <c r="C198" s="158">
        <v>10167</v>
      </c>
      <c r="F198" s="175" t="e">
        <f>VLOOKUP(Saldo[[#This Row],[ITEM]],#REF!,4,0)</f>
        <v>#REF!</v>
      </c>
    </row>
    <row r="199" spans="1:6" x14ac:dyDescent="0.25">
      <c r="A199" s="54">
        <v>33060165093</v>
      </c>
      <c r="B199" s="143" t="s">
        <v>210</v>
      </c>
      <c r="C199" s="158">
        <v>216</v>
      </c>
      <c r="F199" s="175" t="e">
        <f>VLOOKUP(Saldo[[#This Row],[ITEM]],#REF!,4,0)</f>
        <v>#REF!</v>
      </c>
    </row>
    <row r="200" spans="1:6" x14ac:dyDescent="0.25">
      <c r="A200" s="54">
        <v>33060262439</v>
      </c>
      <c r="B200" s="143" t="s">
        <v>211</v>
      </c>
      <c r="C200" s="158">
        <v>775</v>
      </c>
      <c r="F200" s="175" t="e">
        <f>VLOOKUP(Saldo[[#This Row],[ITEM]],#REF!,4,0)</f>
        <v>#REF!</v>
      </c>
    </row>
    <row r="201" spans="1:6" x14ac:dyDescent="0.25">
      <c r="A201" s="54">
        <v>33060262440</v>
      </c>
      <c r="B201" s="143" t="s">
        <v>212</v>
      </c>
      <c r="C201" s="158">
        <v>395</v>
      </c>
      <c r="F201" s="175" t="e">
        <f>VLOOKUP(Saldo[[#This Row],[ITEM]],#REF!,4,0)</f>
        <v>#REF!</v>
      </c>
    </row>
    <row r="202" spans="1:6" x14ac:dyDescent="0.25">
      <c r="A202" s="54">
        <v>33060262441</v>
      </c>
      <c r="B202" s="143" t="s">
        <v>213</v>
      </c>
      <c r="C202" s="158">
        <v>1575</v>
      </c>
      <c r="F202" s="175" t="e">
        <f>VLOOKUP(Saldo[[#This Row],[ITEM]],#REF!,4,0)</f>
        <v>#REF!</v>
      </c>
    </row>
    <row r="203" spans="1:6" x14ac:dyDescent="0.25">
      <c r="A203" s="54">
        <v>33060262442</v>
      </c>
      <c r="B203" s="143" t="s">
        <v>214</v>
      </c>
      <c r="C203" s="158">
        <v>797</v>
      </c>
      <c r="F203" s="175" t="e">
        <f>VLOOKUP(Saldo[[#This Row],[ITEM]],#REF!,4,0)</f>
        <v>#REF!</v>
      </c>
    </row>
    <row r="204" spans="1:6" x14ac:dyDescent="0.25">
      <c r="A204" s="54">
        <v>33060262443</v>
      </c>
      <c r="B204" s="143" t="s">
        <v>215</v>
      </c>
      <c r="C204" s="158">
        <v>1179</v>
      </c>
      <c r="F204" s="175" t="e">
        <f>VLOOKUP(Saldo[[#This Row],[ITEM]],#REF!,4,0)</f>
        <v>#REF!</v>
      </c>
    </row>
    <row r="205" spans="1:6" x14ac:dyDescent="0.25">
      <c r="A205" s="54">
        <v>33060262444</v>
      </c>
      <c r="B205" s="143" t="s">
        <v>216</v>
      </c>
      <c r="C205" s="158">
        <v>598</v>
      </c>
      <c r="F205" s="175" t="e">
        <f>VLOOKUP(Saldo[[#This Row],[ITEM]],#REF!,4,0)</f>
        <v>#REF!</v>
      </c>
    </row>
    <row r="206" spans="1:6" x14ac:dyDescent="0.25">
      <c r="A206" s="54">
        <v>33060262445</v>
      </c>
      <c r="B206" s="143" t="s">
        <v>217</v>
      </c>
      <c r="C206" s="158">
        <v>1178</v>
      </c>
      <c r="F206" s="175" t="e">
        <f>VLOOKUP(Saldo[[#This Row],[ITEM]],#REF!,4,0)</f>
        <v>#REF!</v>
      </c>
    </row>
    <row r="207" spans="1:6" x14ac:dyDescent="0.25">
      <c r="A207" s="54">
        <v>33060262446</v>
      </c>
      <c r="B207" s="143" t="s">
        <v>218</v>
      </c>
      <c r="C207" s="158">
        <v>395</v>
      </c>
      <c r="F207" s="175" t="e">
        <f>VLOOKUP(Saldo[[#This Row],[ITEM]],#REF!,4,0)</f>
        <v>#REF!</v>
      </c>
    </row>
    <row r="208" spans="1:6" x14ac:dyDescent="0.25">
      <c r="A208" s="54">
        <v>33060262447</v>
      </c>
      <c r="B208" s="143" t="s">
        <v>219</v>
      </c>
      <c r="C208" s="158">
        <v>595</v>
      </c>
      <c r="F208" s="175" t="e">
        <f>VLOOKUP(Saldo[[#This Row],[ITEM]],#REF!,4,0)</f>
        <v>#REF!</v>
      </c>
    </row>
    <row r="209" spans="1:6" x14ac:dyDescent="0.25">
      <c r="A209" s="54">
        <v>33060262448</v>
      </c>
      <c r="B209" s="143" t="s">
        <v>220</v>
      </c>
      <c r="C209" s="158">
        <v>1198</v>
      </c>
      <c r="F209" s="175" t="e">
        <f>VLOOKUP(Saldo[[#This Row],[ITEM]],#REF!,4,0)</f>
        <v>#REF!</v>
      </c>
    </row>
    <row r="210" spans="1:6" x14ac:dyDescent="0.25">
      <c r="A210" s="54">
        <v>33060262449</v>
      </c>
      <c r="B210" s="143" t="s">
        <v>221</v>
      </c>
      <c r="C210" s="158">
        <v>898</v>
      </c>
      <c r="F210" s="175" t="e">
        <f>VLOOKUP(Saldo[[#This Row],[ITEM]],#REF!,4,0)</f>
        <v>#REF!</v>
      </c>
    </row>
    <row r="211" spans="1:6" x14ac:dyDescent="0.25">
      <c r="A211" s="54">
        <v>33060262450</v>
      </c>
      <c r="B211" s="143" t="s">
        <v>222</v>
      </c>
      <c r="C211" s="158">
        <v>799</v>
      </c>
      <c r="F211" s="175" t="e">
        <f>VLOOKUP(Saldo[[#This Row],[ITEM]],#REF!,4,0)</f>
        <v>#REF!</v>
      </c>
    </row>
    <row r="212" spans="1:6" x14ac:dyDescent="0.25">
      <c r="A212" s="54">
        <v>33060414355</v>
      </c>
      <c r="B212" s="143" t="s">
        <v>223</v>
      </c>
      <c r="C212" s="158">
        <v>262</v>
      </c>
      <c r="F212" s="175" t="e">
        <f>VLOOKUP(Saldo[[#This Row],[ITEM]],#REF!,4,0)</f>
        <v>#REF!</v>
      </c>
    </row>
    <row r="213" spans="1:6" x14ac:dyDescent="0.25">
      <c r="A213" s="54">
        <v>33060414610</v>
      </c>
      <c r="B213" s="143" t="s">
        <v>224</v>
      </c>
      <c r="C213" s="158">
        <v>4</v>
      </c>
      <c r="F213" s="175" t="e">
        <f>VLOOKUP(Saldo[[#This Row],[ITEM]],#REF!,4,0)</f>
        <v>#REF!</v>
      </c>
    </row>
    <row r="214" spans="1:6" x14ac:dyDescent="0.25">
      <c r="A214" s="54">
        <v>33060414611</v>
      </c>
      <c r="B214" s="143" t="s">
        <v>2890</v>
      </c>
      <c r="C214" s="158">
        <v>20</v>
      </c>
      <c r="F214" s="175" t="e">
        <f>VLOOKUP(Saldo[[#This Row],[ITEM]],#REF!,4,0)</f>
        <v>#REF!</v>
      </c>
    </row>
    <row r="215" spans="1:6" x14ac:dyDescent="0.25">
      <c r="A215" s="54">
        <v>33060414616</v>
      </c>
      <c r="B215" s="143" t="s">
        <v>225</v>
      </c>
      <c r="C215" s="158">
        <v>8</v>
      </c>
      <c r="F215" s="175" t="e">
        <f>VLOOKUP(Saldo[[#This Row],[ITEM]],#REF!,4,0)</f>
        <v>#REF!</v>
      </c>
    </row>
    <row r="216" spans="1:6" x14ac:dyDescent="0.25">
      <c r="A216" s="54">
        <v>33060414617</v>
      </c>
      <c r="B216" s="143" t="s">
        <v>226</v>
      </c>
      <c r="C216" s="158">
        <v>26</v>
      </c>
      <c r="F216" s="175" t="e">
        <f>VLOOKUP(Saldo[[#This Row],[ITEM]],#REF!,4,0)</f>
        <v>#REF!</v>
      </c>
    </row>
    <row r="217" spans="1:6" x14ac:dyDescent="0.25">
      <c r="A217" s="54">
        <v>33060414640</v>
      </c>
      <c r="B217" s="143" t="s">
        <v>227</v>
      </c>
      <c r="C217" s="158">
        <v>0</v>
      </c>
      <c r="F217" s="175" t="e">
        <f>VLOOKUP(Saldo[[#This Row],[ITEM]],#REF!,4,0)</f>
        <v>#REF!</v>
      </c>
    </row>
    <row r="218" spans="1:6" x14ac:dyDescent="0.25">
      <c r="A218" s="54">
        <v>33060414641</v>
      </c>
      <c r="B218" s="143" t="s">
        <v>228</v>
      </c>
      <c r="C218" s="158">
        <v>0</v>
      </c>
      <c r="F218" s="175" t="e">
        <f>VLOOKUP(Saldo[[#This Row],[ITEM]],#REF!,4,0)</f>
        <v>#REF!</v>
      </c>
    </row>
    <row r="219" spans="1:6" x14ac:dyDescent="0.25">
      <c r="A219" s="54">
        <v>33060414663</v>
      </c>
      <c r="B219" s="143" t="s">
        <v>229</v>
      </c>
      <c r="C219" s="158">
        <v>16</v>
      </c>
      <c r="F219" s="175" t="e">
        <f>VLOOKUP(Saldo[[#This Row],[ITEM]],#REF!,4,0)</f>
        <v>#REF!</v>
      </c>
    </row>
    <row r="220" spans="1:6" x14ac:dyDescent="0.25">
      <c r="A220" s="54">
        <v>33060414664</v>
      </c>
      <c r="B220" s="143" t="s">
        <v>230</v>
      </c>
      <c r="C220" s="158">
        <v>5</v>
      </c>
      <c r="F220" s="175" t="e">
        <f>VLOOKUP(Saldo[[#This Row],[ITEM]],#REF!,4,0)</f>
        <v>#REF!</v>
      </c>
    </row>
    <row r="221" spans="1:6" x14ac:dyDescent="0.25">
      <c r="A221" s="54">
        <v>33060414665</v>
      </c>
      <c r="B221" s="143" t="s">
        <v>231</v>
      </c>
      <c r="C221" s="158">
        <v>448</v>
      </c>
      <c r="F221" s="175" t="e">
        <f>VLOOKUP(Saldo[[#This Row],[ITEM]],#REF!,4,0)</f>
        <v>#REF!</v>
      </c>
    </row>
    <row r="222" spans="1:6" x14ac:dyDescent="0.25">
      <c r="A222" s="54">
        <v>33060414668</v>
      </c>
      <c r="B222" s="143" t="s">
        <v>232</v>
      </c>
      <c r="C222" s="158">
        <v>36</v>
      </c>
      <c r="F222" s="175" t="e">
        <f>VLOOKUP(Saldo[[#This Row],[ITEM]],#REF!,4,0)</f>
        <v>#REF!</v>
      </c>
    </row>
    <row r="223" spans="1:6" x14ac:dyDescent="0.25">
      <c r="A223" s="54">
        <v>33060414671</v>
      </c>
      <c r="B223" s="143" t="s">
        <v>233</v>
      </c>
      <c r="C223" s="158">
        <v>8</v>
      </c>
      <c r="F223" s="175" t="e">
        <f>VLOOKUP(Saldo[[#This Row],[ITEM]],#REF!,4,0)</f>
        <v>#REF!</v>
      </c>
    </row>
    <row r="224" spans="1:6" x14ac:dyDescent="0.25">
      <c r="A224" s="54">
        <v>33060414693</v>
      </c>
      <c r="B224" s="143" t="s">
        <v>234</v>
      </c>
      <c r="C224" s="158">
        <v>30</v>
      </c>
      <c r="F224" s="175" t="e">
        <f>VLOOKUP(Saldo[[#This Row],[ITEM]],#REF!,4,0)</f>
        <v>#REF!</v>
      </c>
    </row>
    <row r="225" spans="1:6" x14ac:dyDescent="0.25">
      <c r="A225" s="54">
        <v>33060414694</v>
      </c>
      <c r="B225" s="143" t="s">
        <v>235</v>
      </c>
      <c r="C225" s="158">
        <v>21</v>
      </c>
      <c r="F225" s="175" t="e">
        <f>VLOOKUP(Saldo[[#This Row],[ITEM]],#REF!,4,0)</f>
        <v>#REF!</v>
      </c>
    </row>
    <row r="226" spans="1:6" x14ac:dyDescent="0.25">
      <c r="A226" s="54">
        <v>33060414695</v>
      </c>
      <c r="B226" s="143" t="s">
        <v>2891</v>
      </c>
      <c r="C226" s="158">
        <v>9</v>
      </c>
      <c r="F226" s="175" t="e">
        <f>VLOOKUP(Saldo[[#This Row],[ITEM]],#REF!,4,0)</f>
        <v>#REF!</v>
      </c>
    </row>
    <row r="227" spans="1:6" x14ac:dyDescent="0.25">
      <c r="A227" s="54">
        <v>33060414764</v>
      </c>
      <c r="B227" s="143" t="s">
        <v>2892</v>
      </c>
      <c r="C227" s="158">
        <v>22</v>
      </c>
      <c r="F227" s="175" t="e">
        <f>VLOOKUP(Saldo[[#This Row],[ITEM]],#REF!,4,0)</f>
        <v>#REF!</v>
      </c>
    </row>
    <row r="228" spans="1:6" x14ac:dyDescent="0.25">
      <c r="A228" s="54">
        <v>33060414766</v>
      </c>
      <c r="B228" s="143" t="s">
        <v>236</v>
      </c>
      <c r="C228" s="158">
        <v>29</v>
      </c>
      <c r="F228" s="175" t="e">
        <f>VLOOKUP(Saldo[[#This Row],[ITEM]],#REF!,4,0)</f>
        <v>#REF!</v>
      </c>
    </row>
    <row r="229" spans="1:6" x14ac:dyDescent="0.25">
      <c r="A229" s="54">
        <v>33060414795</v>
      </c>
      <c r="B229" s="143" t="s">
        <v>237</v>
      </c>
      <c r="C229" s="158">
        <v>7</v>
      </c>
      <c r="F229" s="175" t="e">
        <f>VLOOKUP(Saldo[[#This Row],[ITEM]],#REF!,4,0)</f>
        <v>#REF!</v>
      </c>
    </row>
    <row r="230" spans="1:6" x14ac:dyDescent="0.25">
      <c r="A230" s="54">
        <v>33060414797</v>
      </c>
      <c r="B230" s="143" t="s">
        <v>238</v>
      </c>
      <c r="C230" s="158">
        <v>60</v>
      </c>
      <c r="F230" s="175" t="e">
        <f>VLOOKUP(Saldo[[#This Row],[ITEM]],#REF!,4,0)</f>
        <v>#REF!</v>
      </c>
    </row>
    <row r="231" spans="1:6" x14ac:dyDescent="0.25">
      <c r="A231" s="54">
        <v>33060414798</v>
      </c>
      <c r="B231" s="143" t="s">
        <v>2893</v>
      </c>
      <c r="C231" s="158">
        <v>20</v>
      </c>
      <c r="F231" s="175" t="e">
        <f>VLOOKUP(Saldo[[#This Row],[ITEM]],#REF!,4,0)</f>
        <v>#REF!</v>
      </c>
    </row>
    <row r="232" spans="1:6" x14ac:dyDescent="0.25">
      <c r="A232" s="54">
        <v>33060414799</v>
      </c>
      <c r="B232" s="143" t="s">
        <v>239</v>
      </c>
      <c r="C232" s="158">
        <v>47</v>
      </c>
      <c r="F232" s="175" t="e">
        <f>VLOOKUP(Saldo[[#This Row],[ITEM]],#REF!,4,0)</f>
        <v>#REF!</v>
      </c>
    </row>
    <row r="233" spans="1:6" x14ac:dyDescent="0.25">
      <c r="A233" s="54">
        <v>33060414801</v>
      </c>
      <c r="B233" s="143" t="s">
        <v>240</v>
      </c>
      <c r="C233" s="158">
        <v>20</v>
      </c>
      <c r="F233" s="175" t="e">
        <f>VLOOKUP(Saldo[[#This Row],[ITEM]],#REF!,4,0)</f>
        <v>#REF!</v>
      </c>
    </row>
    <row r="234" spans="1:6" x14ac:dyDescent="0.25">
      <c r="A234" s="54">
        <v>33060414818</v>
      </c>
      <c r="B234" s="143" t="s">
        <v>2894</v>
      </c>
      <c r="C234" s="158">
        <v>62</v>
      </c>
      <c r="F234" s="175" t="e">
        <f>VLOOKUP(Saldo[[#This Row],[ITEM]],#REF!,4,0)</f>
        <v>#REF!</v>
      </c>
    </row>
    <row r="235" spans="1:6" x14ac:dyDescent="0.25">
      <c r="A235" s="54">
        <v>33060414883</v>
      </c>
      <c r="B235" s="143" t="s">
        <v>241</v>
      </c>
      <c r="C235" s="158">
        <v>11</v>
      </c>
      <c r="F235" s="175" t="e">
        <f>VLOOKUP(Saldo[[#This Row],[ITEM]],#REF!,4,0)</f>
        <v>#REF!</v>
      </c>
    </row>
    <row r="236" spans="1:6" x14ac:dyDescent="0.25">
      <c r="A236" s="54">
        <v>33060414884</v>
      </c>
      <c r="B236" s="143" t="s">
        <v>242</v>
      </c>
      <c r="C236" s="158">
        <v>3</v>
      </c>
      <c r="F236" s="175" t="e">
        <f>VLOOKUP(Saldo[[#This Row],[ITEM]],#REF!,4,0)</f>
        <v>#REF!</v>
      </c>
    </row>
    <row r="237" spans="1:6" x14ac:dyDescent="0.25">
      <c r="A237" s="54">
        <v>33060414885</v>
      </c>
      <c r="B237" s="143" t="s">
        <v>243</v>
      </c>
      <c r="C237" s="158">
        <v>26</v>
      </c>
      <c r="F237" s="175" t="e">
        <f>VLOOKUP(Saldo[[#This Row],[ITEM]],#REF!,4,0)</f>
        <v>#REF!</v>
      </c>
    </row>
    <row r="238" spans="1:6" x14ac:dyDescent="0.25">
      <c r="A238" s="54">
        <v>33060414889</v>
      </c>
      <c r="B238" s="143" t="s">
        <v>244</v>
      </c>
      <c r="C238" s="158">
        <v>16</v>
      </c>
      <c r="F238" s="175" t="e">
        <f>VLOOKUP(Saldo[[#This Row],[ITEM]],#REF!,4,0)</f>
        <v>#REF!</v>
      </c>
    </row>
    <row r="239" spans="1:6" x14ac:dyDescent="0.25">
      <c r="A239" s="54">
        <v>33060414929</v>
      </c>
      <c r="B239" s="143" t="s">
        <v>245</v>
      </c>
      <c r="C239" s="158">
        <v>19</v>
      </c>
      <c r="F239" s="175" t="e">
        <f>VLOOKUP(Saldo[[#This Row],[ITEM]],#REF!,4,0)</f>
        <v>#REF!</v>
      </c>
    </row>
    <row r="240" spans="1:6" x14ac:dyDescent="0.25">
      <c r="A240" s="54">
        <v>33060424256</v>
      </c>
      <c r="B240" s="143" t="s">
        <v>246</v>
      </c>
      <c r="C240" s="158">
        <v>37</v>
      </c>
      <c r="F240" s="175" t="e">
        <f>VLOOKUP(Saldo[[#This Row],[ITEM]],#REF!,4,0)</f>
        <v>#REF!</v>
      </c>
    </row>
    <row r="241" spans="1:6" x14ac:dyDescent="0.25">
      <c r="A241" s="54">
        <v>33060424257</v>
      </c>
      <c r="B241" s="143" t="s">
        <v>247</v>
      </c>
      <c r="C241" s="158">
        <v>23</v>
      </c>
      <c r="F241" s="175" t="e">
        <f>VLOOKUP(Saldo[[#This Row],[ITEM]],#REF!,4,0)</f>
        <v>#REF!</v>
      </c>
    </row>
    <row r="242" spans="1:6" x14ac:dyDescent="0.25">
      <c r="A242" s="54">
        <v>33060424258</v>
      </c>
      <c r="B242" s="143" t="s">
        <v>248</v>
      </c>
      <c r="C242" s="158">
        <v>19</v>
      </c>
      <c r="F242" s="175" t="e">
        <f>VLOOKUP(Saldo[[#This Row],[ITEM]],#REF!,4,0)</f>
        <v>#REF!</v>
      </c>
    </row>
    <row r="243" spans="1:6" x14ac:dyDescent="0.25">
      <c r="A243" s="54">
        <v>33060424356</v>
      </c>
      <c r="B243" s="143" t="s">
        <v>249</v>
      </c>
      <c r="C243" s="158">
        <v>48</v>
      </c>
      <c r="F243" s="175" t="e">
        <f>VLOOKUP(Saldo[[#This Row],[ITEM]],#REF!,4,0)</f>
        <v>#REF!</v>
      </c>
    </row>
    <row r="244" spans="1:6" x14ac:dyDescent="0.25">
      <c r="A244" s="54">
        <v>33060424357</v>
      </c>
      <c r="B244" s="143" t="s">
        <v>250</v>
      </c>
      <c r="C244" s="158">
        <v>47</v>
      </c>
      <c r="F244" s="175" t="e">
        <f>VLOOKUP(Saldo[[#This Row],[ITEM]],#REF!,4,0)</f>
        <v>#REF!</v>
      </c>
    </row>
    <row r="245" spans="1:6" x14ac:dyDescent="0.25">
      <c r="A245" s="54">
        <v>33060424358</v>
      </c>
      <c r="B245" s="143" t="s">
        <v>251</v>
      </c>
      <c r="C245" s="158">
        <v>99</v>
      </c>
      <c r="F245" s="175" t="e">
        <f>VLOOKUP(Saldo[[#This Row],[ITEM]],#REF!,4,0)</f>
        <v>#REF!</v>
      </c>
    </row>
    <row r="246" spans="1:6" x14ac:dyDescent="0.25">
      <c r="A246" s="54">
        <v>33060424359</v>
      </c>
      <c r="B246" s="143" t="s">
        <v>252</v>
      </c>
      <c r="C246" s="158">
        <v>15</v>
      </c>
      <c r="F246" s="175" t="e">
        <f>VLOOKUP(Saldo[[#This Row],[ITEM]],#REF!,4,0)</f>
        <v>#REF!</v>
      </c>
    </row>
    <row r="247" spans="1:6" x14ac:dyDescent="0.25">
      <c r="A247" s="54">
        <v>33060424360</v>
      </c>
      <c r="B247" s="143" t="s">
        <v>253</v>
      </c>
      <c r="C247" s="158">
        <v>42</v>
      </c>
      <c r="F247" s="175" t="e">
        <f>VLOOKUP(Saldo[[#This Row],[ITEM]],#REF!,4,0)</f>
        <v>#REF!</v>
      </c>
    </row>
    <row r="248" spans="1:6" x14ac:dyDescent="0.25">
      <c r="A248" s="54">
        <v>33060424362</v>
      </c>
      <c r="B248" s="143" t="s">
        <v>254</v>
      </c>
      <c r="C248" s="158">
        <v>20</v>
      </c>
      <c r="F248" s="175" t="e">
        <f>VLOOKUP(Saldo[[#This Row],[ITEM]],#REF!,4,0)</f>
        <v>#REF!</v>
      </c>
    </row>
    <row r="249" spans="1:6" x14ac:dyDescent="0.25">
      <c r="A249" s="54">
        <v>33060424363</v>
      </c>
      <c r="B249" s="143" t="s">
        <v>255</v>
      </c>
      <c r="C249" s="158">
        <v>20</v>
      </c>
      <c r="F249" s="175" t="e">
        <f>VLOOKUP(Saldo[[#This Row],[ITEM]],#REF!,4,0)</f>
        <v>#REF!</v>
      </c>
    </row>
    <row r="250" spans="1:6" x14ac:dyDescent="0.25">
      <c r="A250" s="54">
        <v>33060424372</v>
      </c>
      <c r="B250" s="143" t="s">
        <v>256</v>
      </c>
      <c r="C250" s="158">
        <v>44</v>
      </c>
      <c r="F250" s="175" t="e">
        <f>VLOOKUP(Saldo[[#This Row],[ITEM]],#REF!,4,0)</f>
        <v>#REF!</v>
      </c>
    </row>
    <row r="251" spans="1:6" x14ac:dyDescent="0.25">
      <c r="A251" s="54">
        <v>33060424467</v>
      </c>
      <c r="B251" s="143" t="s">
        <v>257</v>
      </c>
      <c r="C251" s="158">
        <v>154</v>
      </c>
      <c r="F251" s="175" t="e">
        <f>VLOOKUP(Saldo[[#This Row],[ITEM]],#REF!,4,0)</f>
        <v>#REF!</v>
      </c>
    </row>
    <row r="252" spans="1:6" x14ac:dyDescent="0.25">
      <c r="A252" s="54">
        <v>33060424468</v>
      </c>
      <c r="B252" s="143" t="s">
        <v>258</v>
      </c>
      <c r="C252" s="158">
        <v>53</v>
      </c>
      <c r="F252" s="175" t="e">
        <f>VLOOKUP(Saldo[[#This Row],[ITEM]],#REF!,4,0)</f>
        <v>#REF!</v>
      </c>
    </row>
    <row r="253" spans="1:6" x14ac:dyDescent="0.25">
      <c r="A253" s="54">
        <v>33060424537</v>
      </c>
      <c r="B253" s="143" t="s">
        <v>259</v>
      </c>
      <c r="C253" s="158">
        <v>26</v>
      </c>
      <c r="F253" s="175" t="e">
        <f>VLOOKUP(Saldo[[#This Row],[ITEM]],#REF!,4,0)</f>
        <v>#REF!</v>
      </c>
    </row>
    <row r="254" spans="1:6" x14ac:dyDescent="0.25">
      <c r="A254" s="54">
        <v>33060424538</v>
      </c>
      <c r="B254" s="143" t="s">
        <v>260</v>
      </c>
      <c r="C254" s="158">
        <v>38</v>
      </c>
      <c r="F254" s="175" t="e">
        <f>VLOOKUP(Saldo[[#This Row],[ITEM]],#REF!,4,0)</f>
        <v>#REF!</v>
      </c>
    </row>
    <row r="255" spans="1:6" x14ac:dyDescent="0.25">
      <c r="A255" s="54">
        <v>33060424539</v>
      </c>
      <c r="B255" s="143" t="s">
        <v>2895</v>
      </c>
      <c r="C255" s="158">
        <v>29</v>
      </c>
      <c r="F255" s="175" t="e">
        <f>VLOOKUP(Saldo[[#This Row],[ITEM]],#REF!,4,0)</f>
        <v>#REF!</v>
      </c>
    </row>
    <row r="256" spans="1:6" x14ac:dyDescent="0.25">
      <c r="A256" s="54">
        <v>33060424540</v>
      </c>
      <c r="B256" s="143" t="s">
        <v>2896</v>
      </c>
      <c r="C256" s="158">
        <v>16</v>
      </c>
      <c r="F256" s="175" t="e">
        <f>VLOOKUP(Saldo[[#This Row],[ITEM]],#REF!,4,0)</f>
        <v>#REF!</v>
      </c>
    </row>
    <row r="257" spans="1:6" x14ac:dyDescent="0.25">
      <c r="A257" s="54">
        <v>33060424541</v>
      </c>
      <c r="B257" s="143" t="s">
        <v>261</v>
      </c>
      <c r="C257" s="158">
        <v>5</v>
      </c>
      <c r="F257" s="175" t="e">
        <f>VLOOKUP(Saldo[[#This Row],[ITEM]],#REF!,4,0)</f>
        <v>#REF!</v>
      </c>
    </row>
    <row r="258" spans="1:6" x14ac:dyDescent="0.25">
      <c r="A258" s="54">
        <v>33060424561</v>
      </c>
      <c r="B258" s="143" t="s">
        <v>262</v>
      </c>
      <c r="C258" s="158">
        <v>79</v>
      </c>
      <c r="F258" s="175" t="e">
        <f>VLOOKUP(Saldo[[#This Row],[ITEM]],#REF!,4,0)</f>
        <v>#REF!</v>
      </c>
    </row>
    <row r="259" spans="1:6" x14ac:dyDescent="0.25">
      <c r="A259" s="54">
        <v>33060424562</v>
      </c>
      <c r="B259" s="143" t="s">
        <v>263</v>
      </c>
      <c r="C259" s="158">
        <v>92</v>
      </c>
      <c r="F259" s="175" t="e">
        <f>VLOOKUP(Saldo[[#This Row],[ITEM]],#REF!,4,0)</f>
        <v>#REF!</v>
      </c>
    </row>
    <row r="260" spans="1:6" x14ac:dyDescent="0.25">
      <c r="A260" s="54">
        <v>33060424563</v>
      </c>
      <c r="B260" s="143" t="s">
        <v>264</v>
      </c>
      <c r="C260" s="158">
        <v>109</v>
      </c>
      <c r="F260" s="175" t="e">
        <f>VLOOKUP(Saldo[[#This Row],[ITEM]],#REF!,4,0)</f>
        <v>#REF!</v>
      </c>
    </row>
    <row r="261" spans="1:6" x14ac:dyDescent="0.25">
      <c r="A261" s="54">
        <v>33060424574</v>
      </c>
      <c r="B261" s="143" t="s">
        <v>265</v>
      </c>
      <c r="C261" s="158">
        <v>199</v>
      </c>
      <c r="F261" s="175" t="e">
        <f>VLOOKUP(Saldo[[#This Row],[ITEM]],#REF!,4,0)</f>
        <v>#REF!</v>
      </c>
    </row>
    <row r="262" spans="1:6" x14ac:dyDescent="0.25">
      <c r="A262" s="54">
        <v>33060424575</v>
      </c>
      <c r="B262" s="143" t="s">
        <v>266</v>
      </c>
      <c r="C262" s="158">
        <v>50</v>
      </c>
      <c r="F262" s="175" t="e">
        <f>VLOOKUP(Saldo[[#This Row],[ITEM]],#REF!,4,0)</f>
        <v>#REF!</v>
      </c>
    </row>
    <row r="263" spans="1:6" x14ac:dyDescent="0.25">
      <c r="A263" s="54">
        <v>33060424576</v>
      </c>
      <c r="B263" s="143" t="s">
        <v>2897</v>
      </c>
      <c r="C263" s="158">
        <v>210</v>
      </c>
      <c r="F263" s="175" t="e">
        <f>VLOOKUP(Saldo[[#This Row],[ITEM]],#REF!,4,0)</f>
        <v>#REF!</v>
      </c>
    </row>
    <row r="264" spans="1:6" x14ac:dyDescent="0.25">
      <c r="A264" s="54">
        <v>33060424577</v>
      </c>
      <c r="B264" s="143" t="s">
        <v>267</v>
      </c>
      <c r="C264" s="158">
        <v>41</v>
      </c>
      <c r="F264" s="175" t="e">
        <f>VLOOKUP(Saldo[[#This Row],[ITEM]],#REF!,4,0)</f>
        <v>#REF!</v>
      </c>
    </row>
    <row r="265" spans="1:6" x14ac:dyDescent="0.25">
      <c r="A265" s="54">
        <v>33060424578</v>
      </c>
      <c r="B265" s="143" t="s">
        <v>268</v>
      </c>
      <c r="C265" s="158">
        <v>97</v>
      </c>
      <c r="F265" s="175" t="e">
        <f>VLOOKUP(Saldo[[#This Row],[ITEM]],#REF!,4,0)</f>
        <v>#REF!</v>
      </c>
    </row>
    <row r="266" spans="1:6" x14ac:dyDescent="0.25">
      <c r="A266" s="54">
        <v>33060424579</v>
      </c>
      <c r="B266" s="143" t="s">
        <v>269</v>
      </c>
      <c r="C266" s="158">
        <v>314</v>
      </c>
      <c r="F266" s="175" t="e">
        <f>VLOOKUP(Saldo[[#This Row],[ITEM]],#REF!,4,0)</f>
        <v>#REF!</v>
      </c>
    </row>
    <row r="267" spans="1:6" x14ac:dyDescent="0.25">
      <c r="A267" s="54">
        <v>33060424580</v>
      </c>
      <c r="B267" s="143" t="s">
        <v>270</v>
      </c>
      <c r="C267" s="158">
        <v>173</v>
      </c>
      <c r="F267" s="175" t="e">
        <f>VLOOKUP(Saldo[[#This Row],[ITEM]],#REF!,4,0)</f>
        <v>#REF!</v>
      </c>
    </row>
    <row r="268" spans="1:6" x14ac:dyDescent="0.25">
      <c r="A268" s="54">
        <v>33060424581</v>
      </c>
      <c r="B268" s="143" t="s">
        <v>271</v>
      </c>
      <c r="C268" s="158">
        <v>307</v>
      </c>
      <c r="F268" s="175" t="e">
        <f>VLOOKUP(Saldo[[#This Row],[ITEM]],#REF!,4,0)</f>
        <v>#REF!</v>
      </c>
    </row>
    <row r="269" spans="1:6" x14ac:dyDescent="0.25">
      <c r="A269" s="54">
        <v>33060424582</v>
      </c>
      <c r="B269" s="143" t="s">
        <v>272</v>
      </c>
      <c r="C269" s="158">
        <v>100</v>
      </c>
      <c r="F269" s="175" t="e">
        <f>VLOOKUP(Saldo[[#This Row],[ITEM]],#REF!,4,0)</f>
        <v>#REF!</v>
      </c>
    </row>
    <row r="270" spans="1:6" x14ac:dyDescent="0.25">
      <c r="A270" s="54">
        <v>33060424583</v>
      </c>
      <c r="B270" s="143" t="s">
        <v>273</v>
      </c>
      <c r="C270" s="158">
        <v>302</v>
      </c>
      <c r="F270" s="175" t="e">
        <f>VLOOKUP(Saldo[[#This Row],[ITEM]],#REF!,4,0)</f>
        <v>#REF!</v>
      </c>
    </row>
    <row r="271" spans="1:6" x14ac:dyDescent="0.25">
      <c r="A271" s="54">
        <v>33060424585</v>
      </c>
      <c r="B271" s="143" t="s">
        <v>274</v>
      </c>
      <c r="C271" s="158">
        <v>205</v>
      </c>
      <c r="F271" s="175" t="e">
        <f>VLOOKUP(Saldo[[#This Row],[ITEM]],#REF!,4,0)</f>
        <v>#REF!</v>
      </c>
    </row>
    <row r="272" spans="1:6" x14ac:dyDescent="0.25">
      <c r="A272" s="54">
        <v>33060424666</v>
      </c>
      <c r="B272" s="143" t="s">
        <v>275</v>
      </c>
      <c r="C272" s="158">
        <v>46</v>
      </c>
      <c r="F272" s="175" t="e">
        <f>VLOOKUP(Saldo[[#This Row],[ITEM]],#REF!,4,0)</f>
        <v>#REF!</v>
      </c>
    </row>
    <row r="273" spans="1:6" x14ac:dyDescent="0.25">
      <c r="A273" s="54">
        <v>33060424667</v>
      </c>
      <c r="B273" s="143" t="s">
        <v>276</v>
      </c>
      <c r="C273" s="158">
        <v>13</v>
      </c>
      <c r="F273" s="175" t="e">
        <f>VLOOKUP(Saldo[[#This Row],[ITEM]],#REF!,4,0)</f>
        <v>#REF!</v>
      </c>
    </row>
    <row r="274" spans="1:6" x14ac:dyDescent="0.25">
      <c r="A274" s="54">
        <v>33060454013</v>
      </c>
      <c r="B274" s="143" t="s">
        <v>277</v>
      </c>
      <c r="C274" s="158">
        <v>8</v>
      </c>
      <c r="F274" s="175" t="e">
        <f>VLOOKUP(Saldo[[#This Row],[ITEM]],#REF!,4,0)</f>
        <v>#REF!</v>
      </c>
    </row>
    <row r="275" spans="1:6" x14ac:dyDescent="0.25">
      <c r="A275" s="54">
        <v>33060454034</v>
      </c>
      <c r="B275" s="143" t="s">
        <v>278</v>
      </c>
      <c r="C275" s="158">
        <v>35</v>
      </c>
      <c r="F275" s="175" t="e">
        <f>VLOOKUP(Saldo[[#This Row],[ITEM]],#REF!,4,0)</f>
        <v>#REF!</v>
      </c>
    </row>
    <row r="276" spans="1:6" x14ac:dyDescent="0.25">
      <c r="A276" s="54">
        <v>33060454035</v>
      </c>
      <c r="B276" s="143" t="s">
        <v>279</v>
      </c>
      <c r="C276" s="158">
        <v>30</v>
      </c>
      <c r="F276" s="175" t="e">
        <f>VLOOKUP(Saldo[[#This Row],[ITEM]],#REF!,4,0)</f>
        <v>#REF!</v>
      </c>
    </row>
    <row r="277" spans="1:6" x14ac:dyDescent="0.25">
      <c r="A277" s="54">
        <v>33060454036</v>
      </c>
      <c r="B277" s="143" t="s">
        <v>280</v>
      </c>
      <c r="C277" s="158">
        <v>30</v>
      </c>
      <c r="F277" s="175" t="e">
        <f>VLOOKUP(Saldo[[#This Row],[ITEM]],#REF!,4,0)</f>
        <v>#REF!</v>
      </c>
    </row>
    <row r="278" spans="1:6" x14ac:dyDescent="0.25">
      <c r="A278" s="54">
        <v>33060454037</v>
      </c>
      <c r="B278" s="143" t="s">
        <v>281</v>
      </c>
      <c r="C278" s="158">
        <v>30</v>
      </c>
      <c r="F278" s="175" t="e">
        <f>VLOOKUP(Saldo[[#This Row],[ITEM]],#REF!,4,0)</f>
        <v>#REF!</v>
      </c>
    </row>
    <row r="279" spans="1:6" x14ac:dyDescent="0.25">
      <c r="A279" s="54">
        <v>33060454038</v>
      </c>
      <c r="B279" s="143" t="s">
        <v>282</v>
      </c>
      <c r="C279" s="158">
        <v>40</v>
      </c>
      <c r="F279" s="175" t="e">
        <f>VLOOKUP(Saldo[[#This Row],[ITEM]],#REF!,4,0)</f>
        <v>#REF!</v>
      </c>
    </row>
    <row r="280" spans="1:6" x14ac:dyDescent="0.25">
      <c r="A280" s="54">
        <v>33060454041</v>
      </c>
      <c r="B280" s="143" t="s">
        <v>283</v>
      </c>
      <c r="C280" s="158">
        <v>360</v>
      </c>
      <c r="F280" s="175" t="e">
        <f>VLOOKUP(Saldo[[#This Row],[ITEM]],#REF!,4,0)</f>
        <v>#REF!</v>
      </c>
    </row>
    <row r="281" spans="1:6" x14ac:dyDescent="0.25">
      <c r="A281" s="54">
        <v>33060454042</v>
      </c>
      <c r="B281" s="143" t="s">
        <v>284</v>
      </c>
      <c r="C281" s="158">
        <v>39</v>
      </c>
      <c r="F281" s="175" t="e">
        <f>VLOOKUP(Saldo[[#This Row],[ITEM]],#REF!,4,0)</f>
        <v>#REF!</v>
      </c>
    </row>
    <row r="282" spans="1:6" x14ac:dyDescent="0.25">
      <c r="A282" s="54">
        <v>33060454043</v>
      </c>
      <c r="B282" s="143" t="s">
        <v>285</v>
      </c>
      <c r="C282" s="158">
        <v>30</v>
      </c>
      <c r="F282" s="175" t="e">
        <f>VLOOKUP(Saldo[[#This Row],[ITEM]],#REF!,4,0)</f>
        <v>#REF!</v>
      </c>
    </row>
    <row r="283" spans="1:6" x14ac:dyDescent="0.25">
      <c r="A283" s="54">
        <v>33060454044</v>
      </c>
      <c r="B283" s="143" t="s">
        <v>286</v>
      </c>
      <c r="C283" s="158">
        <v>53</v>
      </c>
      <c r="F283" s="175" t="e">
        <f>VLOOKUP(Saldo[[#This Row],[ITEM]],#REF!,4,0)</f>
        <v>#REF!</v>
      </c>
    </row>
    <row r="284" spans="1:6" x14ac:dyDescent="0.25">
      <c r="A284" s="54">
        <v>33060454046</v>
      </c>
      <c r="B284" s="143" t="s">
        <v>287</v>
      </c>
      <c r="C284" s="158">
        <v>40</v>
      </c>
      <c r="F284" s="175" t="e">
        <f>VLOOKUP(Saldo[[#This Row],[ITEM]],#REF!,4,0)</f>
        <v>#REF!</v>
      </c>
    </row>
    <row r="285" spans="1:6" x14ac:dyDescent="0.25">
      <c r="A285" s="54">
        <v>33060454052</v>
      </c>
      <c r="B285" s="143" t="s">
        <v>288</v>
      </c>
      <c r="C285" s="158">
        <v>60</v>
      </c>
      <c r="F285" s="175" t="e">
        <f>VLOOKUP(Saldo[[#This Row],[ITEM]],#REF!,4,0)</f>
        <v>#REF!</v>
      </c>
    </row>
    <row r="286" spans="1:6" x14ac:dyDescent="0.25">
      <c r="A286" s="54">
        <v>33060454137</v>
      </c>
      <c r="B286" s="143" t="s">
        <v>289</v>
      </c>
      <c r="C286" s="158">
        <v>0</v>
      </c>
      <c r="F286" s="175" t="e">
        <f>VLOOKUP(Saldo[[#This Row],[ITEM]],#REF!,4,0)</f>
        <v>#REF!</v>
      </c>
    </row>
    <row r="287" spans="1:6" x14ac:dyDescent="0.25">
      <c r="A287" s="54">
        <v>33060460532</v>
      </c>
      <c r="B287" s="143" t="s">
        <v>290</v>
      </c>
      <c r="C287" s="158">
        <v>50</v>
      </c>
      <c r="F287" s="175" t="e">
        <f>VLOOKUP(Saldo[[#This Row],[ITEM]],#REF!,4,0)</f>
        <v>#REF!</v>
      </c>
    </row>
    <row r="288" spans="1:6" x14ac:dyDescent="0.25">
      <c r="A288" s="54">
        <v>33060460533</v>
      </c>
      <c r="B288" s="143" t="s">
        <v>291</v>
      </c>
      <c r="C288" s="158">
        <v>49</v>
      </c>
      <c r="F288" s="175" t="e">
        <f>VLOOKUP(Saldo[[#This Row],[ITEM]],#REF!,4,0)</f>
        <v>#REF!</v>
      </c>
    </row>
    <row r="289" spans="1:6" x14ac:dyDescent="0.25">
      <c r="A289" s="54">
        <v>33060460534</v>
      </c>
      <c r="B289" s="143" t="s">
        <v>2898</v>
      </c>
      <c r="C289" s="158">
        <v>4</v>
      </c>
      <c r="F289" s="175" t="e">
        <f>VLOOKUP(Saldo[[#This Row],[ITEM]],#REF!,4,0)</f>
        <v>#REF!</v>
      </c>
    </row>
    <row r="290" spans="1:6" x14ac:dyDescent="0.25">
      <c r="A290" s="54">
        <v>33060460535</v>
      </c>
      <c r="B290" s="143" t="s">
        <v>2899</v>
      </c>
      <c r="C290" s="158">
        <v>36</v>
      </c>
      <c r="F290" s="175" t="e">
        <f>VLOOKUP(Saldo[[#This Row],[ITEM]],#REF!,4,0)</f>
        <v>#REF!</v>
      </c>
    </row>
    <row r="291" spans="1:6" x14ac:dyDescent="0.25">
      <c r="A291" s="54">
        <v>33060460536</v>
      </c>
      <c r="B291" s="143" t="s">
        <v>292</v>
      </c>
      <c r="C291" s="158">
        <v>30</v>
      </c>
      <c r="F291" s="175" t="e">
        <f>VLOOKUP(Saldo[[#This Row],[ITEM]],#REF!,4,0)</f>
        <v>#REF!</v>
      </c>
    </row>
    <row r="292" spans="1:6" x14ac:dyDescent="0.25">
      <c r="A292" s="54">
        <v>33060461116</v>
      </c>
      <c r="B292" s="143" t="s">
        <v>293</v>
      </c>
      <c r="C292" s="158">
        <v>80</v>
      </c>
      <c r="F292" s="175" t="e">
        <f>VLOOKUP(Saldo[[#This Row],[ITEM]],#REF!,4,0)</f>
        <v>#REF!</v>
      </c>
    </row>
    <row r="293" spans="1:6" x14ac:dyDescent="0.25">
      <c r="A293" s="54">
        <v>33060461118</v>
      </c>
      <c r="B293" s="143" t="s">
        <v>294</v>
      </c>
      <c r="C293" s="158">
        <v>84</v>
      </c>
      <c r="F293" s="175" t="e">
        <f>VLOOKUP(Saldo[[#This Row],[ITEM]],#REF!,4,0)</f>
        <v>#REF!</v>
      </c>
    </row>
    <row r="294" spans="1:6" x14ac:dyDescent="0.25">
      <c r="A294" s="54">
        <v>33060461187</v>
      </c>
      <c r="B294" s="143" t="s">
        <v>295</v>
      </c>
      <c r="C294" s="158">
        <v>43</v>
      </c>
      <c r="F294" s="175" t="e">
        <f>VLOOKUP(Saldo[[#This Row],[ITEM]],#REF!,4,0)</f>
        <v>#REF!</v>
      </c>
    </row>
    <row r="295" spans="1:6" x14ac:dyDescent="0.25">
      <c r="A295" s="54">
        <v>33060461189</v>
      </c>
      <c r="B295" s="143" t="s">
        <v>296</v>
      </c>
      <c r="C295" s="158">
        <v>0</v>
      </c>
      <c r="F295" s="175" t="e">
        <f>VLOOKUP(Saldo[[#This Row],[ITEM]],#REF!,4,0)</f>
        <v>#REF!</v>
      </c>
    </row>
    <row r="296" spans="1:6" x14ac:dyDescent="0.25">
      <c r="A296" s="54">
        <v>33060461592</v>
      </c>
      <c r="B296" s="143" t="s">
        <v>297</v>
      </c>
      <c r="C296" s="158">
        <v>223</v>
      </c>
      <c r="F296" s="175" t="e">
        <f>VLOOKUP(Saldo[[#This Row],[ITEM]],#REF!,4,0)</f>
        <v>#REF!</v>
      </c>
    </row>
    <row r="297" spans="1:6" x14ac:dyDescent="0.25">
      <c r="A297" s="54">
        <v>33060461593</v>
      </c>
      <c r="B297" s="143" t="s">
        <v>298</v>
      </c>
      <c r="C297" s="158">
        <v>434</v>
      </c>
      <c r="F297" s="175" t="e">
        <f>VLOOKUP(Saldo[[#This Row],[ITEM]],#REF!,4,0)</f>
        <v>#REF!</v>
      </c>
    </row>
    <row r="298" spans="1:6" x14ac:dyDescent="0.25">
      <c r="A298" s="54">
        <v>33060461720</v>
      </c>
      <c r="B298" s="143" t="s">
        <v>299</v>
      </c>
      <c r="C298" s="158">
        <v>20</v>
      </c>
      <c r="F298" s="175" t="e">
        <f>VLOOKUP(Saldo[[#This Row],[ITEM]],#REF!,4,0)</f>
        <v>#REF!</v>
      </c>
    </row>
    <row r="299" spans="1:6" x14ac:dyDescent="0.25">
      <c r="A299" s="54">
        <v>33060461721</v>
      </c>
      <c r="B299" s="143" t="s">
        <v>300</v>
      </c>
      <c r="C299" s="158">
        <v>2</v>
      </c>
      <c r="F299" s="175" t="e">
        <f>VLOOKUP(Saldo[[#This Row],[ITEM]],#REF!,4,0)</f>
        <v>#REF!</v>
      </c>
    </row>
    <row r="300" spans="1:6" x14ac:dyDescent="0.25">
      <c r="A300" s="54">
        <v>33060463716</v>
      </c>
      <c r="B300" s="143" t="s">
        <v>301</v>
      </c>
      <c r="C300" s="158">
        <v>2</v>
      </c>
      <c r="F300" s="175" t="e">
        <f>VLOOKUP(Saldo[[#This Row],[ITEM]],#REF!,4,0)</f>
        <v>#REF!</v>
      </c>
    </row>
    <row r="301" spans="1:6" x14ac:dyDescent="0.25">
      <c r="A301" s="54">
        <v>33060464843</v>
      </c>
      <c r="B301" s="143" t="s">
        <v>302</v>
      </c>
      <c r="C301" s="158">
        <v>30</v>
      </c>
      <c r="F301" s="175" t="e">
        <f>VLOOKUP(Saldo[[#This Row],[ITEM]],#REF!,4,0)</f>
        <v>#REF!</v>
      </c>
    </row>
    <row r="302" spans="1:6" x14ac:dyDescent="0.25">
      <c r="A302" s="54">
        <v>33060464844</v>
      </c>
      <c r="B302" s="143" t="s">
        <v>2900</v>
      </c>
      <c r="C302" s="158">
        <v>100</v>
      </c>
      <c r="F302" s="175" t="e">
        <f>VLOOKUP(Saldo[[#This Row],[ITEM]],#REF!,4,0)</f>
        <v>#REF!</v>
      </c>
    </row>
    <row r="303" spans="1:6" x14ac:dyDescent="0.25">
      <c r="A303" s="54">
        <v>33060464898</v>
      </c>
      <c r="B303" s="143" t="s">
        <v>303</v>
      </c>
      <c r="C303" s="158">
        <v>0</v>
      </c>
      <c r="F303" s="175" t="e">
        <f>VLOOKUP(Saldo[[#This Row],[ITEM]],#REF!,4,0)</f>
        <v>#REF!</v>
      </c>
    </row>
    <row r="304" spans="1:6" x14ac:dyDescent="0.25">
      <c r="A304" s="54">
        <v>33060464909</v>
      </c>
      <c r="B304" s="143" t="s">
        <v>304</v>
      </c>
      <c r="C304" s="158">
        <v>25</v>
      </c>
      <c r="F304" s="175" t="e">
        <f>VLOOKUP(Saldo[[#This Row],[ITEM]],#REF!,4,0)</f>
        <v>#REF!</v>
      </c>
    </row>
    <row r="305" spans="1:6" x14ac:dyDescent="0.25">
      <c r="A305" s="54">
        <v>33060464910</v>
      </c>
      <c r="B305" s="143" t="s">
        <v>305</v>
      </c>
      <c r="C305" s="158">
        <v>25</v>
      </c>
      <c r="F305" s="175" t="e">
        <f>VLOOKUP(Saldo[[#This Row],[ITEM]],#REF!,4,0)</f>
        <v>#REF!</v>
      </c>
    </row>
    <row r="306" spans="1:6" x14ac:dyDescent="0.25">
      <c r="A306" s="54">
        <v>33060464979</v>
      </c>
      <c r="B306" s="143" t="s">
        <v>306</v>
      </c>
      <c r="C306" s="158">
        <v>11</v>
      </c>
      <c r="F306" s="175" t="e">
        <f>VLOOKUP(Saldo[[#This Row],[ITEM]],#REF!,4,0)</f>
        <v>#REF!</v>
      </c>
    </row>
    <row r="307" spans="1:6" x14ac:dyDescent="0.25">
      <c r="A307" s="54">
        <v>33060464982</v>
      </c>
      <c r="B307" s="143" t="s">
        <v>2901</v>
      </c>
      <c r="C307" s="158">
        <v>20</v>
      </c>
      <c r="F307" s="175" t="e">
        <f>VLOOKUP(Saldo[[#This Row],[ITEM]],#REF!,4,0)</f>
        <v>#REF!</v>
      </c>
    </row>
    <row r="308" spans="1:6" x14ac:dyDescent="0.25">
      <c r="A308" s="54">
        <v>33060514137</v>
      </c>
      <c r="B308" s="143" t="s">
        <v>307</v>
      </c>
      <c r="C308" s="158">
        <v>68</v>
      </c>
      <c r="F308" s="175" t="e">
        <f>VLOOKUP(Saldo[[#This Row],[ITEM]],#REF!,4,0)</f>
        <v>#REF!</v>
      </c>
    </row>
    <row r="309" spans="1:6" x14ac:dyDescent="0.25">
      <c r="A309" s="54">
        <v>33060514672</v>
      </c>
      <c r="B309" s="143" t="s">
        <v>308</v>
      </c>
      <c r="C309" s="158">
        <v>433</v>
      </c>
      <c r="F309" s="175" t="e">
        <f>VLOOKUP(Saldo[[#This Row],[ITEM]],#REF!,4,0)</f>
        <v>#REF!</v>
      </c>
    </row>
    <row r="310" spans="1:6" x14ac:dyDescent="0.25">
      <c r="A310" s="54">
        <v>33060514699</v>
      </c>
      <c r="B310" s="143" t="s">
        <v>309</v>
      </c>
      <c r="C310" s="158">
        <v>1984</v>
      </c>
      <c r="F310" s="175" t="e">
        <f>VLOOKUP(Saldo[[#This Row],[ITEM]],#REF!,4,0)</f>
        <v>#REF!</v>
      </c>
    </row>
    <row r="311" spans="1:6" x14ac:dyDescent="0.25">
      <c r="A311" s="54">
        <v>33060514811</v>
      </c>
      <c r="B311" s="143" t="s">
        <v>310</v>
      </c>
      <c r="C311" s="158">
        <v>0</v>
      </c>
      <c r="F311" s="175" t="e">
        <f>VLOOKUP(Saldo[[#This Row],[ITEM]],#REF!,4,0)</f>
        <v>#REF!</v>
      </c>
    </row>
    <row r="312" spans="1:6" x14ac:dyDescent="0.25">
      <c r="A312" s="54">
        <v>33060514870</v>
      </c>
      <c r="B312" s="143" t="s">
        <v>311</v>
      </c>
      <c r="C312" s="158">
        <v>2429</v>
      </c>
      <c r="F312" s="175" t="e">
        <f>VLOOKUP(Saldo[[#This Row],[ITEM]],#REF!,4,0)</f>
        <v>#REF!</v>
      </c>
    </row>
    <row r="313" spans="1:6" x14ac:dyDescent="0.25">
      <c r="A313" s="54">
        <v>33060514920</v>
      </c>
      <c r="B313" s="143" t="s">
        <v>312</v>
      </c>
      <c r="C313" s="158">
        <v>79</v>
      </c>
      <c r="F313" s="175" t="e">
        <f>VLOOKUP(Saldo[[#This Row],[ITEM]],#REF!,4,0)</f>
        <v>#REF!</v>
      </c>
    </row>
    <row r="314" spans="1:6" x14ac:dyDescent="0.25">
      <c r="A314" s="54">
        <v>33060514928</v>
      </c>
      <c r="B314" s="143" t="s">
        <v>313</v>
      </c>
      <c r="C314" s="158">
        <v>140</v>
      </c>
      <c r="F314" s="175" t="e">
        <f>VLOOKUP(Saldo[[#This Row],[ITEM]],#REF!,4,0)</f>
        <v>#REF!</v>
      </c>
    </row>
    <row r="315" spans="1:6" x14ac:dyDescent="0.25">
      <c r="A315" s="54">
        <v>33060514932</v>
      </c>
      <c r="B315" s="143" t="s">
        <v>314</v>
      </c>
      <c r="C315" s="158">
        <v>4</v>
      </c>
      <c r="F315" s="175" t="e">
        <f>VLOOKUP(Saldo[[#This Row],[ITEM]],#REF!,4,0)</f>
        <v>#REF!</v>
      </c>
    </row>
    <row r="316" spans="1:6" x14ac:dyDescent="0.25">
      <c r="A316" s="54">
        <v>33060514939</v>
      </c>
      <c r="B316" s="143" t="s">
        <v>315</v>
      </c>
      <c r="C316" s="158">
        <v>0</v>
      </c>
      <c r="F316" s="175" t="e">
        <f>VLOOKUP(Saldo[[#This Row],[ITEM]],#REF!,4,0)</f>
        <v>#REF!</v>
      </c>
    </row>
    <row r="317" spans="1:6" x14ac:dyDescent="0.25">
      <c r="A317" s="54">
        <v>33060514990</v>
      </c>
      <c r="B317" s="143" t="s">
        <v>316</v>
      </c>
      <c r="C317" s="158">
        <v>33937</v>
      </c>
      <c r="F317" s="175" t="e">
        <f>VLOOKUP(Saldo[[#This Row],[ITEM]],#REF!,4,0)</f>
        <v>#REF!</v>
      </c>
    </row>
    <row r="318" spans="1:6" x14ac:dyDescent="0.25">
      <c r="A318" s="54">
        <v>33060560521</v>
      </c>
      <c r="B318" s="143" t="s">
        <v>317</v>
      </c>
      <c r="C318" s="158">
        <v>8904</v>
      </c>
      <c r="F318" s="175" t="e">
        <f>VLOOKUP(Saldo[[#This Row],[ITEM]],#REF!,4,0)</f>
        <v>#REF!</v>
      </c>
    </row>
    <row r="319" spans="1:6" x14ac:dyDescent="0.25">
      <c r="A319" s="54">
        <v>33060560522</v>
      </c>
      <c r="B319" s="143" t="s">
        <v>318</v>
      </c>
      <c r="C319" s="158">
        <v>7147</v>
      </c>
      <c r="F319" s="175" t="e">
        <f>VLOOKUP(Saldo[[#This Row],[ITEM]],#REF!,4,0)</f>
        <v>#REF!</v>
      </c>
    </row>
    <row r="320" spans="1:6" x14ac:dyDescent="0.25">
      <c r="A320" s="54">
        <v>33060560523</v>
      </c>
      <c r="B320" s="143" t="s">
        <v>319</v>
      </c>
      <c r="C320" s="158">
        <v>5667</v>
      </c>
      <c r="F320" s="175" t="e">
        <f>VLOOKUP(Saldo[[#This Row],[ITEM]],#REF!,4,0)</f>
        <v>#REF!</v>
      </c>
    </row>
    <row r="321" spans="1:6" x14ac:dyDescent="0.25">
      <c r="A321" s="54">
        <v>33060560893</v>
      </c>
      <c r="B321" s="143" t="s">
        <v>320</v>
      </c>
      <c r="C321" s="158">
        <v>0</v>
      </c>
      <c r="F321" s="175" t="e">
        <f>VLOOKUP(Saldo[[#This Row],[ITEM]],#REF!,4,0)</f>
        <v>#REF!</v>
      </c>
    </row>
    <row r="322" spans="1:6" x14ac:dyDescent="0.25">
      <c r="A322" s="54">
        <v>33060563228</v>
      </c>
      <c r="B322" s="143" t="s">
        <v>321</v>
      </c>
      <c r="C322" s="158">
        <v>777</v>
      </c>
      <c r="F322" s="175" t="e">
        <f>VLOOKUP(Saldo[[#This Row],[ITEM]],#REF!,4,0)</f>
        <v>#REF!</v>
      </c>
    </row>
    <row r="323" spans="1:6" x14ac:dyDescent="0.25">
      <c r="A323" s="54">
        <v>33060714636</v>
      </c>
      <c r="B323" s="143" t="s">
        <v>322</v>
      </c>
      <c r="C323" s="158">
        <v>30</v>
      </c>
      <c r="F323" s="175" t="e">
        <f>VLOOKUP(Saldo[[#This Row],[ITEM]],#REF!,4,0)</f>
        <v>#REF!</v>
      </c>
    </row>
    <row r="324" spans="1:6" x14ac:dyDescent="0.25">
      <c r="A324" s="54">
        <v>33060714890</v>
      </c>
      <c r="B324" s="143" t="s">
        <v>323</v>
      </c>
      <c r="C324" s="158">
        <v>47</v>
      </c>
      <c r="F324" s="175" t="e">
        <f>VLOOKUP(Saldo[[#This Row],[ITEM]],#REF!,4,0)</f>
        <v>#REF!</v>
      </c>
    </row>
    <row r="325" spans="1:6" x14ac:dyDescent="0.25">
      <c r="A325" s="54">
        <v>33060714900</v>
      </c>
      <c r="B325" s="143" t="s">
        <v>324</v>
      </c>
      <c r="C325" s="158">
        <v>8</v>
      </c>
      <c r="F325" s="175" t="e">
        <f>VLOOKUP(Saldo[[#This Row],[ITEM]],#REF!,4,0)</f>
        <v>#REF!</v>
      </c>
    </row>
    <row r="326" spans="1:6" x14ac:dyDescent="0.25">
      <c r="A326" s="54">
        <v>33060714901</v>
      </c>
      <c r="B326" s="143" t="s">
        <v>325</v>
      </c>
      <c r="C326" s="158">
        <v>10</v>
      </c>
      <c r="F326" s="175" t="e">
        <f>VLOOKUP(Saldo[[#This Row],[ITEM]],#REF!,4,0)</f>
        <v>#REF!</v>
      </c>
    </row>
    <row r="327" spans="1:6" x14ac:dyDescent="0.25">
      <c r="A327" s="54">
        <v>33060714916</v>
      </c>
      <c r="B327" s="143" t="s">
        <v>326</v>
      </c>
      <c r="C327" s="158">
        <v>0</v>
      </c>
      <c r="F327" s="175" t="e">
        <f>VLOOKUP(Saldo[[#This Row],[ITEM]],#REF!,4,0)</f>
        <v>#REF!</v>
      </c>
    </row>
    <row r="328" spans="1:6" x14ac:dyDescent="0.25">
      <c r="A328" s="54">
        <v>33060714917</v>
      </c>
      <c r="B328" s="143" t="s">
        <v>327</v>
      </c>
      <c r="C328" s="158">
        <v>0</v>
      </c>
      <c r="F328" s="175" t="e">
        <f>VLOOKUP(Saldo[[#This Row],[ITEM]],#REF!,4,0)</f>
        <v>#REF!</v>
      </c>
    </row>
    <row r="329" spans="1:6" x14ac:dyDescent="0.25">
      <c r="A329" s="54">
        <v>33060714919</v>
      </c>
      <c r="B329" s="143" t="s">
        <v>328</v>
      </c>
      <c r="C329" s="158">
        <v>0</v>
      </c>
      <c r="F329" s="175" t="e">
        <f>VLOOKUP(Saldo[[#This Row],[ITEM]],#REF!,4,0)</f>
        <v>#REF!</v>
      </c>
    </row>
    <row r="330" spans="1:6" x14ac:dyDescent="0.25">
      <c r="A330" s="54">
        <v>33060714942</v>
      </c>
      <c r="B330" s="143" t="s">
        <v>329</v>
      </c>
      <c r="C330" s="158">
        <v>0</v>
      </c>
      <c r="F330" s="175" t="e">
        <f>VLOOKUP(Saldo[[#This Row],[ITEM]],#REF!,4,0)</f>
        <v>#REF!</v>
      </c>
    </row>
    <row r="331" spans="1:6" x14ac:dyDescent="0.25">
      <c r="A331" s="54">
        <v>33060754032</v>
      </c>
      <c r="B331" s="143" t="s">
        <v>330</v>
      </c>
      <c r="C331" s="158">
        <v>1621</v>
      </c>
      <c r="F331" s="175" t="e">
        <f>VLOOKUP(Saldo[[#This Row],[ITEM]],#REF!,4,0)</f>
        <v>#REF!</v>
      </c>
    </row>
    <row r="332" spans="1:6" x14ac:dyDescent="0.25">
      <c r="A332" s="54">
        <v>33060761115</v>
      </c>
      <c r="B332" s="143" t="s">
        <v>331</v>
      </c>
      <c r="C332" s="158">
        <v>284</v>
      </c>
      <c r="F332" s="175" t="e">
        <f>VLOOKUP(Saldo[[#This Row],[ITEM]],#REF!,4,0)</f>
        <v>#REF!</v>
      </c>
    </row>
    <row r="333" spans="1:6" x14ac:dyDescent="0.25">
      <c r="A333" s="54">
        <v>33060761591</v>
      </c>
      <c r="B333" s="143" t="s">
        <v>332</v>
      </c>
      <c r="C333" s="158">
        <v>236</v>
      </c>
      <c r="F333" s="175" t="e">
        <f>VLOOKUP(Saldo[[#This Row],[ITEM]],#REF!,4,0)</f>
        <v>#REF!</v>
      </c>
    </row>
    <row r="334" spans="1:6" x14ac:dyDescent="0.25">
      <c r="A334" s="54">
        <v>33060761825</v>
      </c>
      <c r="B334" s="143" t="s">
        <v>333</v>
      </c>
      <c r="C334" s="158">
        <v>2815</v>
      </c>
      <c r="F334" s="175" t="e">
        <f>VLOOKUP(Saldo[[#This Row],[ITEM]],#REF!,4,0)</f>
        <v>#REF!</v>
      </c>
    </row>
    <row r="335" spans="1:6" x14ac:dyDescent="0.25">
      <c r="A335" s="54">
        <v>33060763223</v>
      </c>
      <c r="B335" s="143" t="s">
        <v>334</v>
      </c>
      <c r="C335" s="158">
        <v>0</v>
      </c>
      <c r="F335" s="175" t="e">
        <f>VLOOKUP(Saldo[[#This Row],[ITEM]],#REF!,4,0)</f>
        <v>#REF!</v>
      </c>
    </row>
    <row r="336" spans="1:6" x14ac:dyDescent="0.25">
      <c r="A336" s="54">
        <v>33060763224</v>
      </c>
      <c r="B336" s="143" t="s">
        <v>335</v>
      </c>
      <c r="C336" s="158">
        <v>107</v>
      </c>
      <c r="F336" s="175" t="e">
        <f>VLOOKUP(Saldo[[#This Row],[ITEM]],#REF!,4,0)</f>
        <v>#REF!</v>
      </c>
    </row>
    <row r="337" spans="1:6" x14ac:dyDescent="0.25">
      <c r="A337" s="54">
        <v>33060763225</v>
      </c>
      <c r="B337" s="143" t="s">
        <v>336</v>
      </c>
      <c r="C337" s="158">
        <v>0</v>
      </c>
      <c r="F337" s="175" t="e">
        <f>VLOOKUP(Saldo[[#This Row],[ITEM]],#REF!,4,0)</f>
        <v>#REF!</v>
      </c>
    </row>
    <row r="338" spans="1:6" x14ac:dyDescent="0.25">
      <c r="A338" s="54">
        <v>33062062041</v>
      </c>
      <c r="B338" s="143" t="s">
        <v>337</v>
      </c>
      <c r="C338" s="158">
        <v>0</v>
      </c>
      <c r="F338" s="175" t="e">
        <f>VLOOKUP(Saldo[[#This Row],[ITEM]],#REF!,4,0)</f>
        <v>#REF!</v>
      </c>
    </row>
    <row r="339" spans="1:6" x14ac:dyDescent="0.25">
      <c r="A339" s="54">
        <v>33062062712</v>
      </c>
      <c r="B339" s="143" t="s">
        <v>338</v>
      </c>
      <c r="C339" s="158">
        <v>118</v>
      </c>
      <c r="F339" s="175" t="e">
        <f>VLOOKUP(Saldo[[#This Row],[ITEM]],#REF!,4,0)</f>
        <v>#REF!</v>
      </c>
    </row>
    <row r="340" spans="1:6" x14ac:dyDescent="0.25">
      <c r="A340" s="54">
        <v>33062062713</v>
      </c>
      <c r="B340" s="143" t="s">
        <v>339</v>
      </c>
      <c r="C340" s="158">
        <v>90</v>
      </c>
      <c r="F340" s="175" t="e">
        <f>VLOOKUP(Saldo[[#This Row],[ITEM]],#REF!,4,0)</f>
        <v>#REF!</v>
      </c>
    </row>
    <row r="341" spans="1:6" x14ac:dyDescent="0.25">
      <c r="A341" s="54">
        <v>33062062714</v>
      </c>
      <c r="B341" s="143" t="s">
        <v>340</v>
      </c>
      <c r="C341" s="158">
        <v>216</v>
      </c>
      <c r="F341" s="175" t="e">
        <f>VLOOKUP(Saldo[[#This Row],[ITEM]],#REF!,4,0)</f>
        <v>#REF!</v>
      </c>
    </row>
    <row r="342" spans="1:6" x14ac:dyDescent="0.25">
      <c r="A342" s="54">
        <v>33062062715</v>
      </c>
      <c r="B342" s="143" t="s">
        <v>341</v>
      </c>
      <c r="C342" s="158">
        <v>348</v>
      </c>
      <c r="F342" s="175" t="e">
        <f>VLOOKUP(Saldo[[#This Row],[ITEM]],#REF!,4,0)</f>
        <v>#REF!</v>
      </c>
    </row>
    <row r="343" spans="1:6" x14ac:dyDescent="0.25">
      <c r="A343" s="54">
        <v>33062062716</v>
      </c>
      <c r="B343" s="143" t="s">
        <v>342</v>
      </c>
      <c r="C343" s="158">
        <v>55</v>
      </c>
      <c r="F343" s="175" t="e">
        <f>VLOOKUP(Saldo[[#This Row],[ITEM]],#REF!,4,0)</f>
        <v>#REF!</v>
      </c>
    </row>
    <row r="344" spans="1:6" x14ac:dyDescent="0.25">
      <c r="A344" s="54">
        <v>33062062717</v>
      </c>
      <c r="B344" s="143" t="s">
        <v>343</v>
      </c>
      <c r="C344" s="158">
        <v>0</v>
      </c>
      <c r="F344" s="175" t="e">
        <f>VLOOKUP(Saldo[[#This Row],[ITEM]],#REF!,4,0)</f>
        <v>#REF!</v>
      </c>
    </row>
    <row r="345" spans="1:6" x14ac:dyDescent="0.25">
      <c r="A345" s="54">
        <v>33062062718</v>
      </c>
      <c r="B345" s="143" t="s">
        <v>344</v>
      </c>
      <c r="C345" s="158">
        <v>97</v>
      </c>
      <c r="F345" s="175" t="e">
        <f>VLOOKUP(Saldo[[#This Row],[ITEM]],#REF!,4,0)</f>
        <v>#REF!</v>
      </c>
    </row>
    <row r="346" spans="1:6" x14ac:dyDescent="0.25">
      <c r="A346" s="54">
        <v>33062062719</v>
      </c>
      <c r="B346" s="143" t="s">
        <v>345</v>
      </c>
      <c r="C346" s="158">
        <v>0</v>
      </c>
      <c r="F346" s="175" t="e">
        <f>VLOOKUP(Saldo[[#This Row],[ITEM]],#REF!,4,0)</f>
        <v>#REF!</v>
      </c>
    </row>
    <row r="347" spans="1:6" x14ac:dyDescent="0.25">
      <c r="A347" s="54">
        <v>33062062720</v>
      </c>
      <c r="B347" s="143" t="s">
        <v>346</v>
      </c>
      <c r="C347" s="158">
        <v>209</v>
      </c>
      <c r="F347" s="175" t="e">
        <f>VLOOKUP(Saldo[[#This Row],[ITEM]],#REF!,4,0)</f>
        <v>#REF!</v>
      </c>
    </row>
    <row r="348" spans="1:6" x14ac:dyDescent="0.25">
      <c r="A348" s="54">
        <v>33062062721</v>
      </c>
      <c r="B348" s="143" t="s">
        <v>347</v>
      </c>
      <c r="C348" s="158">
        <v>0</v>
      </c>
      <c r="F348" s="175" t="e">
        <f>VLOOKUP(Saldo[[#This Row],[ITEM]],#REF!,4,0)</f>
        <v>#REF!</v>
      </c>
    </row>
    <row r="349" spans="1:6" x14ac:dyDescent="0.25">
      <c r="A349" s="54">
        <v>33062062722</v>
      </c>
      <c r="B349" s="143" t="s">
        <v>348</v>
      </c>
      <c r="C349" s="158">
        <v>38</v>
      </c>
      <c r="F349" s="175" t="e">
        <f>VLOOKUP(Saldo[[#This Row],[ITEM]],#REF!,4,0)</f>
        <v>#REF!</v>
      </c>
    </row>
    <row r="350" spans="1:6" x14ac:dyDescent="0.25">
      <c r="A350" s="54">
        <v>33062062735</v>
      </c>
      <c r="B350" s="143" t="s">
        <v>349</v>
      </c>
      <c r="C350" s="158">
        <v>0</v>
      </c>
      <c r="F350" s="175" t="e">
        <f>VLOOKUP(Saldo[[#This Row],[ITEM]],#REF!,4,0)</f>
        <v>#REF!</v>
      </c>
    </row>
    <row r="351" spans="1:6" x14ac:dyDescent="0.25">
      <c r="A351" s="54">
        <v>33062062736</v>
      </c>
      <c r="B351" s="143" t="s">
        <v>350</v>
      </c>
      <c r="C351" s="158">
        <v>0</v>
      </c>
      <c r="F351" s="175" t="e">
        <f>VLOOKUP(Saldo[[#This Row],[ITEM]],#REF!,4,0)</f>
        <v>#REF!</v>
      </c>
    </row>
    <row r="352" spans="1:6" x14ac:dyDescent="0.25">
      <c r="A352" s="54">
        <v>33062062737</v>
      </c>
      <c r="B352" s="143" t="s">
        <v>351</v>
      </c>
      <c r="C352" s="158">
        <v>199</v>
      </c>
      <c r="F352" s="175" t="e">
        <f>VLOOKUP(Saldo[[#This Row],[ITEM]],#REF!,4,0)</f>
        <v>#REF!</v>
      </c>
    </row>
    <row r="353" spans="1:6" x14ac:dyDescent="0.25">
      <c r="A353" s="54">
        <v>33062062738</v>
      </c>
      <c r="B353" s="143" t="s">
        <v>352</v>
      </c>
      <c r="C353" s="158">
        <v>7</v>
      </c>
      <c r="F353" s="175" t="e">
        <f>VLOOKUP(Saldo[[#This Row],[ITEM]],#REF!,4,0)</f>
        <v>#REF!</v>
      </c>
    </row>
    <row r="354" spans="1:6" x14ac:dyDescent="0.25">
      <c r="A354" s="54">
        <v>33062063024</v>
      </c>
      <c r="B354" s="143" t="s">
        <v>353</v>
      </c>
      <c r="C354" s="158">
        <v>223</v>
      </c>
      <c r="F354" s="175" t="e">
        <f>VLOOKUP(Saldo[[#This Row],[ITEM]],#REF!,4,0)</f>
        <v>#REF!</v>
      </c>
    </row>
    <row r="355" spans="1:6" x14ac:dyDescent="0.25">
      <c r="A355" s="54">
        <v>33062063025</v>
      </c>
      <c r="B355" s="143" t="s">
        <v>354</v>
      </c>
      <c r="C355" s="158">
        <v>255</v>
      </c>
      <c r="F355" s="175" t="e">
        <f>VLOOKUP(Saldo[[#This Row],[ITEM]],#REF!,4,0)</f>
        <v>#REF!</v>
      </c>
    </row>
    <row r="356" spans="1:6" x14ac:dyDescent="0.25">
      <c r="A356" s="54">
        <v>33062063026</v>
      </c>
      <c r="B356" s="143" t="s">
        <v>355</v>
      </c>
      <c r="C356" s="158">
        <v>62</v>
      </c>
      <c r="F356" s="175" t="e">
        <f>VLOOKUP(Saldo[[#This Row],[ITEM]],#REF!,4,0)</f>
        <v>#REF!</v>
      </c>
    </row>
    <row r="357" spans="1:6" x14ac:dyDescent="0.25">
      <c r="A357" s="54">
        <v>33062063028</v>
      </c>
      <c r="B357" s="143" t="s">
        <v>356</v>
      </c>
      <c r="C357" s="158">
        <v>2</v>
      </c>
      <c r="F357" s="175" t="e">
        <f>VLOOKUP(Saldo[[#This Row],[ITEM]],#REF!,4,0)</f>
        <v>#REF!</v>
      </c>
    </row>
    <row r="358" spans="1:6" x14ac:dyDescent="0.25">
      <c r="A358" s="54">
        <v>33062063029</v>
      </c>
      <c r="B358" s="143" t="s">
        <v>357</v>
      </c>
      <c r="C358" s="158">
        <v>75</v>
      </c>
      <c r="F358" s="175" t="e">
        <f>VLOOKUP(Saldo[[#This Row],[ITEM]],#REF!,4,0)</f>
        <v>#REF!</v>
      </c>
    </row>
    <row r="359" spans="1:6" x14ac:dyDescent="0.25">
      <c r="A359" s="54">
        <v>33062063030</v>
      </c>
      <c r="B359" s="143" t="s">
        <v>358</v>
      </c>
      <c r="C359" s="158">
        <v>124</v>
      </c>
      <c r="F359" s="175" t="e">
        <f>VLOOKUP(Saldo[[#This Row],[ITEM]],#REF!,4,0)</f>
        <v>#REF!</v>
      </c>
    </row>
    <row r="360" spans="1:6" x14ac:dyDescent="0.25">
      <c r="A360" s="54">
        <v>33062063139</v>
      </c>
      <c r="B360" s="143" t="s">
        <v>359</v>
      </c>
      <c r="C360" s="158">
        <v>296</v>
      </c>
      <c r="F360" s="175" t="e">
        <f>VLOOKUP(Saldo[[#This Row],[ITEM]],#REF!,4,0)</f>
        <v>#REF!</v>
      </c>
    </row>
    <row r="361" spans="1:6" x14ac:dyDescent="0.25">
      <c r="A361" s="54">
        <v>33062063140</v>
      </c>
      <c r="B361" s="143" t="s">
        <v>360</v>
      </c>
      <c r="C361" s="158">
        <v>231</v>
      </c>
      <c r="F361" s="175" t="e">
        <f>VLOOKUP(Saldo[[#This Row],[ITEM]],#REF!,4,0)</f>
        <v>#REF!</v>
      </c>
    </row>
    <row r="362" spans="1:6" x14ac:dyDescent="0.25">
      <c r="A362" s="54">
        <v>33062063149</v>
      </c>
      <c r="B362" s="143" t="s">
        <v>361</v>
      </c>
      <c r="C362" s="158">
        <v>23</v>
      </c>
      <c r="F362" s="175" t="e">
        <f>VLOOKUP(Saldo[[#This Row],[ITEM]],#REF!,4,0)</f>
        <v>#REF!</v>
      </c>
    </row>
    <row r="363" spans="1:6" x14ac:dyDescent="0.25">
      <c r="A363" s="54">
        <v>33062063150</v>
      </c>
      <c r="B363" s="143" t="s">
        <v>362</v>
      </c>
      <c r="C363" s="158">
        <v>48</v>
      </c>
      <c r="F363" s="175" t="e">
        <f>VLOOKUP(Saldo[[#This Row],[ITEM]],#REF!,4,0)</f>
        <v>#REF!</v>
      </c>
    </row>
    <row r="364" spans="1:6" x14ac:dyDescent="0.25">
      <c r="A364" s="54">
        <v>33062063151</v>
      </c>
      <c r="B364" s="143" t="s">
        <v>363</v>
      </c>
      <c r="C364" s="158">
        <v>93</v>
      </c>
      <c r="F364" s="175" t="e">
        <f>VLOOKUP(Saldo[[#This Row],[ITEM]],#REF!,4,0)</f>
        <v>#REF!</v>
      </c>
    </row>
    <row r="365" spans="1:6" x14ac:dyDescent="0.25">
      <c r="A365" s="54">
        <v>33062063152</v>
      </c>
      <c r="B365" s="143" t="s">
        <v>364</v>
      </c>
      <c r="C365" s="158">
        <v>120</v>
      </c>
      <c r="F365" s="175" t="e">
        <f>VLOOKUP(Saldo[[#This Row],[ITEM]],#REF!,4,0)</f>
        <v>#REF!</v>
      </c>
    </row>
    <row r="366" spans="1:6" x14ac:dyDescent="0.25">
      <c r="A366" s="54">
        <v>33062063153</v>
      </c>
      <c r="B366" s="143" t="s">
        <v>365</v>
      </c>
      <c r="C366" s="158">
        <v>4</v>
      </c>
      <c r="F366" s="175" t="e">
        <f>VLOOKUP(Saldo[[#This Row],[ITEM]],#REF!,4,0)</f>
        <v>#REF!</v>
      </c>
    </row>
    <row r="367" spans="1:6" x14ac:dyDescent="0.25">
      <c r="A367" s="54">
        <v>33062063155</v>
      </c>
      <c r="B367" s="143" t="s">
        <v>366</v>
      </c>
      <c r="C367" s="158">
        <v>3</v>
      </c>
      <c r="F367" s="175" t="e">
        <f>VLOOKUP(Saldo[[#This Row],[ITEM]],#REF!,4,0)</f>
        <v>#REF!</v>
      </c>
    </row>
    <row r="368" spans="1:6" x14ac:dyDescent="0.25">
      <c r="A368" s="54">
        <v>33062063157</v>
      </c>
      <c r="B368" s="143" t="s">
        <v>367</v>
      </c>
      <c r="C368" s="158">
        <v>3</v>
      </c>
      <c r="F368" s="175" t="e">
        <f>VLOOKUP(Saldo[[#This Row],[ITEM]],#REF!,4,0)</f>
        <v>#REF!</v>
      </c>
    </row>
    <row r="369" spans="1:6" x14ac:dyDescent="0.25">
      <c r="A369" s="54">
        <v>33062063159</v>
      </c>
      <c r="B369" s="143" t="s">
        <v>368</v>
      </c>
      <c r="C369" s="158">
        <v>7</v>
      </c>
      <c r="F369" s="175" t="e">
        <f>VLOOKUP(Saldo[[#This Row],[ITEM]],#REF!,4,0)</f>
        <v>#REF!</v>
      </c>
    </row>
    <row r="370" spans="1:6" x14ac:dyDescent="0.25">
      <c r="A370" s="54">
        <v>33062064070</v>
      </c>
      <c r="B370" s="143" t="s">
        <v>369</v>
      </c>
      <c r="C370" s="158">
        <v>21</v>
      </c>
      <c r="F370" s="175" t="e">
        <f>VLOOKUP(Saldo[[#This Row],[ITEM]],#REF!,4,0)</f>
        <v>#REF!</v>
      </c>
    </row>
    <row r="371" spans="1:6" x14ac:dyDescent="0.25">
      <c r="A371" s="54">
        <v>33062064071</v>
      </c>
      <c r="B371" s="143" t="s">
        <v>370</v>
      </c>
      <c r="C371" s="158">
        <v>0</v>
      </c>
      <c r="F371" s="175" t="e">
        <f>VLOOKUP(Saldo[[#This Row],[ITEM]],#REF!,4,0)</f>
        <v>#REF!</v>
      </c>
    </row>
    <row r="372" spans="1:6" x14ac:dyDescent="0.25">
      <c r="A372" s="54">
        <v>33062064072</v>
      </c>
      <c r="B372" s="143" t="s">
        <v>371</v>
      </c>
      <c r="C372" s="158">
        <v>53</v>
      </c>
      <c r="F372" s="175" t="e">
        <f>VLOOKUP(Saldo[[#This Row],[ITEM]],#REF!,4,0)</f>
        <v>#REF!</v>
      </c>
    </row>
    <row r="373" spans="1:6" x14ac:dyDescent="0.25">
      <c r="A373" s="54">
        <v>33062064073</v>
      </c>
      <c r="B373" s="143" t="s">
        <v>372</v>
      </c>
      <c r="C373" s="158">
        <v>70</v>
      </c>
      <c r="F373" s="175" t="e">
        <f>VLOOKUP(Saldo[[#This Row],[ITEM]],#REF!,4,0)</f>
        <v>#REF!</v>
      </c>
    </row>
    <row r="374" spans="1:6" x14ac:dyDescent="0.25">
      <c r="A374" s="54">
        <v>33062064356</v>
      </c>
      <c r="B374" s="143" t="s">
        <v>373</v>
      </c>
      <c r="C374" s="158">
        <v>0</v>
      </c>
      <c r="F374" s="175" t="e">
        <f>VLOOKUP(Saldo[[#This Row],[ITEM]],#REF!,4,0)</f>
        <v>#REF!</v>
      </c>
    </row>
    <row r="375" spans="1:6" x14ac:dyDescent="0.25">
      <c r="A375" s="54">
        <v>33062064357</v>
      </c>
      <c r="B375" s="143" t="s">
        <v>374</v>
      </c>
      <c r="C375" s="158">
        <v>0</v>
      </c>
      <c r="F375" s="175" t="e">
        <f>VLOOKUP(Saldo[[#This Row],[ITEM]],#REF!,4,0)</f>
        <v>#REF!</v>
      </c>
    </row>
    <row r="376" spans="1:6" x14ac:dyDescent="0.25">
      <c r="A376" s="54">
        <v>33062064358</v>
      </c>
      <c r="B376" s="143" t="s">
        <v>375</v>
      </c>
      <c r="C376" s="158">
        <v>3</v>
      </c>
      <c r="F376" s="175" t="e">
        <f>VLOOKUP(Saldo[[#This Row],[ITEM]],#REF!,4,0)</f>
        <v>#REF!</v>
      </c>
    </row>
    <row r="377" spans="1:6" x14ac:dyDescent="0.25">
      <c r="A377" s="54">
        <v>33062064359</v>
      </c>
      <c r="B377" s="143" t="s">
        <v>376</v>
      </c>
      <c r="C377" s="158">
        <v>2</v>
      </c>
      <c r="F377" s="175" t="e">
        <f>VLOOKUP(Saldo[[#This Row],[ITEM]],#REF!,4,0)</f>
        <v>#REF!</v>
      </c>
    </row>
    <row r="378" spans="1:6" x14ac:dyDescent="0.25">
      <c r="A378" s="54">
        <v>33062064862</v>
      </c>
      <c r="B378" s="143" t="s">
        <v>2902</v>
      </c>
      <c r="C378" s="158">
        <v>5</v>
      </c>
      <c r="F378" s="175" t="e">
        <f>VLOOKUP(Saldo[[#This Row],[ITEM]],#REF!,4,0)</f>
        <v>#REF!</v>
      </c>
    </row>
    <row r="379" spans="1:6" x14ac:dyDescent="0.25">
      <c r="A379" s="54">
        <v>33062064863</v>
      </c>
      <c r="B379" s="143" t="s">
        <v>2903</v>
      </c>
      <c r="C379" s="158">
        <v>2</v>
      </c>
      <c r="F379" s="175" t="e">
        <f>VLOOKUP(Saldo[[#This Row],[ITEM]],#REF!,4,0)</f>
        <v>#REF!</v>
      </c>
    </row>
    <row r="380" spans="1:6" x14ac:dyDescent="0.25">
      <c r="A380" s="54">
        <v>33062064864</v>
      </c>
      <c r="B380" s="143" t="s">
        <v>2904</v>
      </c>
      <c r="C380" s="158">
        <v>1</v>
      </c>
      <c r="F380" s="175" t="e">
        <f>VLOOKUP(Saldo[[#This Row],[ITEM]],#REF!,4,0)</f>
        <v>#REF!</v>
      </c>
    </row>
    <row r="381" spans="1:6" x14ac:dyDescent="0.25">
      <c r="A381" s="54">
        <v>33062064865</v>
      </c>
      <c r="B381" s="143" t="s">
        <v>2905</v>
      </c>
      <c r="C381" s="158">
        <v>3</v>
      </c>
      <c r="F381" s="175" t="e">
        <f>VLOOKUP(Saldo[[#This Row],[ITEM]],#REF!,4,0)</f>
        <v>#REF!</v>
      </c>
    </row>
    <row r="382" spans="1:6" x14ac:dyDescent="0.25">
      <c r="A382" s="54">
        <v>33062064866</v>
      </c>
      <c r="B382" s="143" t="s">
        <v>2906</v>
      </c>
      <c r="C382" s="158">
        <v>3</v>
      </c>
      <c r="F382" s="175" t="e">
        <f>VLOOKUP(Saldo[[#This Row],[ITEM]],#REF!,4,0)</f>
        <v>#REF!</v>
      </c>
    </row>
    <row r="383" spans="1:6" x14ac:dyDescent="0.25">
      <c r="A383" s="54">
        <v>33062064867</v>
      </c>
      <c r="B383" s="143" t="s">
        <v>2907</v>
      </c>
      <c r="C383" s="158">
        <v>3</v>
      </c>
      <c r="F383" s="175" t="e">
        <f>VLOOKUP(Saldo[[#This Row],[ITEM]],#REF!,4,0)</f>
        <v>#REF!</v>
      </c>
    </row>
    <row r="384" spans="1:6" x14ac:dyDescent="0.25">
      <c r="A384" s="54">
        <v>33062064868</v>
      </c>
      <c r="B384" s="143" t="s">
        <v>2876</v>
      </c>
      <c r="C384" s="158">
        <v>0</v>
      </c>
      <c r="F384" s="175" t="e">
        <f>VLOOKUP(Saldo[[#This Row],[ITEM]],#REF!,4,0)</f>
        <v>#REF!</v>
      </c>
    </row>
    <row r="385" spans="1:6" x14ac:dyDescent="0.25">
      <c r="A385" s="54">
        <v>33062064870</v>
      </c>
      <c r="B385" s="143" t="s">
        <v>2837</v>
      </c>
      <c r="C385" s="158">
        <v>3</v>
      </c>
      <c r="F385" s="175" t="e">
        <f>VLOOKUP(Saldo[[#This Row],[ITEM]],#REF!,4,0)</f>
        <v>#REF!</v>
      </c>
    </row>
    <row r="386" spans="1:6" x14ac:dyDescent="0.25">
      <c r="A386" s="54">
        <v>33062064871</v>
      </c>
      <c r="B386" s="143" t="s">
        <v>2908</v>
      </c>
      <c r="C386" s="158">
        <v>2</v>
      </c>
      <c r="F386" s="175" t="e">
        <f>VLOOKUP(Saldo[[#This Row],[ITEM]],#REF!,4,0)</f>
        <v>#REF!</v>
      </c>
    </row>
    <row r="387" spans="1:6" x14ac:dyDescent="0.25">
      <c r="A387" s="54">
        <v>33062064872</v>
      </c>
      <c r="B387" s="143" t="s">
        <v>2909</v>
      </c>
      <c r="C387" s="158">
        <v>2</v>
      </c>
      <c r="F387" s="175" t="e">
        <f>VLOOKUP(Saldo[[#This Row],[ITEM]],#REF!,4,0)</f>
        <v>#REF!</v>
      </c>
    </row>
    <row r="388" spans="1:6" x14ac:dyDescent="0.25">
      <c r="A388" s="54">
        <v>33062064873</v>
      </c>
      <c r="B388" s="143" t="s">
        <v>2910</v>
      </c>
      <c r="C388" s="158">
        <v>3</v>
      </c>
      <c r="F388" s="175" t="e">
        <f>VLOOKUP(Saldo[[#This Row],[ITEM]],#REF!,4,0)</f>
        <v>#REF!</v>
      </c>
    </row>
    <row r="389" spans="1:6" x14ac:dyDescent="0.25">
      <c r="A389" s="54">
        <v>33062064876</v>
      </c>
      <c r="B389" s="143" t="s">
        <v>2911</v>
      </c>
      <c r="C389" s="158">
        <v>3</v>
      </c>
      <c r="F389" s="175" t="e">
        <f>VLOOKUP(Saldo[[#This Row],[ITEM]],#REF!,4,0)</f>
        <v>#REF!</v>
      </c>
    </row>
    <row r="390" spans="1:6" x14ac:dyDescent="0.25">
      <c r="A390" s="54">
        <v>33062064877</v>
      </c>
      <c r="B390" s="143" t="s">
        <v>2912</v>
      </c>
      <c r="C390" s="158">
        <v>3</v>
      </c>
      <c r="F390" s="175" t="e">
        <f>VLOOKUP(Saldo[[#This Row],[ITEM]],#REF!,4,0)</f>
        <v>#REF!</v>
      </c>
    </row>
    <row r="391" spans="1:6" x14ac:dyDescent="0.25">
      <c r="A391" s="54">
        <v>33062064878</v>
      </c>
      <c r="B391" s="143" t="s">
        <v>2838</v>
      </c>
      <c r="C391" s="158">
        <v>3</v>
      </c>
      <c r="F391" s="175" t="e">
        <f>VLOOKUP(Saldo[[#This Row],[ITEM]],#REF!,4,0)</f>
        <v>#REF!</v>
      </c>
    </row>
    <row r="392" spans="1:6" x14ac:dyDescent="0.25">
      <c r="A392" s="54">
        <v>33062064879</v>
      </c>
      <c r="B392" s="143" t="s">
        <v>2839</v>
      </c>
      <c r="C392" s="158">
        <v>3</v>
      </c>
      <c r="F392" s="175" t="e">
        <f>VLOOKUP(Saldo[[#This Row],[ITEM]],#REF!,4,0)</f>
        <v>#REF!</v>
      </c>
    </row>
    <row r="393" spans="1:6" x14ac:dyDescent="0.25">
      <c r="A393" s="54">
        <v>33062064880</v>
      </c>
      <c r="B393" s="143" t="s">
        <v>2913</v>
      </c>
      <c r="C393" s="158">
        <v>4</v>
      </c>
      <c r="F393" s="175" t="e">
        <f>VLOOKUP(Saldo[[#This Row],[ITEM]],#REF!,4,0)</f>
        <v>#REF!</v>
      </c>
    </row>
    <row r="394" spans="1:6" x14ac:dyDescent="0.25">
      <c r="A394" s="54">
        <v>33062064881</v>
      </c>
      <c r="B394" s="143" t="s">
        <v>2914</v>
      </c>
      <c r="C394" s="158">
        <v>5</v>
      </c>
      <c r="F394" s="175" t="e">
        <f>VLOOKUP(Saldo[[#This Row],[ITEM]],#REF!,4,0)</f>
        <v>#REF!</v>
      </c>
    </row>
    <row r="395" spans="1:6" x14ac:dyDescent="0.25">
      <c r="A395" s="54">
        <v>33062064882</v>
      </c>
      <c r="B395" s="143" t="s">
        <v>2840</v>
      </c>
      <c r="C395" s="158">
        <v>5</v>
      </c>
      <c r="F395" s="175" t="e">
        <f>VLOOKUP(Saldo[[#This Row],[ITEM]],#REF!,4,0)</f>
        <v>#REF!</v>
      </c>
    </row>
    <row r="396" spans="1:6" x14ac:dyDescent="0.25">
      <c r="A396" s="54">
        <v>33062064883</v>
      </c>
      <c r="B396" s="143" t="s">
        <v>2841</v>
      </c>
      <c r="C396" s="158">
        <v>5</v>
      </c>
      <c r="F396" s="175" t="e">
        <f>VLOOKUP(Saldo[[#This Row],[ITEM]],#REF!,4,0)</f>
        <v>#REF!</v>
      </c>
    </row>
    <row r="397" spans="1:6" x14ac:dyDescent="0.25">
      <c r="A397" s="54">
        <v>33062064884</v>
      </c>
      <c r="B397" s="143" t="s">
        <v>377</v>
      </c>
      <c r="C397" s="158">
        <v>8</v>
      </c>
      <c r="F397" s="175" t="e">
        <f>VLOOKUP(Saldo[[#This Row],[ITEM]],#REF!,4,0)</f>
        <v>#REF!</v>
      </c>
    </row>
    <row r="398" spans="1:6" x14ac:dyDescent="0.25">
      <c r="A398" s="54">
        <v>33062064885</v>
      </c>
      <c r="B398" s="143" t="s">
        <v>378</v>
      </c>
      <c r="C398" s="158">
        <v>8</v>
      </c>
      <c r="F398" s="175" t="e">
        <f>VLOOKUP(Saldo[[#This Row],[ITEM]],#REF!,4,0)</f>
        <v>#REF!</v>
      </c>
    </row>
    <row r="399" spans="1:6" x14ac:dyDescent="0.25">
      <c r="A399" s="54">
        <v>33062064886</v>
      </c>
      <c r="B399" s="143" t="s">
        <v>379</v>
      </c>
      <c r="C399" s="158">
        <v>1</v>
      </c>
      <c r="F399" s="175" t="e">
        <f>VLOOKUP(Saldo[[#This Row],[ITEM]],#REF!,4,0)</f>
        <v>#REF!</v>
      </c>
    </row>
    <row r="400" spans="1:6" x14ac:dyDescent="0.25">
      <c r="A400" s="54">
        <v>33062064993</v>
      </c>
      <c r="B400" s="143" t="s">
        <v>380</v>
      </c>
      <c r="C400" s="158">
        <v>0</v>
      </c>
      <c r="F400" s="175" t="e">
        <f>VLOOKUP(Saldo[[#This Row],[ITEM]],#REF!,4,0)</f>
        <v>#REF!</v>
      </c>
    </row>
    <row r="401" spans="1:6" x14ac:dyDescent="0.25">
      <c r="A401" s="54">
        <v>33062064994</v>
      </c>
      <c r="B401" s="143" t="s">
        <v>381</v>
      </c>
      <c r="C401" s="158">
        <v>0</v>
      </c>
      <c r="F401" s="175" t="e">
        <f>VLOOKUP(Saldo[[#This Row],[ITEM]],#REF!,4,0)</f>
        <v>#REF!</v>
      </c>
    </row>
    <row r="402" spans="1:6" x14ac:dyDescent="0.25">
      <c r="A402" s="54">
        <v>33062064995</v>
      </c>
      <c r="B402" s="143" t="s">
        <v>382</v>
      </c>
      <c r="C402" s="158">
        <v>0</v>
      </c>
      <c r="F402" s="175" t="e">
        <f>VLOOKUP(Saldo[[#This Row],[ITEM]],#REF!,4,0)</f>
        <v>#REF!</v>
      </c>
    </row>
    <row r="403" spans="1:6" x14ac:dyDescent="0.25">
      <c r="A403" s="54">
        <v>33062065018</v>
      </c>
      <c r="B403" s="143" t="s">
        <v>2827</v>
      </c>
      <c r="C403" s="158">
        <v>0</v>
      </c>
      <c r="F403" s="175" t="e">
        <f>VLOOKUP(Saldo[[#This Row],[ITEM]],#REF!,4,0)</f>
        <v>#REF!</v>
      </c>
    </row>
    <row r="404" spans="1:6" x14ac:dyDescent="0.25">
      <c r="A404" s="54">
        <v>33062065019</v>
      </c>
      <c r="B404" s="143" t="s">
        <v>1816</v>
      </c>
      <c r="C404" s="158">
        <v>1</v>
      </c>
      <c r="F404" s="175" t="e">
        <f>VLOOKUP(Saldo[[#This Row],[ITEM]],#REF!,4,0)</f>
        <v>#REF!</v>
      </c>
    </row>
    <row r="405" spans="1:6" x14ac:dyDescent="0.25">
      <c r="A405" s="54">
        <v>33062065020</v>
      </c>
      <c r="B405" s="143" t="s">
        <v>1812</v>
      </c>
      <c r="C405" s="158">
        <v>4</v>
      </c>
      <c r="F405" s="175" t="e">
        <f>VLOOKUP(Saldo[[#This Row],[ITEM]],#REF!,4,0)</f>
        <v>#REF!</v>
      </c>
    </row>
    <row r="406" spans="1:6" x14ac:dyDescent="0.25">
      <c r="A406" s="54">
        <v>33062065021</v>
      </c>
      <c r="B406" s="143" t="s">
        <v>1903</v>
      </c>
      <c r="C406" s="158">
        <v>4</v>
      </c>
      <c r="F406" s="175" t="e">
        <f>VLOOKUP(Saldo[[#This Row],[ITEM]],#REF!,4,0)</f>
        <v>#REF!</v>
      </c>
    </row>
    <row r="407" spans="1:6" x14ac:dyDescent="0.25">
      <c r="A407" s="54">
        <v>33062065022</v>
      </c>
      <c r="B407" s="143" t="s">
        <v>1907</v>
      </c>
      <c r="C407" s="158">
        <v>3</v>
      </c>
      <c r="F407" s="175" t="e">
        <f>VLOOKUP(Saldo[[#This Row],[ITEM]],#REF!,4,0)</f>
        <v>#REF!</v>
      </c>
    </row>
    <row r="408" spans="1:6" x14ac:dyDescent="0.25">
      <c r="A408" s="54">
        <v>33062065023</v>
      </c>
      <c r="B408" s="143" t="s">
        <v>1905</v>
      </c>
      <c r="C408" s="158">
        <v>5</v>
      </c>
      <c r="F408" s="175" t="e">
        <f>VLOOKUP(Saldo[[#This Row],[ITEM]],#REF!,4,0)</f>
        <v>#REF!</v>
      </c>
    </row>
    <row r="409" spans="1:6" x14ac:dyDescent="0.25">
      <c r="A409" s="54">
        <v>33062065024</v>
      </c>
      <c r="B409" s="143" t="s">
        <v>1840</v>
      </c>
      <c r="C409" s="158">
        <v>6</v>
      </c>
      <c r="F409" s="175" t="e">
        <f>VLOOKUP(Saldo[[#This Row],[ITEM]],#REF!,4,0)</f>
        <v>#REF!</v>
      </c>
    </row>
    <row r="410" spans="1:6" x14ac:dyDescent="0.25">
      <c r="A410" s="54">
        <v>33062065025</v>
      </c>
      <c r="B410" s="143" t="s">
        <v>1842</v>
      </c>
      <c r="C410" s="158">
        <v>6</v>
      </c>
      <c r="F410" s="175" t="e">
        <f>VLOOKUP(Saldo[[#This Row],[ITEM]],#REF!,4,0)</f>
        <v>#REF!</v>
      </c>
    </row>
    <row r="411" spans="1:6" x14ac:dyDescent="0.25">
      <c r="A411" s="54">
        <v>33062065026</v>
      </c>
      <c r="B411" s="143" t="s">
        <v>1844</v>
      </c>
      <c r="C411" s="158">
        <v>6</v>
      </c>
      <c r="F411" s="175" t="e">
        <f>VLOOKUP(Saldo[[#This Row],[ITEM]],#REF!,4,0)</f>
        <v>#REF!</v>
      </c>
    </row>
    <row r="412" spans="1:6" x14ac:dyDescent="0.25">
      <c r="A412" s="54">
        <v>33062065027</v>
      </c>
      <c r="B412" s="143" t="s">
        <v>2915</v>
      </c>
      <c r="C412" s="158">
        <v>6</v>
      </c>
      <c r="F412" s="175" t="e">
        <f>VLOOKUP(Saldo[[#This Row],[ITEM]],#REF!,4,0)</f>
        <v>#REF!</v>
      </c>
    </row>
    <row r="413" spans="1:6" x14ac:dyDescent="0.25">
      <c r="A413" s="54">
        <v>33062065028</v>
      </c>
      <c r="B413" s="143" t="s">
        <v>2916</v>
      </c>
      <c r="C413" s="158">
        <v>6</v>
      </c>
      <c r="F413" s="175" t="e">
        <f>VLOOKUP(Saldo[[#This Row],[ITEM]],#REF!,4,0)</f>
        <v>#REF!</v>
      </c>
    </row>
    <row r="414" spans="1:6" x14ac:dyDescent="0.25">
      <c r="A414" s="54">
        <v>33062065029</v>
      </c>
      <c r="B414" s="143" t="s">
        <v>1854</v>
      </c>
      <c r="C414" s="158">
        <v>4</v>
      </c>
      <c r="F414" s="175" t="e">
        <f>VLOOKUP(Saldo[[#This Row],[ITEM]],#REF!,4,0)</f>
        <v>#REF!</v>
      </c>
    </row>
    <row r="415" spans="1:6" x14ac:dyDescent="0.25">
      <c r="A415" s="54">
        <v>33062065030</v>
      </c>
      <c r="B415" s="143" t="s">
        <v>1846</v>
      </c>
      <c r="C415" s="158">
        <v>3</v>
      </c>
      <c r="F415" s="175" t="e">
        <f>VLOOKUP(Saldo[[#This Row],[ITEM]],#REF!,4,0)</f>
        <v>#REF!</v>
      </c>
    </row>
    <row r="416" spans="1:6" x14ac:dyDescent="0.25">
      <c r="A416" s="54">
        <v>33062065031</v>
      </c>
      <c r="B416" s="143" t="s">
        <v>1848</v>
      </c>
      <c r="C416" s="158">
        <v>3</v>
      </c>
      <c r="F416" s="175" t="e">
        <f>VLOOKUP(Saldo[[#This Row],[ITEM]],#REF!,4,0)</f>
        <v>#REF!</v>
      </c>
    </row>
    <row r="417" spans="1:6" x14ac:dyDescent="0.25">
      <c r="A417" s="54">
        <v>33062065032</v>
      </c>
      <c r="B417" s="143" t="s">
        <v>1850</v>
      </c>
      <c r="C417" s="158">
        <v>3</v>
      </c>
      <c r="F417" s="175" t="e">
        <f>VLOOKUP(Saldo[[#This Row],[ITEM]],#REF!,4,0)</f>
        <v>#REF!</v>
      </c>
    </row>
    <row r="418" spans="1:6" x14ac:dyDescent="0.25">
      <c r="A418" s="54">
        <v>33062065033</v>
      </c>
      <c r="B418" s="143" t="s">
        <v>1852</v>
      </c>
      <c r="C418" s="158">
        <v>3</v>
      </c>
      <c r="F418" s="175" t="e">
        <f>VLOOKUP(Saldo[[#This Row],[ITEM]],#REF!,4,0)</f>
        <v>#REF!</v>
      </c>
    </row>
    <row r="419" spans="1:6" x14ac:dyDescent="0.25">
      <c r="A419" s="54">
        <v>33062065034</v>
      </c>
      <c r="B419" s="143" t="s">
        <v>1832</v>
      </c>
      <c r="C419" s="158">
        <v>2</v>
      </c>
      <c r="F419" s="175" t="e">
        <f>VLOOKUP(Saldo[[#This Row],[ITEM]],#REF!,4,0)</f>
        <v>#REF!</v>
      </c>
    </row>
    <row r="420" spans="1:6" x14ac:dyDescent="0.25">
      <c r="A420" s="54">
        <v>33062065035</v>
      </c>
      <c r="B420" s="143" t="s">
        <v>1834</v>
      </c>
      <c r="C420" s="158">
        <v>5</v>
      </c>
      <c r="F420" s="175" t="e">
        <f>VLOOKUP(Saldo[[#This Row],[ITEM]],#REF!,4,0)</f>
        <v>#REF!</v>
      </c>
    </row>
    <row r="421" spans="1:6" x14ac:dyDescent="0.25">
      <c r="A421" s="54">
        <v>33062065036</v>
      </c>
      <c r="B421" s="143" t="s">
        <v>383</v>
      </c>
      <c r="C421" s="158">
        <v>0</v>
      </c>
      <c r="F421" s="175" t="e">
        <f>VLOOKUP(Saldo[[#This Row],[ITEM]],#REF!,4,0)</f>
        <v>#REF!</v>
      </c>
    </row>
    <row r="422" spans="1:6" x14ac:dyDescent="0.25">
      <c r="A422" s="54">
        <v>33062065037</v>
      </c>
      <c r="B422" s="143" t="s">
        <v>384</v>
      </c>
      <c r="C422" s="158">
        <v>3</v>
      </c>
      <c r="F422" s="175" t="e">
        <f>VLOOKUP(Saldo[[#This Row],[ITEM]],#REF!,4,0)</f>
        <v>#REF!</v>
      </c>
    </row>
    <row r="423" spans="1:6" x14ac:dyDescent="0.25">
      <c r="A423" s="54">
        <v>33062065038</v>
      </c>
      <c r="B423" s="143" t="s">
        <v>1858</v>
      </c>
      <c r="C423" s="158">
        <v>9</v>
      </c>
      <c r="F423" s="175" t="e">
        <f>VLOOKUP(Saldo[[#This Row],[ITEM]],#REF!,4,0)</f>
        <v>#REF!</v>
      </c>
    </row>
    <row r="424" spans="1:6" x14ac:dyDescent="0.25">
      <c r="A424" s="54">
        <v>33062065039</v>
      </c>
      <c r="B424" s="143" t="s">
        <v>385</v>
      </c>
      <c r="C424" s="158">
        <v>8</v>
      </c>
      <c r="F424" s="175" t="e">
        <f>VLOOKUP(Saldo[[#This Row],[ITEM]],#REF!,4,0)</f>
        <v>#REF!</v>
      </c>
    </row>
    <row r="425" spans="1:6" x14ac:dyDescent="0.25">
      <c r="A425" s="54">
        <v>33062065040</v>
      </c>
      <c r="B425" s="143" t="s">
        <v>385</v>
      </c>
      <c r="C425" s="158">
        <v>8</v>
      </c>
      <c r="F425" s="175" t="e">
        <f>VLOOKUP(Saldo[[#This Row],[ITEM]],#REF!,4,0)</f>
        <v>#REF!</v>
      </c>
    </row>
    <row r="426" spans="1:6" x14ac:dyDescent="0.25">
      <c r="A426" s="54">
        <v>33062065042</v>
      </c>
      <c r="B426" s="143" t="s">
        <v>386</v>
      </c>
      <c r="C426" s="158">
        <v>3</v>
      </c>
      <c r="F426" s="175" t="e">
        <f>VLOOKUP(Saldo[[#This Row],[ITEM]],#REF!,4,0)</f>
        <v>#REF!</v>
      </c>
    </row>
    <row r="427" spans="1:6" x14ac:dyDescent="0.25">
      <c r="A427" s="54">
        <v>33062065043</v>
      </c>
      <c r="B427" s="143" t="s">
        <v>1868</v>
      </c>
      <c r="C427" s="158">
        <v>2</v>
      </c>
      <c r="F427" s="175" t="e">
        <f>VLOOKUP(Saldo[[#This Row],[ITEM]],#REF!,4,0)</f>
        <v>#REF!</v>
      </c>
    </row>
    <row r="428" spans="1:6" x14ac:dyDescent="0.25">
      <c r="A428" s="54">
        <v>33062065044</v>
      </c>
      <c r="B428" s="143" t="s">
        <v>1870</v>
      </c>
      <c r="C428" s="158">
        <v>3</v>
      </c>
      <c r="F428" s="175" t="e">
        <f>VLOOKUP(Saldo[[#This Row],[ITEM]],#REF!,4,0)</f>
        <v>#REF!</v>
      </c>
    </row>
    <row r="429" spans="1:6" x14ac:dyDescent="0.25">
      <c r="A429" s="54">
        <v>33062065045</v>
      </c>
      <c r="B429" s="143" t="s">
        <v>1901</v>
      </c>
      <c r="C429" s="158">
        <v>8</v>
      </c>
      <c r="F429" s="175" t="e">
        <f>VLOOKUP(Saldo[[#This Row],[ITEM]],#REF!,4,0)</f>
        <v>#REF!</v>
      </c>
    </row>
    <row r="430" spans="1:6" x14ac:dyDescent="0.25">
      <c r="A430" s="54">
        <v>33062065046</v>
      </c>
      <c r="B430" s="143" t="s">
        <v>1872</v>
      </c>
      <c r="C430" s="158">
        <v>8</v>
      </c>
      <c r="F430" s="175" t="e">
        <f>VLOOKUP(Saldo[[#This Row],[ITEM]],#REF!,4,0)</f>
        <v>#REF!</v>
      </c>
    </row>
    <row r="431" spans="1:6" x14ac:dyDescent="0.25">
      <c r="A431" s="54">
        <v>33062065047</v>
      </c>
      <c r="B431" s="143" t="s">
        <v>387</v>
      </c>
      <c r="C431" s="158">
        <v>3</v>
      </c>
      <c r="F431" s="175" t="e">
        <f>VLOOKUP(Saldo[[#This Row],[ITEM]],#REF!,4,0)</f>
        <v>#REF!</v>
      </c>
    </row>
    <row r="432" spans="1:6" x14ac:dyDescent="0.25">
      <c r="A432" s="54">
        <v>33062065048</v>
      </c>
      <c r="B432" s="143" t="s">
        <v>1865</v>
      </c>
      <c r="C432" s="158">
        <v>8</v>
      </c>
      <c r="F432" s="175" t="e">
        <f>VLOOKUP(Saldo[[#This Row],[ITEM]],#REF!,4,0)</f>
        <v>#REF!</v>
      </c>
    </row>
    <row r="433" spans="1:6" x14ac:dyDescent="0.25">
      <c r="A433" s="54">
        <v>33062065049</v>
      </c>
      <c r="B433" s="143" t="s">
        <v>1863</v>
      </c>
      <c r="C433" s="158">
        <v>8</v>
      </c>
      <c r="F433" s="175" t="e">
        <f>VLOOKUP(Saldo[[#This Row],[ITEM]],#REF!,4,0)</f>
        <v>#REF!</v>
      </c>
    </row>
    <row r="434" spans="1:6" x14ac:dyDescent="0.25">
      <c r="A434" s="54">
        <v>33062065050</v>
      </c>
      <c r="B434" s="143" t="s">
        <v>1888</v>
      </c>
      <c r="C434" s="158">
        <v>3</v>
      </c>
      <c r="F434" s="175" t="e">
        <f>VLOOKUP(Saldo[[#This Row],[ITEM]],#REF!,4,0)</f>
        <v>#REF!</v>
      </c>
    </row>
    <row r="435" spans="1:6" x14ac:dyDescent="0.25">
      <c r="A435" s="54">
        <v>33062065051</v>
      </c>
      <c r="B435" s="143" t="s">
        <v>1890</v>
      </c>
      <c r="C435" s="158">
        <v>3</v>
      </c>
      <c r="F435" s="175" t="e">
        <f>VLOOKUP(Saldo[[#This Row],[ITEM]],#REF!,4,0)</f>
        <v>#REF!</v>
      </c>
    </row>
    <row r="436" spans="1:6" x14ac:dyDescent="0.25">
      <c r="A436" s="54">
        <v>33062065052</v>
      </c>
      <c r="B436" s="143" t="s">
        <v>388</v>
      </c>
      <c r="C436" s="158">
        <v>3</v>
      </c>
      <c r="F436" s="175" t="e">
        <f>VLOOKUP(Saldo[[#This Row],[ITEM]],#REF!,4,0)</f>
        <v>#REF!</v>
      </c>
    </row>
    <row r="437" spans="1:6" x14ac:dyDescent="0.25">
      <c r="A437" s="54">
        <v>33062065054</v>
      </c>
      <c r="B437" s="143" t="s">
        <v>1874</v>
      </c>
      <c r="C437" s="158">
        <v>3</v>
      </c>
      <c r="F437" s="175" t="e">
        <f>VLOOKUP(Saldo[[#This Row],[ITEM]],#REF!,4,0)</f>
        <v>#REF!</v>
      </c>
    </row>
    <row r="438" spans="1:6" x14ac:dyDescent="0.25">
      <c r="A438" s="54">
        <v>33062065055</v>
      </c>
      <c r="B438" s="143" t="s">
        <v>1876</v>
      </c>
      <c r="C438" s="158">
        <v>5</v>
      </c>
      <c r="F438" s="175" t="e">
        <f>VLOOKUP(Saldo[[#This Row],[ITEM]],#REF!,4,0)</f>
        <v>#REF!</v>
      </c>
    </row>
    <row r="439" spans="1:6" x14ac:dyDescent="0.25">
      <c r="A439" s="54">
        <v>33062065056</v>
      </c>
      <c r="B439" s="143" t="s">
        <v>389</v>
      </c>
      <c r="C439" s="158">
        <v>2</v>
      </c>
      <c r="F439" s="175" t="e">
        <f>VLOOKUP(Saldo[[#This Row],[ITEM]],#REF!,4,0)</f>
        <v>#REF!</v>
      </c>
    </row>
    <row r="440" spans="1:6" x14ac:dyDescent="0.25">
      <c r="A440" s="54">
        <v>33062065057</v>
      </c>
      <c r="B440" s="143" t="s">
        <v>390</v>
      </c>
      <c r="C440" s="158">
        <v>5</v>
      </c>
      <c r="F440" s="175" t="e">
        <f>VLOOKUP(Saldo[[#This Row],[ITEM]],#REF!,4,0)</f>
        <v>#REF!</v>
      </c>
    </row>
    <row r="441" spans="1:6" x14ac:dyDescent="0.25">
      <c r="A441" s="54">
        <v>33062065058</v>
      </c>
      <c r="B441" s="143" t="s">
        <v>1933</v>
      </c>
      <c r="C441" s="158">
        <v>5</v>
      </c>
      <c r="F441" s="175" t="e">
        <f>VLOOKUP(Saldo[[#This Row],[ITEM]],#REF!,4,0)</f>
        <v>#REF!</v>
      </c>
    </row>
    <row r="442" spans="1:6" x14ac:dyDescent="0.25">
      <c r="A442" s="54">
        <v>33062065059</v>
      </c>
      <c r="B442" s="143" t="s">
        <v>1940</v>
      </c>
      <c r="C442" s="158">
        <v>5</v>
      </c>
      <c r="F442" s="175" t="e">
        <f>VLOOKUP(Saldo[[#This Row],[ITEM]],#REF!,4,0)</f>
        <v>#REF!</v>
      </c>
    </row>
    <row r="443" spans="1:6" x14ac:dyDescent="0.25">
      <c r="A443" s="54">
        <v>33062065060</v>
      </c>
      <c r="B443" s="143" t="s">
        <v>1942</v>
      </c>
      <c r="C443" s="158">
        <v>5</v>
      </c>
      <c r="F443" s="175" t="e">
        <f>VLOOKUP(Saldo[[#This Row],[ITEM]],#REF!,4,0)</f>
        <v>#REF!</v>
      </c>
    </row>
    <row r="444" spans="1:6" x14ac:dyDescent="0.25">
      <c r="A444" s="54">
        <v>33062065061</v>
      </c>
      <c r="B444" s="143" t="s">
        <v>1936</v>
      </c>
      <c r="C444" s="158">
        <v>4</v>
      </c>
      <c r="F444" s="175" t="e">
        <f>VLOOKUP(Saldo[[#This Row],[ITEM]],#REF!,4,0)</f>
        <v>#REF!</v>
      </c>
    </row>
    <row r="445" spans="1:6" x14ac:dyDescent="0.25">
      <c r="A445" s="54">
        <v>33062065062</v>
      </c>
      <c r="B445" s="143" t="s">
        <v>1938</v>
      </c>
      <c r="C445" s="158">
        <v>2</v>
      </c>
      <c r="F445" s="175" t="e">
        <f>VLOOKUP(Saldo[[#This Row],[ITEM]],#REF!,4,0)</f>
        <v>#REF!</v>
      </c>
    </row>
    <row r="446" spans="1:6" x14ac:dyDescent="0.25">
      <c r="A446" s="54">
        <v>33062065064</v>
      </c>
      <c r="B446" s="143" t="s">
        <v>1946</v>
      </c>
      <c r="C446" s="158">
        <v>1</v>
      </c>
      <c r="F446" s="175" t="e">
        <f>VLOOKUP(Saldo[[#This Row],[ITEM]],#REF!,4,0)</f>
        <v>#REF!</v>
      </c>
    </row>
    <row r="447" spans="1:6" x14ac:dyDescent="0.25">
      <c r="A447" s="54">
        <v>33062065065</v>
      </c>
      <c r="B447" s="143" t="s">
        <v>1948</v>
      </c>
      <c r="C447" s="158">
        <v>1</v>
      </c>
      <c r="F447" s="175" t="e">
        <f>VLOOKUP(Saldo[[#This Row],[ITEM]],#REF!,4,0)</f>
        <v>#REF!</v>
      </c>
    </row>
    <row r="448" spans="1:6" x14ac:dyDescent="0.25">
      <c r="A448" s="54">
        <v>33062065066</v>
      </c>
      <c r="B448" s="143" t="s">
        <v>1950</v>
      </c>
      <c r="C448" s="158">
        <v>0</v>
      </c>
      <c r="F448" s="175" t="e">
        <f>VLOOKUP(Saldo[[#This Row],[ITEM]],#REF!,4,0)</f>
        <v>#REF!</v>
      </c>
    </row>
    <row r="449" spans="1:6" x14ac:dyDescent="0.25">
      <c r="A449" s="54">
        <v>33062065067</v>
      </c>
      <c r="B449" s="143" t="s">
        <v>1952</v>
      </c>
      <c r="C449" s="158">
        <v>1</v>
      </c>
      <c r="F449" s="175" t="e">
        <f>VLOOKUP(Saldo[[#This Row],[ITEM]],#REF!,4,0)</f>
        <v>#REF!</v>
      </c>
    </row>
    <row r="450" spans="1:6" x14ac:dyDescent="0.25">
      <c r="A450" s="54">
        <v>33062065068</v>
      </c>
      <c r="B450" s="143" t="s">
        <v>1960</v>
      </c>
      <c r="C450" s="158">
        <v>4</v>
      </c>
      <c r="F450" s="175" t="e">
        <f>VLOOKUP(Saldo[[#This Row],[ITEM]],#REF!,4,0)</f>
        <v>#REF!</v>
      </c>
    </row>
    <row r="451" spans="1:6" x14ac:dyDescent="0.25">
      <c r="A451" s="54">
        <v>33062065069</v>
      </c>
      <c r="B451" s="143" t="s">
        <v>1944</v>
      </c>
      <c r="C451" s="158">
        <v>4</v>
      </c>
      <c r="F451" s="175" t="e">
        <f>VLOOKUP(Saldo[[#This Row],[ITEM]],#REF!,4,0)</f>
        <v>#REF!</v>
      </c>
    </row>
    <row r="452" spans="1:6" x14ac:dyDescent="0.25">
      <c r="A452" s="54">
        <v>33062065070</v>
      </c>
      <c r="B452" s="143" t="s">
        <v>1928</v>
      </c>
      <c r="C452" s="158">
        <v>4</v>
      </c>
      <c r="F452" s="175" t="e">
        <f>VLOOKUP(Saldo[[#This Row],[ITEM]],#REF!,4,0)</f>
        <v>#REF!</v>
      </c>
    </row>
    <row r="453" spans="1:6" x14ac:dyDescent="0.25">
      <c r="A453" s="54">
        <v>33062065071</v>
      </c>
      <c r="B453" s="143" t="s">
        <v>1956</v>
      </c>
      <c r="C453" s="158">
        <v>4</v>
      </c>
      <c r="F453" s="175" t="e">
        <f>VLOOKUP(Saldo[[#This Row],[ITEM]],#REF!,4,0)</f>
        <v>#REF!</v>
      </c>
    </row>
    <row r="454" spans="1:6" x14ac:dyDescent="0.25">
      <c r="A454" s="54">
        <v>33062065072</v>
      </c>
      <c r="B454" s="143" t="s">
        <v>1930</v>
      </c>
      <c r="C454" s="158">
        <v>4</v>
      </c>
      <c r="F454" s="175" t="e">
        <f>VLOOKUP(Saldo[[#This Row],[ITEM]],#REF!,4,0)</f>
        <v>#REF!</v>
      </c>
    </row>
    <row r="455" spans="1:6" x14ac:dyDescent="0.25">
      <c r="A455" s="54">
        <v>33062065073</v>
      </c>
      <c r="B455" s="143" t="s">
        <v>1958</v>
      </c>
      <c r="C455" s="158">
        <v>4</v>
      </c>
      <c r="F455" s="175" t="e">
        <f>VLOOKUP(Saldo[[#This Row],[ITEM]],#REF!,4,0)</f>
        <v>#REF!</v>
      </c>
    </row>
    <row r="456" spans="1:6" x14ac:dyDescent="0.25">
      <c r="A456" s="54">
        <v>33062065085</v>
      </c>
      <c r="B456" s="143" t="s">
        <v>2917</v>
      </c>
      <c r="C456" s="158">
        <v>9</v>
      </c>
      <c r="F456" s="175" t="e">
        <f>VLOOKUP(Saldo[[#This Row],[ITEM]],#REF!,4,0)</f>
        <v>#REF!</v>
      </c>
    </row>
    <row r="457" spans="1:6" x14ac:dyDescent="0.25">
      <c r="A457" s="54">
        <v>33062065086</v>
      </c>
      <c r="B457" s="143" t="s">
        <v>2918</v>
      </c>
      <c r="C457" s="158">
        <v>9</v>
      </c>
      <c r="F457" s="175" t="e">
        <f>VLOOKUP(Saldo[[#This Row],[ITEM]],#REF!,4,0)</f>
        <v>#REF!</v>
      </c>
    </row>
    <row r="458" spans="1:6" x14ac:dyDescent="0.25">
      <c r="A458" s="54">
        <v>33062065087</v>
      </c>
      <c r="B458" s="143" t="s">
        <v>2919</v>
      </c>
      <c r="C458" s="158">
        <v>9</v>
      </c>
      <c r="F458" s="175" t="e">
        <f>VLOOKUP(Saldo[[#This Row],[ITEM]],#REF!,4,0)</f>
        <v>#REF!</v>
      </c>
    </row>
    <row r="459" spans="1:6" x14ac:dyDescent="0.25">
      <c r="A459" s="54">
        <v>33062065088</v>
      </c>
      <c r="B459" s="143" t="s">
        <v>2920</v>
      </c>
      <c r="C459" s="158">
        <v>6</v>
      </c>
      <c r="F459" s="175" t="e">
        <f>VLOOKUP(Saldo[[#This Row],[ITEM]],#REF!,4,0)</f>
        <v>#REF!</v>
      </c>
    </row>
    <row r="460" spans="1:6" x14ac:dyDescent="0.25">
      <c r="A460" s="54">
        <v>33062065089</v>
      </c>
      <c r="B460" s="143" t="s">
        <v>2842</v>
      </c>
      <c r="C460" s="158">
        <v>6</v>
      </c>
      <c r="F460" s="175" t="e">
        <f>VLOOKUP(Saldo[[#This Row],[ITEM]],#REF!,4,0)</f>
        <v>#REF!</v>
      </c>
    </row>
    <row r="461" spans="1:6" x14ac:dyDescent="0.25">
      <c r="A461" s="54">
        <v>33062065090</v>
      </c>
      <c r="B461" s="143" t="s">
        <v>2921</v>
      </c>
      <c r="C461" s="158">
        <v>6</v>
      </c>
      <c r="F461" s="175" t="e">
        <f>VLOOKUP(Saldo[[#This Row],[ITEM]],#REF!,4,0)</f>
        <v>#REF!</v>
      </c>
    </row>
    <row r="462" spans="1:6" x14ac:dyDescent="0.25">
      <c r="A462" s="54">
        <v>33062065103</v>
      </c>
      <c r="B462" s="143" t="s">
        <v>2922</v>
      </c>
      <c r="C462" s="158">
        <v>5</v>
      </c>
      <c r="F462" s="175" t="e">
        <f>VLOOKUP(Saldo[[#This Row],[ITEM]],#REF!,4,0)</f>
        <v>#REF!</v>
      </c>
    </row>
    <row r="463" spans="1:6" x14ac:dyDescent="0.25">
      <c r="A463" s="54">
        <v>33062065159</v>
      </c>
      <c r="B463" s="143" t="s">
        <v>2923</v>
      </c>
      <c r="C463" s="158">
        <v>4</v>
      </c>
      <c r="F463" s="175" t="e">
        <f>VLOOKUP(Saldo[[#This Row],[ITEM]],#REF!,4,0)</f>
        <v>#REF!</v>
      </c>
    </row>
    <row r="464" spans="1:6" x14ac:dyDescent="0.25">
      <c r="A464" s="54">
        <v>33062065160</v>
      </c>
      <c r="B464" s="143" t="s">
        <v>2924</v>
      </c>
      <c r="C464" s="158">
        <v>5</v>
      </c>
      <c r="F464" s="175" t="e">
        <f>VLOOKUP(Saldo[[#This Row],[ITEM]],#REF!,4,0)</f>
        <v>#REF!</v>
      </c>
    </row>
    <row r="465" spans="1:6" x14ac:dyDescent="0.25">
      <c r="A465" s="54">
        <v>33062065161</v>
      </c>
      <c r="B465" s="143" t="s">
        <v>2843</v>
      </c>
      <c r="C465" s="158">
        <v>3</v>
      </c>
      <c r="F465" s="175" t="e">
        <f>VLOOKUP(Saldo[[#This Row],[ITEM]],#REF!,4,0)</f>
        <v>#REF!</v>
      </c>
    </row>
    <row r="466" spans="1:6" x14ac:dyDescent="0.25">
      <c r="A466" s="54">
        <v>33062065163</v>
      </c>
      <c r="B466" s="143" t="s">
        <v>2844</v>
      </c>
      <c r="C466" s="158">
        <v>6</v>
      </c>
      <c r="F466" s="175" t="e">
        <f>VLOOKUP(Saldo[[#This Row],[ITEM]],#REF!,4,0)</f>
        <v>#REF!</v>
      </c>
    </row>
    <row r="467" spans="1:6" x14ac:dyDescent="0.25">
      <c r="A467" s="54">
        <v>33062065164</v>
      </c>
      <c r="B467" s="143" t="s">
        <v>2845</v>
      </c>
      <c r="C467" s="158">
        <v>6</v>
      </c>
      <c r="F467" s="175" t="e">
        <f>VLOOKUP(Saldo[[#This Row],[ITEM]],#REF!,4,0)</f>
        <v>#REF!</v>
      </c>
    </row>
    <row r="468" spans="1:6" x14ac:dyDescent="0.25">
      <c r="A468" s="54">
        <v>33062065165</v>
      </c>
      <c r="B468" s="143" t="s">
        <v>2846</v>
      </c>
      <c r="C468" s="158">
        <v>3</v>
      </c>
      <c r="F468" s="175" t="e">
        <f>VLOOKUP(Saldo[[#This Row],[ITEM]],#REF!,4,0)</f>
        <v>#REF!</v>
      </c>
    </row>
    <row r="469" spans="1:6" x14ac:dyDescent="0.25">
      <c r="A469" s="54">
        <v>33062065166</v>
      </c>
      <c r="B469" s="143" t="s">
        <v>2847</v>
      </c>
      <c r="C469" s="158">
        <v>3</v>
      </c>
      <c r="F469" s="175" t="e">
        <f>VLOOKUP(Saldo[[#This Row],[ITEM]],#REF!,4,0)</f>
        <v>#REF!</v>
      </c>
    </row>
    <row r="470" spans="1:6" x14ac:dyDescent="0.25">
      <c r="A470" s="54">
        <v>33062065253</v>
      </c>
      <c r="B470" s="143" t="s">
        <v>3036</v>
      </c>
      <c r="C470" s="158">
        <v>5</v>
      </c>
      <c r="F470" s="175" t="e">
        <f>VLOOKUP(Saldo[[#This Row],[ITEM]],#REF!,4,0)</f>
        <v>#REF!</v>
      </c>
    </row>
    <row r="471" spans="1:6" x14ac:dyDescent="0.25">
      <c r="A471" s="54">
        <v>33062065315</v>
      </c>
      <c r="B471" s="143" t="s">
        <v>3068</v>
      </c>
      <c r="C471" s="158">
        <v>0</v>
      </c>
      <c r="F471" s="175" t="e">
        <f>VLOOKUP(Saldo[[#This Row],[ITEM]],#REF!,4,0)</f>
        <v>#REF!</v>
      </c>
    </row>
    <row r="472" spans="1:6" x14ac:dyDescent="0.25">
      <c r="A472" s="54">
        <v>33062065316</v>
      </c>
      <c r="B472" s="143" t="s">
        <v>3069</v>
      </c>
      <c r="C472" s="158">
        <v>0</v>
      </c>
      <c r="F472" s="175" t="e">
        <f>VLOOKUP(Saldo[[#This Row],[ITEM]],#REF!,4,0)</f>
        <v>#REF!</v>
      </c>
    </row>
    <row r="473" spans="1:6" x14ac:dyDescent="0.25">
      <c r="A473" s="54">
        <v>33062065317</v>
      </c>
      <c r="B473" s="143" t="s">
        <v>3070</v>
      </c>
      <c r="C473" s="158">
        <v>3</v>
      </c>
      <c r="F473" s="175" t="e">
        <f>VLOOKUP(Saldo[[#This Row],[ITEM]],#REF!,4,0)</f>
        <v>#REF!</v>
      </c>
    </row>
    <row r="474" spans="1:6" x14ac:dyDescent="0.25">
      <c r="A474" s="54">
        <v>33062065318</v>
      </c>
      <c r="B474" s="143" t="s">
        <v>3071</v>
      </c>
      <c r="C474" s="158">
        <v>3</v>
      </c>
      <c r="F474" s="175" t="e">
        <f>VLOOKUP(Saldo[[#This Row],[ITEM]],#REF!,4,0)</f>
        <v>#REF!</v>
      </c>
    </row>
    <row r="475" spans="1:6" x14ac:dyDescent="0.25">
      <c r="A475" s="54">
        <v>33062162828</v>
      </c>
      <c r="B475" s="143" t="s">
        <v>391</v>
      </c>
      <c r="C475" s="158">
        <v>204</v>
      </c>
      <c r="F475" s="175" t="e">
        <f>VLOOKUP(Saldo[[#This Row],[ITEM]],#REF!,4,0)</f>
        <v>#REF!</v>
      </c>
    </row>
    <row r="476" spans="1:6" x14ac:dyDescent="0.25">
      <c r="A476" s="54">
        <v>33062162829</v>
      </c>
      <c r="B476" s="143" t="s">
        <v>392</v>
      </c>
      <c r="C476" s="158">
        <v>237</v>
      </c>
      <c r="F476" s="175" t="e">
        <f>VLOOKUP(Saldo[[#This Row],[ITEM]],#REF!,4,0)</f>
        <v>#REF!</v>
      </c>
    </row>
    <row r="477" spans="1:6" x14ac:dyDescent="0.25">
      <c r="A477" s="54">
        <v>33062162830</v>
      </c>
      <c r="B477" s="143" t="s">
        <v>393</v>
      </c>
      <c r="C477" s="158">
        <v>37</v>
      </c>
      <c r="F477" s="175" t="e">
        <f>VLOOKUP(Saldo[[#This Row],[ITEM]],#REF!,4,0)</f>
        <v>#REF!</v>
      </c>
    </row>
    <row r="478" spans="1:6" x14ac:dyDescent="0.25">
      <c r="A478" s="54">
        <v>33062162831</v>
      </c>
      <c r="B478" s="143" t="s">
        <v>394</v>
      </c>
      <c r="C478" s="158">
        <v>54</v>
      </c>
      <c r="F478" s="175" t="e">
        <f>VLOOKUP(Saldo[[#This Row],[ITEM]],#REF!,4,0)</f>
        <v>#REF!</v>
      </c>
    </row>
    <row r="479" spans="1:6" x14ac:dyDescent="0.25">
      <c r="A479" s="54">
        <v>33062262832</v>
      </c>
      <c r="B479" s="143" t="s">
        <v>395</v>
      </c>
      <c r="C479" s="158">
        <v>46</v>
      </c>
      <c r="F479" s="175" t="e">
        <f>VLOOKUP(Saldo[[#This Row],[ITEM]],#REF!,4,0)</f>
        <v>#REF!</v>
      </c>
    </row>
    <row r="480" spans="1:6" x14ac:dyDescent="0.25">
      <c r="A480" s="54">
        <v>33062262833</v>
      </c>
      <c r="B480" s="143" t="s">
        <v>2925</v>
      </c>
      <c r="C480" s="158">
        <v>27</v>
      </c>
      <c r="F480" s="175" t="e">
        <f>VLOOKUP(Saldo[[#This Row],[ITEM]],#REF!,4,0)</f>
        <v>#REF!</v>
      </c>
    </row>
    <row r="481" spans="1:6" x14ac:dyDescent="0.25">
      <c r="A481" s="54">
        <v>33062262834</v>
      </c>
      <c r="B481" s="143" t="s">
        <v>2926</v>
      </c>
      <c r="C481" s="158">
        <v>0</v>
      </c>
      <c r="F481" s="175" t="e">
        <f>VLOOKUP(Saldo[[#This Row],[ITEM]],#REF!,4,0)</f>
        <v>#REF!</v>
      </c>
    </row>
    <row r="482" spans="1:6" x14ac:dyDescent="0.25">
      <c r="A482" s="54">
        <v>33062262835</v>
      </c>
      <c r="B482" s="143" t="s">
        <v>2927</v>
      </c>
      <c r="C482" s="158">
        <v>28</v>
      </c>
      <c r="F482" s="175" t="e">
        <f>VLOOKUP(Saldo[[#This Row],[ITEM]],#REF!,4,0)</f>
        <v>#REF!</v>
      </c>
    </row>
    <row r="483" spans="1:6" x14ac:dyDescent="0.25">
      <c r="A483" s="54">
        <v>33062262836</v>
      </c>
      <c r="B483" s="143" t="s">
        <v>2928</v>
      </c>
      <c r="C483" s="158">
        <v>17</v>
      </c>
      <c r="F483" s="175" t="e">
        <f>VLOOKUP(Saldo[[#This Row],[ITEM]],#REF!,4,0)</f>
        <v>#REF!</v>
      </c>
    </row>
    <row r="484" spans="1:6" x14ac:dyDescent="0.25">
      <c r="A484" s="54">
        <v>33062362837</v>
      </c>
      <c r="B484" s="143" t="s">
        <v>396</v>
      </c>
      <c r="C484" s="158">
        <v>20</v>
      </c>
      <c r="F484" s="175" t="e">
        <f>VLOOKUP(Saldo[[#This Row],[ITEM]],#REF!,4,0)</f>
        <v>#REF!</v>
      </c>
    </row>
    <row r="485" spans="1:6" x14ac:dyDescent="0.25">
      <c r="A485" s="54">
        <v>33062362838</v>
      </c>
      <c r="B485" s="143" t="s">
        <v>397</v>
      </c>
      <c r="C485" s="158">
        <v>2</v>
      </c>
      <c r="F485" s="175" t="e">
        <f>VLOOKUP(Saldo[[#This Row],[ITEM]],#REF!,4,0)</f>
        <v>#REF!</v>
      </c>
    </row>
    <row r="486" spans="1:6" x14ac:dyDescent="0.25">
      <c r="A486" s="54">
        <v>33062362839</v>
      </c>
      <c r="B486" s="143" t="s">
        <v>398</v>
      </c>
      <c r="C486" s="158">
        <v>200</v>
      </c>
      <c r="F486" s="175" t="e">
        <f>VLOOKUP(Saldo[[#This Row],[ITEM]],#REF!,4,0)</f>
        <v>#REF!</v>
      </c>
    </row>
    <row r="487" spans="1:6" x14ac:dyDescent="0.25">
      <c r="A487" s="54">
        <v>33062362840</v>
      </c>
      <c r="B487" s="143" t="s">
        <v>399</v>
      </c>
      <c r="C487" s="158">
        <v>0</v>
      </c>
      <c r="F487" s="175" t="e">
        <f>VLOOKUP(Saldo[[#This Row],[ITEM]],#REF!,4,0)</f>
        <v>#REF!</v>
      </c>
    </row>
    <row r="488" spans="1:6" x14ac:dyDescent="0.25">
      <c r="A488" s="54">
        <v>33062362845</v>
      </c>
      <c r="B488" s="143" t="s">
        <v>2929</v>
      </c>
      <c r="C488" s="158">
        <v>0</v>
      </c>
      <c r="F488" s="175" t="e">
        <f>VLOOKUP(Saldo[[#This Row],[ITEM]],#REF!,4,0)</f>
        <v>#REF!</v>
      </c>
    </row>
    <row r="489" spans="1:6" x14ac:dyDescent="0.25">
      <c r="A489" s="54">
        <v>33062362846</v>
      </c>
      <c r="B489" s="143" t="s">
        <v>400</v>
      </c>
      <c r="C489" s="158">
        <v>55</v>
      </c>
      <c r="F489" s="175" t="e">
        <f>VLOOKUP(Saldo[[#This Row],[ITEM]],#REF!,4,0)</f>
        <v>#REF!</v>
      </c>
    </row>
    <row r="490" spans="1:6" x14ac:dyDescent="0.25">
      <c r="A490" s="54">
        <v>33062364495</v>
      </c>
      <c r="B490" s="143" t="s">
        <v>401</v>
      </c>
      <c r="C490" s="158">
        <v>197</v>
      </c>
      <c r="F490" s="175" t="e">
        <f>VLOOKUP(Saldo[[#This Row],[ITEM]],#REF!,4,0)</f>
        <v>#REF!</v>
      </c>
    </row>
    <row r="491" spans="1:6" x14ac:dyDescent="0.25">
      <c r="A491" s="54">
        <v>33062364496</v>
      </c>
      <c r="B491" s="143" t="s">
        <v>402</v>
      </c>
      <c r="C491" s="158">
        <v>92</v>
      </c>
      <c r="F491" s="175" t="e">
        <f>VLOOKUP(Saldo[[#This Row],[ITEM]],#REF!,4,0)</f>
        <v>#REF!</v>
      </c>
    </row>
    <row r="492" spans="1:6" x14ac:dyDescent="0.25">
      <c r="A492" s="54">
        <v>33062364497</v>
      </c>
      <c r="B492" s="143" t="s">
        <v>403</v>
      </c>
      <c r="C492" s="158">
        <v>98</v>
      </c>
      <c r="F492" s="175" t="e">
        <f>VLOOKUP(Saldo[[#This Row],[ITEM]],#REF!,4,0)</f>
        <v>#REF!</v>
      </c>
    </row>
    <row r="493" spans="1:6" x14ac:dyDescent="0.25">
      <c r="A493" s="54">
        <v>33062364498</v>
      </c>
      <c r="B493" s="143" t="s">
        <v>404</v>
      </c>
      <c r="C493" s="158">
        <v>89</v>
      </c>
      <c r="F493" s="175" t="e">
        <f>VLOOKUP(Saldo[[#This Row],[ITEM]],#REF!,4,0)</f>
        <v>#REF!</v>
      </c>
    </row>
    <row r="494" spans="1:6" x14ac:dyDescent="0.25">
      <c r="A494" s="54">
        <v>33062364499</v>
      </c>
      <c r="B494" s="143" t="s">
        <v>405</v>
      </c>
      <c r="C494" s="158">
        <v>93</v>
      </c>
      <c r="F494" s="175" t="e">
        <f>VLOOKUP(Saldo[[#This Row],[ITEM]],#REF!,4,0)</f>
        <v>#REF!</v>
      </c>
    </row>
    <row r="495" spans="1:6" x14ac:dyDescent="0.25">
      <c r="A495" s="54">
        <v>33062364500</v>
      </c>
      <c r="B495" s="143" t="s">
        <v>406</v>
      </c>
      <c r="C495" s="158">
        <v>91</v>
      </c>
      <c r="F495" s="175" t="e">
        <f>VLOOKUP(Saldo[[#This Row],[ITEM]],#REF!,4,0)</f>
        <v>#REF!</v>
      </c>
    </row>
    <row r="496" spans="1:6" x14ac:dyDescent="0.25">
      <c r="A496" s="54">
        <v>33062562841</v>
      </c>
      <c r="B496" s="143" t="s">
        <v>2930</v>
      </c>
      <c r="C496" s="158">
        <v>78</v>
      </c>
      <c r="F496" s="175" t="e">
        <f>VLOOKUP(Saldo[[#This Row],[ITEM]],#REF!,4,0)</f>
        <v>#REF!</v>
      </c>
    </row>
    <row r="497" spans="1:6" x14ac:dyDescent="0.25">
      <c r="A497" s="54">
        <v>33062562842</v>
      </c>
      <c r="B497" s="143" t="s">
        <v>2931</v>
      </c>
      <c r="C497" s="158">
        <v>78</v>
      </c>
      <c r="F497" s="175" t="e">
        <f>VLOOKUP(Saldo[[#This Row],[ITEM]],#REF!,4,0)</f>
        <v>#REF!</v>
      </c>
    </row>
    <row r="498" spans="1:6" x14ac:dyDescent="0.25">
      <c r="A498" s="54">
        <v>33062562843</v>
      </c>
      <c r="B498" s="143" t="s">
        <v>407</v>
      </c>
      <c r="C498" s="158">
        <v>78</v>
      </c>
      <c r="F498" s="175" t="e">
        <f>VLOOKUP(Saldo[[#This Row],[ITEM]],#REF!,4,0)</f>
        <v>#REF!</v>
      </c>
    </row>
    <row r="499" spans="1:6" x14ac:dyDescent="0.25">
      <c r="A499" s="54">
        <v>33062562844</v>
      </c>
      <c r="B499" s="143" t="s">
        <v>408</v>
      </c>
      <c r="C499" s="158">
        <v>80</v>
      </c>
      <c r="F499" s="175" t="e">
        <f>VLOOKUP(Saldo[[#This Row],[ITEM]],#REF!,4,0)</f>
        <v>#REF!</v>
      </c>
    </row>
    <row r="500" spans="1:6" x14ac:dyDescent="0.25">
      <c r="A500" s="54">
        <v>33062562847</v>
      </c>
      <c r="B500" s="143" t="s">
        <v>2932</v>
      </c>
      <c r="C500" s="158">
        <v>48</v>
      </c>
      <c r="F500" s="175" t="e">
        <f>VLOOKUP(Saldo[[#This Row],[ITEM]],#REF!,4,0)</f>
        <v>#REF!</v>
      </c>
    </row>
    <row r="501" spans="1:6" x14ac:dyDescent="0.25">
      <c r="A501" s="54">
        <v>33062562848</v>
      </c>
      <c r="B501" s="143" t="s">
        <v>2933</v>
      </c>
      <c r="C501" s="158">
        <v>98</v>
      </c>
      <c r="F501" s="175" t="e">
        <f>VLOOKUP(Saldo[[#This Row],[ITEM]],#REF!,4,0)</f>
        <v>#REF!</v>
      </c>
    </row>
    <row r="502" spans="1:6" x14ac:dyDescent="0.25">
      <c r="A502" s="54">
        <v>33062562849</v>
      </c>
      <c r="B502" s="143" t="s">
        <v>2934</v>
      </c>
      <c r="C502" s="158">
        <v>87</v>
      </c>
      <c r="F502" s="175" t="e">
        <f>VLOOKUP(Saldo[[#This Row],[ITEM]],#REF!,4,0)</f>
        <v>#REF!</v>
      </c>
    </row>
    <row r="503" spans="1:6" x14ac:dyDescent="0.25">
      <c r="A503" s="54">
        <v>33062562850</v>
      </c>
      <c r="B503" s="143" t="s">
        <v>2935</v>
      </c>
      <c r="C503" s="158">
        <v>97</v>
      </c>
      <c r="F503" s="175" t="e">
        <f>VLOOKUP(Saldo[[#This Row],[ITEM]],#REF!,4,0)</f>
        <v>#REF!</v>
      </c>
    </row>
    <row r="504" spans="1:6" x14ac:dyDescent="0.25">
      <c r="A504" s="54">
        <v>33062562851</v>
      </c>
      <c r="B504" s="143" t="s">
        <v>2936</v>
      </c>
      <c r="C504" s="158">
        <v>98</v>
      </c>
      <c r="F504" s="175" t="e">
        <f>VLOOKUP(Saldo[[#This Row],[ITEM]],#REF!,4,0)</f>
        <v>#REF!</v>
      </c>
    </row>
    <row r="505" spans="1:6" x14ac:dyDescent="0.25">
      <c r="A505" s="54">
        <v>33062562852</v>
      </c>
      <c r="B505" s="143" t="s">
        <v>2937</v>
      </c>
      <c r="C505" s="158">
        <v>84</v>
      </c>
      <c r="F505" s="175" t="e">
        <f>VLOOKUP(Saldo[[#This Row],[ITEM]],#REF!,4,0)</f>
        <v>#REF!</v>
      </c>
    </row>
    <row r="506" spans="1:6" x14ac:dyDescent="0.25">
      <c r="A506" s="54">
        <v>33062562853</v>
      </c>
      <c r="B506" s="143" t="s">
        <v>2938</v>
      </c>
      <c r="C506" s="158">
        <v>173</v>
      </c>
      <c r="F506" s="175" t="e">
        <f>VLOOKUP(Saldo[[#This Row],[ITEM]],#REF!,4,0)</f>
        <v>#REF!</v>
      </c>
    </row>
    <row r="507" spans="1:6" x14ac:dyDescent="0.25">
      <c r="A507" s="54">
        <v>33062562854</v>
      </c>
      <c r="B507" s="143" t="s">
        <v>2939</v>
      </c>
      <c r="C507" s="158">
        <v>174</v>
      </c>
      <c r="F507" s="175" t="e">
        <f>VLOOKUP(Saldo[[#This Row],[ITEM]],#REF!,4,0)</f>
        <v>#REF!</v>
      </c>
    </row>
    <row r="508" spans="1:6" x14ac:dyDescent="0.25">
      <c r="A508" s="54">
        <v>33062562855</v>
      </c>
      <c r="B508" s="143" t="s">
        <v>2940</v>
      </c>
      <c r="C508" s="158">
        <v>2</v>
      </c>
      <c r="F508" s="175" t="e">
        <f>VLOOKUP(Saldo[[#This Row],[ITEM]],#REF!,4,0)</f>
        <v>#REF!</v>
      </c>
    </row>
    <row r="509" spans="1:6" x14ac:dyDescent="0.25">
      <c r="A509" s="54">
        <v>33062562856</v>
      </c>
      <c r="B509" s="143" t="s">
        <v>2941</v>
      </c>
      <c r="C509" s="158">
        <v>119</v>
      </c>
      <c r="F509" s="175" t="e">
        <f>VLOOKUP(Saldo[[#This Row],[ITEM]],#REF!,4,0)</f>
        <v>#REF!</v>
      </c>
    </row>
    <row r="510" spans="1:6" x14ac:dyDescent="0.25">
      <c r="A510" s="54">
        <v>33062562857</v>
      </c>
      <c r="B510" s="143" t="s">
        <v>2942</v>
      </c>
      <c r="C510" s="158">
        <v>7</v>
      </c>
      <c r="F510" s="175" t="e">
        <f>VLOOKUP(Saldo[[#This Row],[ITEM]],#REF!,4,0)</f>
        <v>#REF!</v>
      </c>
    </row>
    <row r="511" spans="1:6" x14ac:dyDescent="0.25">
      <c r="A511" s="54">
        <v>33062562858</v>
      </c>
      <c r="B511" s="143" t="s">
        <v>2943</v>
      </c>
      <c r="C511" s="158">
        <v>110</v>
      </c>
      <c r="F511" s="175" t="e">
        <f>VLOOKUP(Saldo[[#This Row],[ITEM]],#REF!,4,0)</f>
        <v>#REF!</v>
      </c>
    </row>
    <row r="512" spans="1:6" x14ac:dyDescent="0.25">
      <c r="A512" s="54">
        <v>33062562859</v>
      </c>
      <c r="B512" s="143" t="s">
        <v>2944</v>
      </c>
      <c r="C512" s="158">
        <v>0</v>
      </c>
      <c r="F512" s="175" t="e">
        <f>VLOOKUP(Saldo[[#This Row],[ITEM]],#REF!,4,0)</f>
        <v>#REF!</v>
      </c>
    </row>
    <row r="513" spans="1:6" x14ac:dyDescent="0.25">
      <c r="A513" s="54">
        <v>33062562860</v>
      </c>
      <c r="B513" s="143" t="s">
        <v>2945</v>
      </c>
      <c r="C513" s="158">
        <v>82</v>
      </c>
      <c r="F513" s="175" t="e">
        <f>VLOOKUP(Saldo[[#This Row],[ITEM]],#REF!,4,0)</f>
        <v>#REF!</v>
      </c>
    </row>
    <row r="514" spans="1:6" x14ac:dyDescent="0.25">
      <c r="A514" s="54">
        <v>33062562861</v>
      </c>
      <c r="B514" s="143" t="s">
        <v>2946</v>
      </c>
      <c r="C514" s="158">
        <v>64</v>
      </c>
      <c r="F514" s="175" t="e">
        <f>VLOOKUP(Saldo[[#This Row],[ITEM]],#REF!,4,0)</f>
        <v>#REF!</v>
      </c>
    </row>
    <row r="515" spans="1:6" x14ac:dyDescent="0.25">
      <c r="A515" s="54">
        <v>33062562862</v>
      </c>
      <c r="B515" s="143" t="s">
        <v>2947</v>
      </c>
      <c r="C515" s="158">
        <v>56</v>
      </c>
      <c r="F515" s="175" t="e">
        <f>VLOOKUP(Saldo[[#This Row],[ITEM]],#REF!,4,0)</f>
        <v>#REF!</v>
      </c>
    </row>
    <row r="516" spans="1:6" x14ac:dyDescent="0.25">
      <c r="A516" s="54">
        <v>33062562863</v>
      </c>
      <c r="B516" s="143" t="s">
        <v>2948</v>
      </c>
      <c r="C516" s="158">
        <v>65</v>
      </c>
      <c r="F516" s="175" t="e">
        <f>VLOOKUP(Saldo[[#This Row],[ITEM]],#REF!,4,0)</f>
        <v>#REF!</v>
      </c>
    </row>
    <row r="517" spans="1:6" x14ac:dyDescent="0.25">
      <c r="A517" s="54">
        <v>33062562864</v>
      </c>
      <c r="B517" s="143" t="s">
        <v>2949</v>
      </c>
      <c r="C517" s="158">
        <v>65</v>
      </c>
      <c r="F517" s="175" t="e">
        <f>VLOOKUP(Saldo[[#This Row],[ITEM]],#REF!,4,0)</f>
        <v>#REF!</v>
      </c>
    </row>
    <row r="518" spans="1:6" x14ac:dyDescent="0.25">
      <c r="A518" s="54">
        <v>33062562865</v>
      </c>
      <c r="B518" s="143" t="s">
        <v>2950</v>
      </c>
      <c r="C518" s="158">
        <v>56</v>
      </c>
      <c r="F518" s="175" t="e">
        <f>VLOOKUP(Saldo[[#This Row],[ITEM]],#REF!,4,0)</f>
        <v>#REF!</v>
      </c>
    </row>
    <row r="519" spans="1:6" x14ac:dyDescent="0.25">
      <c r="A519" s="54">
        <v>33062562866</v>
      </c>
      <c r="B519" s="143" t="s">
        <v>2951</v>
      </c>
      <c r="C519" s="158">
        <v>50</v>
      </c>
      <c r="F519" s="175" t="e">
        <f>VLOOKUP(Saldo[[#This Row],[ITEM]],#REF!,4,0)</f>
        <v>#REF!</v>
      </c>
    </row>
    <row r="520" spans="1:6" x14ac:dyDescent="0.25">
      <c r="A520" s="54">
        <v>33062562867</v>
      </c>
      <c r="B520" s="143" t="s">
        <v>2952</v>
      </c>
      <c r="C520" s="158">
        <v>57</v>
      </c>
      <c r="F520" s="175" t="e">
        <f>VLOOKUP(Saldo[[#This Row],[ITEM]],#REF!,4,0)</f>
        <v>#REF!</v>
      </c>
    </row>
    <row r="521" spans="1:6" x14ac:dyDescent="0.25">
      <c r="A521" s="54">
        <v>33062562868</v>
      </c>
      <c r="B521" s="143" t="s">
        <v>2953</v>
      </c>
      <c r="C521" s="158">
        <v>49</v>
      </c>
      <c r="F521" s="175" t="e">
        <f>VLOOKUP(Saldo[[#This Row],[ITEM]],#REF!,4,0)</f>
        <v>#REF!</v>
      </c>
    </row>
    <row r="522" spans="1:6" x14ac:dyDescent="0.25">
      <c r="A522" s="54">
        <v>33062562869</v>
      </c>
      <c r="B522" s="143" t="s">
        <v>2954</v>
      </c>
      <c r="C522" s="158">
        <v>38</v>
      </c>
      <c r="F522" s="175" t="e">
        <f>VLOOKUP(Saldo[[#This Row],[ITEM]],#REF!,4,0)</f>
        <v>#REF!</v>
      </c>
    </row>
    <row r="523" spans="1:6" x14ac:dyDescent="0.25">
      <c r="A523" s="54">
        <v>33062562870</v>
      </c>
      <c r="B523" s="143" t="s">
        <v>2955</v>
      </c>
      <c r="C523" s="158">
        <v>32</v>
      </c>
      <c r="F523" s="175" t="e">
        <f>VLOOKUP(Saldo[[#This Row],[ITEM]],#REF!,4,0)</f>
        <v>#REF!</v>
      </c>
    </row>
    <row r="524" spans="1:6" x14ac:dyDescent="0.25">
      <c r="A524" s="54">
        <v>33062562871</v>
      </c>
      <c r="B524" s="143" t="s">
        <v>2956</v>
      </c>
      <c r="C524" s="158">
        <v>33</v>
      </c>
      <c r="F524" s="175" t="e">
        <f>VLOOKUP(Saldo[[#This Row],[ITEM]],#REF!,4,0)</f>
        <v>#REF!</v>
      </c>
    </row>
    <row r="525" spans="1:6" x14ac:dyDescent="0.25">
      <c r="A525" s="54">
        <v>33062562872</v>
      </c>
      <c r="B525" s="143" t="s">
        <v>2957</v>
      </c>
      <c r="C525" s="158">
        <v>37</v>
      </c>
      <c r="F525" s="175" t="e">
        <f>VLOOKUP(Saldo[[#This Row],[ITEM]],#REF!,4,0)</f>
        <v>#REF!</v>
      </c>
    </row>
    <row r="526" spans="1:6" x14ac:dyDescent="0.25">
      <c r="A526" s="54">
        <v>33062562873</v>
      </c>
      <c r="B526" s="143" t="s">
        <v>2958</v>
      </c>
      <c r="C526" s="158">
        <v>36</v>
      </c>
      <c r="F526" s="175" t="e">
        <f>VLOOKUP(Saldo[[#This Row],[ITEM]],#REF!,4,0)</f>
        <v>#REF!</v>
      </c>
    </row>
    <row r="527" spans="1:6" x14ac:dyDescent="0.25">
      <c r="A527" s="54">
        <v>33062562874</v>
      </c>
      <c r="B527" s="143" t="s">
        <v>2959</v>
      </c>
      <c r="C527" s="158">
        <v>38</v>
      </c>
      <c r="F527" s="175" t="e">
        <f>VLOOKUP(Saldo[[#This Row],[ITEM]],#REF!,4,0)</f>
        <v>#REF!</v>
      </c>
    </row>
    <row r="528" spans="1:6" x14ac:dyDescent="0.25">
      <c r="A528" s="54">
        <v>33062562875</v>
      </c>
      <c r="B528" s="143" t="s">
        <v>2960</v>
      </c>
      <c r="C528" s="158">
        <v>33</v>
      </c>
      <c r="F528" s="175" t="e">
        <f>VLOOKUP(Saldo[[#This Row],[ITEM]],#REF!,4,0)</f>
        <v>#REF!</v>
      </c>
    </row>
    <row r="529" spans="1:6" x14ac:dyDescent="0.25">
      <c r="A529" s="54">
        <v>33062562876</v>
      </c>
      <c r="B529" s="143" t="s">
        <v>2961</v>
      </c>
      <c r="C529" s="158">
        <v>84</v>
      </c>
      <c r="F529" s="175" t="e">
        <f>VLOOKUP(Saldo[[#This Row],[ITEM]],#REF!,4,0)</f>
        <v>#REF!</v>
      </c>
    </row>
    <row r="530" spans="1:6" x14ac:dyDescent="0.25">
      <c r="A530" s="54">
        <v>33062562877</v>
      </c>
      <c r="B530" s="143" t="s">
        <v>2962</v>
      </c>
      <c r="C530" s="158">
        <v>224</v>
      </c>
      <c r="F530" s="175" t="e">
        <f>VLOOKUP(Saldo[[#This Row],[ITEM]],#REF!,4,0)</f>
        <v>#REF!</v>
      </c>
    </row>
    <row r="531" spans="1:6" x14ac:dyDescent="0.25">
      <c r="A531" s="54">
        <v>33062562878</v>
      </c>
      <c r="B531" s="143" t="s">
        <v>2963</v>
      </c>
      <c r="C531" s="158">
        <v>204</v>
      </c>
      <c r="F531" s="175" t="e">
        <f>VLOOKUP(Saldo[[#This Row],[ITEM]],#REF!,4,0)</f>
        <v>#REF!</v>
      </c>
    </row>
    <row r="532" spans="1:6" x14ac:dyDescent="0.25">
      <c r="A532" s="54">
        <v>33062562879</v>
      </c>
      <c r="B532" s="143" t="s">
        <v>2964</v>
      </c>
      <c r="C532" s="158">
        <v>262</v>
      </c>
      <c r="F532" s="175" t="e">
        <f>VLOOKUP(Saldo[[#This Row],[ITEM]],#REF!,4,0)</f>
        <v>#REF!</v>
      </c>
    </row>
    <row r="533" spans="1:6" x14ac:dyDescent="0.25">
      <c r="A533" s="54">
        <v>33062562880</v>
      </c>
      <c r="B533" s="143" t="s">
        <v>2965</v>
      </c>
      <c r="C533" s="158">
        <v>184</v>
      </c>
      <c r="F533" s="175" t="e">
        <f>VLOOKUP(Saldo[[#This Row],[ITEM]],#REF!,4,0)</f>
        <v>#REF!</v>
      </c>
    </row>
    <row r="534" spans="1:6" x14ac:dyDescent="0.25">
      <c r="A534" s="54">
        <v>33062562881</v>
      </c>
      <c r="B534" s="143" t="s">
        <v>2966</v>
      </c>
      <c r="C534" s="158">
        <v>86</v>
      </c>
      <c r="F534" s="175" t="e">
        <f>VLOOKUP(Saldo[[#This Row],[ITEM]],#REF!,4,0)</f>
        <v>#REF!</v>
      </c>
    </row>
    <row r="535" spans="1:6" x14ac:dyDescent="0.25">
      <c r="A535" s="54">
        <v>33062562882</v>
      </c>
      <c r="B535" s="143" t="s">
        <v>2967</v>
      </c>
      <c r="C535" s="158">
        <v>0</v>
      </c>
      <c r="F535" s="175" t="e">
        <f>VLOOKUP(Saldo[[#This Row],[ITEM]],#REF!,4,0)</f>
        <v>#REF!</v>
      </c>
    </row>
    <row r="536" spans="1:6" x14ac:dyDescent="0.25">
      <c r="A536" s="54">
        <v>33062562883</v>
      </c>
      <c r="B536" s="143" t="s">
        <v>2968</v>
      </c>
      <c r="C536" s="158">
        <v>0</v>
      </c>
      <c r="F536" s="175" t="e">
        <f>VLOOKUP(Saldo[[#This Row],[ITEM]],#REF!,4,0)</f>
        <v>#REF!</v>
      </c>
    </row>
    <row r="537" spans="1:6" x14ac:dyDescent="0.25">
      <c r="A537" s="54">
        <v>33062562884</v>
      </c>
      <c r="B537" s="143" t="s">
        <v>2969</v>
      </c>
      <c r="C537" s="158">
        <v>0</v>
      </c>
      <c r="F537" s="175" t="e">
        <f>VLOOKUP(Saldo[[#This Row],[ITEM]],#REF!,4,0)</f>
        <v>#REF!</v>
      </c>
    </row>
    <row r="538" spans="1:6" x14ac:dyDescent="0.25">
      <c r="A538" s="54">
        <v>33062562885</v>
      </c>
      <c r="B538" s="143" t="s">
        <v>2970</v>
      </c>
      <c r="C538" s="158">
        <v>0</v>
      </c>
      <c r="F538" s="175" t="e">
        <f>VLOOKUP(Saldo[[#This Row],[ITEM]],#REF!,4,0)</f>
        <v>#REF!</v>
      </c>
    </row>
    <row r="539" spans="1:6" x14ac:dyDescent="0.25">
      <c r="A539" s="54">
        <v>33062562886</v>
      </c>
      <c r="B539" s="143" t="s">
        <v>2971</v>
      </c>
      <c r="C539" s="158">
        <v>93</v>
      </c>
      <c r="F539" s="175" t="e">
        <f>VLOOKUP(Saldo[[#This Row],[ITEM]],#REF!,4,0)</f>
        <v>#REF!</v>
      </c>
    </row>
    <row r="540" spans="1:6" x14ac:dyDescent="0.25">
      <c r="A540" s="54">
        <v>33062562887</v>
      </c>
      <c r="B540" s="143" t="s">
        <v>2972</v>
      </c>
      <c r="C540" s="158">
        <v>30</v>
      </c>
      <c r="F540" s="175" t="e">
        <f>VLOOKUP(Saldo[[#This Row],[ITEM]],#REF!,4,0)</f>
        <v>#REF!</v>
      </c>
    </row>
    <row r="541" spans="1:6" x14ac:dyDescent="0.25">
      <c r="A541" s="54">
        <v>33062562888</v>
      </c>
      <c r="B541" s="143" t="s">
        <v>2973</v>
      </c>
      <c r="C541" s="158">
        <v>34</v>
      </c>
      <c r="F541" s="175" t="e">
        <f>VLOOKUP(Saldo[[#This Row],[ITEM]],#REF!,4,0)</f>
        <v>#REF!</v>
      </c>
    </row>
    <row r="542" spans="1:6" x14ac:dyDescent="0.25">
      <c r="A542" s="54">
        <v>33062562889</v>
      </c>
      <c r="B542" s="143" t="s">
        <v>2974</v>
      </c>
      <c r="C542" s="158">
        <v>0</v>
      </c>
      <c r="F542" s="175" t="e">
        <f>VLOOKUP(Saldo[[#This Row],[ITEM]],#REF!,4,0)</f>
        <v>#REF!</v>
      </c>
    </row>
    <row r="543" spans="1:6" x14ac:dyDescent="0.25">
      <c r="A543" s="54">
        <v>33062562890</v>
      </c>
      <c r="B543" s="143" t="s">
        <v>2975</v>
      </c>
      <c r="C543" s="158">
        <v>0</v>
      </c>
      <c r="F543" s="175" t="e">
        <f>VLOOKUP(Saldo[[#This Row],[ITEM]],#REF!,4,0)</f>
        <v>#REF!</v>
      </c>
    </row>
    <row r="544" spans="1:6" x14ac:dyDescent="0.25">
      <c r="A544" s="54">
        <v>33062562891</v>
      </c>
      <c r="B544" s="143" t="s">
        <v>2976</v>
      </c>
      <c r="C544" s="158">
        <v>77</v>
      </c>
      <c r="F544" s="175" t="e">
        <f>VLOOKUP(Saldo[[#This Row],[ITEM]],#REF!,4,0)</f>
        <v>#REF!</v>
      </c>
    </row>
    <row r="545" spans="1:6" x14ac:dyDescent="0.25">
      <c r="A545" s="54">
        <v>33062562892</v>
      </c>
      <c r="B545" s="143" t="s">
        <v>2977</v>
      </c>
      <c r="C545" s="158">
        <v>76</v>
      </c>
      <c r="F545" s="175" t="e">
        <f>VLOOKUP(Saldo[[#This Row],[ITEM]],#REF!,4,0)</f>
        <v>#REF!</v>
      </c>
    </row>
    <row r="546" spans="1:6" x14ac:dyDescent="0.25">
      <c r="A546" s="54">
        <v>33062562893</v>
      </c>
      <c r="B546" s="143" t="s">
        <v>2978</v>
      </c>
      <c r="C546" s="158">
        <v>48</v>
      </c>
      <c r="F546" s="175" t="e">
        <f>VLOOKUP(Saldo[[#This Row],[ITEM]],#REF!,4,0)</f>
        <v>#REF!</v>
      </c>
    </row>
    <row r="547" spans="1:6" x14ac:dyDescent="0.25">
      <c r="A547" s="54">
        <v>33062562894</v>
      </c>
      <c r="B547" s="143" t="s">
        <v>2979</v>
      </c>
      <c r="C547" s="158">
        <v>46</v>
      </c>
      <c r="F547" s="175" t="e">
        <f>VLOOKUP(Saldo[[#This Row],[ITEM]],#REF!,4,0)</f>
        <v>#REF!</v>
      </c>
    </row>
    <row r="548" spans="1:6" x14ac:dyDescent="0.25">
      <c r="A548" s="54">
        <v>33062562895</v>
      </c>
      <c r="B548" s="143" t="s">
        <v>2980</v>
      </c>
      <c r="C548" s="158">
        <v>0</v>
      </c>
      <c r="F548" s="175" t="e">
        <f>VLOOKUP(Saldo[[#This Row],[ITEM]],#REF!,4,0)</f>
        <v>#REF!</v>
      </c>
    </row>
    <row r="549" spans="1:6" x14ac:dyDescent="0.25">
      <c r="A549" s="54">
        <v>33062562896</v>
      </c>
      <c r="B549" s="143" t="s">
        <v>2981</v>
      </c>
      <c r="C549" s="158">
        <v>47</v>
      </c>
      <c r="F549" s="175" t="e">
        <f>VLOOKUP(Saldo[[#This Row],[ITEM]],#REF!,4,0)</f>
        <v>#REF!</v>
      </c>
    </row>
    <row r="550" spans="1:6" x14ac:dyDescent="0.25">
      <c r="A550" s="54">
        <v>33062562897</v>
      </c>
      <c r="B550" s="143" t="s">
        <v>2982</v>
      </c>
      <c r="C550" s="158">
        <v>32</v>
      </c>
      <c r="F550" s="175" t="e">
        <f>VLOOKUP(Saldo[[#This Row],[ITEM]],#REF!,4,0)</f>
        <v>#REF!</v>
      </c>
    </row>
    <row r="551" spans="1:6" x14ac:dyDescent="0.25">
      <c r="A551" s="54">
        <v>33062562898</v>
      </c>
      <c r="B551" s="143" t="s">
        <v>2983</v>
      </c>
      <c r="C551" s="158">
        <v>37</v>
      </c>
      <c r="F551" s="175" t="e">
        <f>VLOOKUP(Saldo[[#This Row],[ITEM]],#REF!,4,0)</f>
        <v>#REF!</v>
      </c>
    </row>
    <row r="552" spans="1:6" x14ac:dyDescent="0.25">
      <c r="A552" s="54">
        <v>33062562899</v>
      </c>
      <c r="B552" s="143" t="s">
        <v>2984</v>
      </c>
      <c r="C552" s="158">
        <v>37</v>
      </c>
      <c r="F552" s="175" t="e">
        <f>VLOOKUP(Saldo[[#This Row],[ITEM]],#REF!,4,0)</f>
        <v>#REF!</v>
      </c>
    </row>
    <row r="553" spans="1:6" x14ac:dyDescent="0.25">
      <c r="A553" s="54">
        <v>33062562900</v>
      </c>
      <c r="B553" s="143" t="s">
        <v>2985</v>
      </c>
      <c r="C553" s="158">
        <v>47</v>
      </c>
      <c r="F553" s="175" t="e">
        <f>VLOOKUP(Saldo[[#This Row],[ITEM]],#REF!,4,0)</f>
        <v>#REF!</v>
      </c>
    </row>
    <row r="554" spans="1:6" x14ac:dyDescent="0.25">
      <c r="A554" s="54">
        <v>33063063459</v>
      </c>
      <c r="B554" s="143" t="s">
        <v>409</v>
      </c>
      <c r="C554" s="158">
        <v>391</v>
      </c>
      <c r="F554" s="175" t="e">
        <f>VLOOKUP(Saldo[[#This Row],[ITEM]],#REF!,4,0)</f>
        <v>#REF!</v>
      </c>
    </row>
    <row r="555" spans="1:6" x14ac:dyDescent="0.25">
      <c r="A555" s="54">
        <v>33063063460</v>
      </c>
      <c r="B555" s="143" t="s">
        <v>410</v>
      </c>
      <c r="C555" s="158">
        <v>3</v>
      </c>
      <c r="F555" s="175" t="e">
        <f>VLOOKUP(Saldo[[#This Row],[ITEM]],#REF!,4,0)</f>
        <v>#REF!</v>
      </c>
    </row>
    <row r="556" spans="1:6" x14ac:dyDescent="0.25">
      <c r="A556" s="54">
        <v>33063063461</v>
      </c>
      <c r="B556" s="143" t="s">
        <v>411</v>
      </c>
      <c r="C556" s="158">
        <v>398</v>
      </c>
      <c r="F556" s="175" t="e">
        <f>VLOOKUP(Saldo[[#This Row],[ITEM]],#REF!,4,0)</f>
        <v>#REF!</v>
      </c>
    </row>
    <row r="557" spans="1:6" x14ac:dyDescent="0.25">
      <c r="A557" s="54">
        <v>33063063462</v>
      </c>
      <c r="B557" s="143" t="s">
        <v>412</v>
      </c>
      <c r="C557" s="158">
        <v>276</v>
      </c>
      <c r="F557" s="175" t="e">
        <f>VLOOKUP(Saldo[[#This Row],[ITEM]],#REF!,4,0)</f>
        <v>#REF!</v>
      </c>
    </row>
    <row r="558" spans="1:6" x14ac:dyDescent="0.25">
      <c r="A558" s="54">
        <v>33063063463</v>
      </c>
      <c r="B558" s="143" t="s">
        <v>413</v>
      </c>
      <c r="C558" s="158">
        <v>314</v>
      </c>
      <c r="F558" s="175" t="e">
        <f>VLOOKUP(Saldo[[#This Row],[ITEM]],#REF!,4,0)</f>
        <v>#REF!</v>
      </c>
    </row>
    <row r="559" spans="1:6" x14ac:dyDescent="0.25">
      <c r="A559" s="54">
        <v>33063063464</v>
      </c>
      <c r="B559" s="143" t="s">
        <v>414</v>
      </c>
      <c r="C559" s="158">
        <v>354</v>
      </c>
      <c r="F559" s="175" t="e">
        <f>VLOOKUP(Saldo[[#This Row],[ITEM]],#REF!,4,0)</f>
        <v>#REF!</v>
      </c>
    </row>
    <row r="560" spans="1:6" x14ac:dyDescent="0.25">
      <c r="A560" s="54">
        <v>33063063465</v>
      </c>
      <c r="B560" s="143" t="s">
        <v>415</v>
      </c>
      <c r="C560" s="158">
        <v>414</v>
      </c>
      <c r="F560" s="175" t="e">
        <f>VLOOKUP(Saldo[[#This Row],[ITEM]],#REF!,4,0)</f>
        <v>#REF!</v>
      </c>
    </row>
    <row r="561" spans="1:6" x14ac:dyDescent="0.25">
      <c r="A561" s="54">
        <v>33063063466</v>
      </c>
      <c r="B561" s="143" t="s">
        <v>416</v>
      </c>
      <c r="C561" s="158">
        <v>368</v>
      </c>
      <c r="F561" s="175" t="e">
        <f>VLOOKUP(Saldo[[#This Row],[ITEM]],#REF!,4,0)</f>
        <v>#REF!</v>
      </c>
    </row>
    <row r="562" spans="1:6" x14ac:dyDescent="0.25">
      <c r="A562" s="54">
        <v>33063063467</v>
      </c>
      <c r="B562" s="143" t="s">
        <v>417</v>
      </c>
      <c r="C562" s="158">
        <v>607</v>
      </c>
      <c r="F562" s="175" t="e">
        <f>VLOOKUP(Saldo[[#This Row],[ITEM]],#REF!,4,0)</f>
        <v>#REF!</v>
      </c>
    </row>
    <row r="563" spans="1:6" x14ac:dyDescent="0.25">
      <c r="A563" s="54">
        <v>33063063468</v>
      </c>
      <c r="B563" s="143" t="s">
        <v>418</v>
      </c>
      <c r="C563" s="158">
        <v>591</v>
      </c>
      <c r="F563" s="175" t="e">
        <f>VLOOKUP(Saldo[[#This Row],[ITEM]],#REF!,4,0)</f>
        <v>#REF!</v>
      </c>
    </row>
    <row r="564" spans="1:6" x14ac:dyDescent="0.25">
      <c r="A564" s="54">
        <v>33063063469</v>
      </c>
      <c r="B564" s="143" t="s">
        <v>419</v>
      </c>
      <c r="C564" s="158">
        <v>591</v>
      </c>
      <c r="F564" s="175" t="e">
        <f>VLOOKUP(Saldo[[#This Row],[ITEM]],#REF!,4,0)</f>
        <v>#REF!</v>
      </c>
    </row>
    <row r="565" spans="1:6" x14ac:dyDescent="0.25">
      <c r="A565" s="54">
        <v>33063063470</v>
      </c>
      <c r="B565" s="143" t="s">
        <v>420</v>
      </c>
      <c r="C565" s="158">
        <v>478</v>
      </c>
      <c r="F565" s="175" t="e">
        <f>VLOOKUP(Saldo[[#This Row],[ITEM]],#REF!,4,0)</f>
        <v>#REF!</v>
      </c>
    </row>
    <row r="566" spans="1:6" x14ac:dyDescent="0.25">
      <c r="A566" s="54">
        <v>33063063471</v>
      </c>
      <c r="B566" s="143" t="s">
        <v>421</v>
      </c>
      <c r="C566" s="158">
        <v>486</v>
      </c>
      <c r="F566" s="175" t="e">
        <f>VLOOKUP(Saldo[[#This Row],[ITEM]],#REF!,4,0)</f>
        <v>#REF!</v>
      </c>
    </row>
    <row r="567" spans="1:6" x14ac:dyDescent="0.25">
      <c r="A567" s="54">
        <v>33063063472</v>
      </c>
      <c r="B567" s="143" t="s">
        <v>422</v>
      </c>
      <c r="C567" s="158">
        <v>607</v>
      </c>
      <c r="F567" s="175" t="e">
        <f>VLOOKUP(Saldo[[#This Row],[ITEM]],#REF!,4,0)</f>
        <v>#REF!</v>
      </c>
    </row>
    <row r="568" spans="1:6" x14ac:dyDescent="0.25">
      <c r="A568" s="54">
        <v>33063063473</v>
      </c>
      <c r="B568" s="143" t="s">
        <v>423</v>
      </c>
      <c r="C568" s="158">
        <v>572</v>
      </c>
      <c r="F568" s="175" t="e">
        <f>VLOOKUP(Saldo[[#This Row],[ITEM]],#REF!,4,0)</f>
        <v>#REF!</v>
      </c>
    </row>
    <row r="569" spans="1:6" x14ac:dyDescent="0.25">
      <c r="A569" s="54">
        <v>33063063474</v>
      </c>
      <c r="B569" s="143" t="s">
        <v>424</v>
      </c>
      <c r="C569" s="158">
        <v>582</v>
      </c>
      <c r="F569" s="175" t="e">
        <f>VLOOKUP(Saldo[[#This Row],[ITEM]],#REF!,4,0)</f>
        <v>#REF!</v>
      </c>
    </row>
    <row r="570" spans="1:6" x14ac:dyDescent="0.25">
      <c r="A570" s="54">
        <v>33063063475</v>
      </c>
      <c r="B570" s="143" t="s">
        <v>425</v>
      </c>
      <c r="C570" s="158">
        <v>572</v>
      </c>
      <c r="F570" s="175" t="e">
        <f>VLOOKUP(Saldo[[#This Row],[ITEM]],#REF!,4,0)</f>
        <v>#REF!</v>
      </c>
    </row>
    <row r="571" spans="1:6" x14ac:dyDescent="0.25">
      <c r="A571" s="54">
        <v>33063063476</v>
      </c>
      <c r="B571" s="143" t="s">
        <v>426</v>
      </c>
      <c r="C571" s="158">
        <v>617</v>
      </c>
      <c r="F571" s="175" t="e">
        <f>VLOOKUP(Saldo[[#This Row],[ITEM]],#REF!,4,0)</f>
        <v>#REF!</v>
      </c>
    </row>
    <row r="572" spans="1:6" x14ac:dyDescent="0.25">
      <c r="A572" s="54">
        <v>33063063477</v>
      </c>
      <c r="B572" s="143" t="s">
        <v>427</v>
      </c>
      <c r="C572" s="158">
        <v>630</v>
      </c>
      <c r="F572" s="175" t="e">
        <f>VLOOKUP(Saldo[[#This Row],[ITEM]],#REF!,4,0)</f>
        <v>#REF!</v>
      </c>
    </row>
    <row r="573" spans="1:6" x14ac:dyDescent="0.25">
      <c r="A573" s="54">
        <v>33063063478</v>
      </c>
      <c r="B573" s="143" t="s">
        <v>428</v>
      </c>
      <c r="C573" s="158">
        <v>3671</v>
      </c>
      <c r="F573" s="175" t="e">
        <f>VLOOKUP(Saldo[[#This Row],[ITEM]],#REF!,4,0)</f>
        <v>#REF!</v>
      </c>
    </row>
    <row r="574" spans="1:6" x14ac:dyDescent="0.25">
      <c r="A574" s="54">
        <v>33063063479</v>
      </c>
      <c r="B574" s="143" t="s">
        <v>429</v>
      </c>
      <c r="C574" s="158">
        <v>3704</v>
      </c>
      <c r="F574" s="175" t="e">
        <f>VLOOKUP(Saldo[[#This Row],[ITEM]],#REF!,4,0)</f>
        <v>#REF!</v>
      </c>
    </row>
    <row r="575" spans="1:6" x14ac:dyDescent="0.25">
      <c r="A575" s="54">
        <v>33063063480</v>
      </c>
      <c r="B575" s="143" t="s">
        <v>2986</v>
      </c>
      <c r="C575" s="158">
        <v>937</v>
      </c>
      <c r="F575" s="175" t="e">
        <f>VLOOKUP(Saldo[[#This Row],[ITEM]],#REF!,4,0)</f>
        <v>#REF!</v>
      </c>
    </row>
    <row r="576" spans="1:6" x14ac:dyDescent="0.25">
      <c r="A576" s="54">
        <v>33063063481</v>
      </c>
      <c r="B576" s="143" t="s">
        <v>2987</v>
      </c>
      <c r="C576" s="158">
        <v>1229</v>
      </c>
      <c r="F576" s="175" t="e">
        <f>VLOOKUP(Saldo[[#This Row],[ITEM]],#REF!,4,0)</f>
        <v>#REF!</v>
      </c>
    </row>
    <row r="577" spans="1:6" x14ac:dyDescent="0.25">
      <c r="A577" s="54">
        <v>33063063482</v>
      </c>
      <c r="B577" s="143" t="s">
        <v>430</v>
      </c>
      <c r="C577" s="158">
        <v>2649</v>
      </c>
      <c r="F577" s="175" t="e">
        <f>VLOOKUP(Saldo[[#This Row],[ITEM]],#REF!,4,0)</f>
        <v>#REF!</v>
      </c>
    </row>
    <row r="578" spans="1:6" x14ac:dyDescent="0.25">
      <c r="A578" s="54">
        <v>33063063483</v>
      </c>
      <c r="B578" s="143" t="s">
        <v>431</v>
      </c>
      <c r="C578" s="158">
        <v>2658</v>
      </c>
      <c r="F578" s="175" t="e">
        <f>VLOOKUP(Saldo[[#This Row],[ITEM]],#REF!,4,0)</f>
        <v>#REF!</v>
      </c>
    </row>
    <row r="579" spans="1:6" x14ac:dyDescent="0.25">
      <c r="A579" s="54">
        <v>33063063484</v>
      </c>
      <c r="B579" s="143" t="s">
        <v>432</v>
      </c>
      <c r="C579" s="158">
        <v>2288</v>
      </c>
      <c r="F579" s="175" t="e">
        <f>VLOOKUP(Saldo[[#This Row],[ITEM]],#REF!,4,0)</f>
        <v>#REF!</v>
      </c>
    </row>
    <row r="580" spans="1:6" x14ac:dyDescent="0.25">
      <c r="A580" s="54">
        <v>33063063485</v>
      </c>
      <c r="B580" s="143" t="s">
        <v>432</v>
      </c>
      <c r="C580" s="158">
        <v>2397</v>
      </c>
      <c r="F580" s="175" t="e">
        <f>VLOOKUP(Saldo[[#This Row],[ITEM]],#REF!,4,0)</f>
        <v>#REF!</v>
      </c>
    </row>
    <row r="581" spans="1:6" x14ac:dyDescent="0.25">
      <c r="A581" s="54">
        <v>33063063486</v>
      </c>
      <c r="B581" s="143" t="s">
        <v>433</v>
      </c>
      <c r="C581" s="158">
        <v>1055</v>
      </c>
      <c r="F581" s="175" t="e">
        <f>VLOOKUP(Saldo[[#This Row],[ITEM]],#REF!,4,0)</f>
        <v>#REF!</v>
      </c>
    </row>
    <row r="582" spans="1:6" x14ac:dyDescent="0.25">
      <c r="A582" s="54">
        <v>33063063487</v>
      </c>
      <c r="B582" s="143" t="s">
        <v>434</v>
      </c>
      <c r="C582" s="158">
        <v>696</v>
      </c>
      <c r="F582" s="175" t="e">
        <f>VLOOKUP(Saldo[[#This Row],[ITEM]],#REF!,4,0)</f>
        <v>#REF!</v>
      </c>
    </row>
    <row r="583" spans="1:6" x14ac:dyDescent="0.25">
      <c r="A583" s="54">
        <v>33063063488</v>
      </c>
      <c r="B583" s="143" t="s">
        <v>435</v>
      </c>
      <c r="C583" s="158">
        <v>1017</v>
      </c>
      <c r="F583" s="175" t="e">
        <f>VLOOKUP(Saldo[[#This Row],[ITEM]],#REF!,4,0)</f>
        <v>#REF!</v>
      </c>
    </row>
    <row r="584" spans="1:6" x14ac:dyDescent="0.25">
      <c r="A584" s="54">
        <v>33063063489</v>
      </c>
      <c r="B584" s="143" t="s">
        <v>436</v>
      </c>
      <c r="C584" s="158">
        <v>1000</v>
      </c>
      <c r="F584" s="175" t="e">
        <f>VLOOKUP(Saldo[[#This Row],[ITEM]],#REF!,4,0)</f>
        <v>#REF!</v>
      </c>
    </row>
    <row r="585" spans="1:6" x14ac:dyDescent="0.25">
      <c r="A585" s="54">
        <v>33063063490</v>
      </c>
      <c r="B585" s="143" t="s">
        <v>437</v>
      </c>
      <c r="C585" s="158">
        <v>708</v>
      </c>
      <c r="F585" s="175" t="e">
        <f>VLOOKUP(Saldo[[#This Row],[ITEM]],#REF!,4,0)</f>
        <v>#REF!</v>
      </c>
    </row>
    <row r="586" spans="1:6" x14ac:dyDescent="0.25">
      <c r="A586" s="54">
        <v>33063063491</v>
      </c>
      <c r="B586" s="143" t="s">
        <v>438</v>
      </c>
      <c r="C586" s="158">
        <v>867</v>
      </c>
      <c r="F586" s="175" t="e">
        <f>VLOOKUP(Saldo[[#This Row],[ITEM]],#REF!,4,0)</f>
        <v>#REF!</v>
      </c>
    </row>
    <row r="587" spans="1:6" x14ac:dyDescent="0.25">
      <c r="A587" s="54">
        <v>33063063492</v>
      </c>
      <c r="B587" s="143" t="s">
        <v>439</v>
      </c>
      <c r="C587" s="158">
        <v>1064</v>
      </c>
      <c r="F587" s="175" t="e">
        <f>VLOOKUP(Saldo[[#This Row],[ITEM]],#REF!,4,0)</f>
        <v>#REF!</v>
      </c>
    </row>
    <row r="588" spans="1:6" x14ac:dyDescent="0.25">
      <c r="A588" s="54">
        <v>33063063493</v>
      </c>
      <c r="B588" s="143" t="s">
        <v>440</v>
      </c>
      <c r="C588" s="158">
        <v>891</v>
      </c>
      <c r="F588" s="175" t="e">
        <f>VLOOKUP(Saldo[[#This Row],[ITEM]],#REF!,4,0)</f>
        <v>#REF!</v>
      </c>
    </row>
    <row r="589" spans="1:6" x14ac:dyDescent="0.25">
      <c r="A589" s="54">
        <v>33063063494</v>
      </c>
      <c r="B589" s="143" t="s">
        <v>441</v>
      </c>
      <c r="C589" s="158">
        <v>295</v>
      </c>
      <c r="F589" s="175" t="e">
        <f>VLOOKUP(Saldo[[#This Row],[ITEM]],#REF!,4,0)</f>
        <v>#REF!</v>
      </c>
    </row>
    <row r="590" spans="1:6" x14ac:dyDescent="0.25">
      <c r="A590" s="54">
        <v>33063063495</v>
      </c>
      <c r="B590" s="143" t="s">
        <v>442</v>
      </c>
      <c r="C590" s="158">
        <v>281</v>
      </c>
      <c r="F590" s="175" t="e">
        <f>VLOOKUP(Saldo[[#This Row],[ITEM]],#REF!,4,0)</f>
        <v>#REF!</v>
      </c>
    </row>
    <row r="591" spans="1:6" x14ac:dyDescent="0.25">
      <c r="A591" s="54">
        <v>33063063496</v>
      </c>
      <c r="B591" s="143" t="s">
        <v>443</v>
      </c>
      <c r="C591" s="158">
        <v>284</v>
      </c>
      <c r="F591" s="175" t="e">
        <f>VLOOKUP(Saldo[[#This Row],[ITEM]],#REF!,4,0)</f>
        <v>#REF!</v>
      </c>
    </row>
    <row r="592" spans="1:6" x14ac:dyDescent="0.25">
      <c r="A592" s="54">
        <v>33063063497</v>
      </c>
      <c r="B592" s="143" t="s">
        <v>444</v>
      </c>
      <c r="C592" s="158">
        <v>249</v>
      </c>
      <c r="F592" s="175" t="e">
        <f>VLOOKUP(Saldo[[#This Row],[ITEM]],#REF!,4,0)</f>
        <v>#REF!</v>
      </c>
    </row>
    <row r="593" spans="1:6" x14ac:dyDescent="0.25">
      <c r="A593" s="54">
        <v>33063063498</v>
      </c>
      <c r="B593" s="143" t="s">
        <v>445</v>
      </c>
      <c r="C593" s="158">
        <v>196</v>
      </c>
      <c r="F593" s="175" t="e">
        <f>VLOOKUP(Saldo[[#This Row],[ITEM]],#REF!,4,0)</f>
        <v>#REF!</v>
      </c>
    </row>
    <row r="594" spans="1:6" x14ac:dyDescent="0.25">
      <c r="A594" s="54">
        <v>33063063499</v>
      </c>
      <c r="B594" s="143" t="s">
        <v>446</v>
      </c>
      <c r="C594" s="158">
        <v>230</v>
      </c>
      <c r="F594" s="175" t="e">
        <f>VLOOKUP(Saldo[[#This Row],[ITEM]],#REF!,4,0)</f>
        <v>#REF!</v>
      </c>
    </row>
    <row r="595" spans="1:6" x14ac:dyDescent="0.25">
      <c r="A595" s="54">
        <v>33063063500</v>
      </c>
      <c r="B595" s="143" t="s">
        <v>447</v>
      </c>
      <c r="C595" s="158">
        <v>250</v>
      </c>
      <c r="F595" s="175" t="e">
        <f>VLOOKUP(Saldo[[#This Row],[ITEM]],#REF!,4,0)</f>
        <v>#REF!</v>
      </c>
    </row>
    <row r="596" spans="1:6" x14ac:dyDescent="0.25">
      <c r="A596" s="54">
        <v>33063063501</v>
      </c>
      <c r="B596" s="143" t="s">
        <v>448</v>
      </c>
      <c r="C596" s="158">
        <v>191</v>
      </c>
      <c r="F596" s="175" t="e">
        <f>VLOOKUP(Saldo[[#This Row],[ITEM]],#REF!,4,0)</f>
        <v>#REF!</v>
      </c>
    </row>
    <row r="597" spans="1:6" x14ac:dyDescent="0.25">
      <c r="A597" s="54">
        <v>33063063502</v>
      </c>
      <c r="B597" s="143" t="s">
        <v>449</v>
      </c>
      <c r="C597" s="158">
        <v>1814</v>
      </c>
      <c r="F597" s="175" t="e">
        <f>VLOOKUP(Saldo[[#This Row],[ITEM]],#REF!,4,0)</f>
        <v>#REF!</v>
      </c>
    </row>
    <row r="598" spans="1:6" x14ac:dyDescent="0.25">
      <c r="A598" s="54">
        <v>33063063503</v>
      </c>
      <c r="B598" s="143" t="s">
        <v>450</v>
      </c>
      <c r="C598" s="158">
        <v>1792</v>
      </c>
      <c r="F598" s="175" t="e">
        <f>VLOOKUP(Saldo[[#This Row],[ITEM]],#REF!,4,0)</f>
        <v>#REF!</v>
      </c>
    </row>
    <row r="599" spans="1:6" x14ac:dyDescent="0.25">
      <c r="A599" s="54">
        <v>33063063504</v>
      </c>
      <c r="B599" s="143" t="s">
        <v>451</v>
      </c>
      <c r="C599" s="158">
        <v>1832</v>
      </c>
      <c r="F599" s="175" t="e">
        <f>VLOOKUP(Saldo[[#This Row],[ITEM]],#REF!,4,0)</f>
        <v>#REF!</v>
      </c>
    </row>
    <row r="600" spans="1:6" x14ac:dyDescent="0.25">
      <c r="A600" s="54">
        <v>33063063505</v>
      </c>
      <c r="B600" s="143" t="s">
        <v>452</v>
      </c>
      <c r="C600" s="158">
        <v>1222</v>
      </c>
      <c r="F600" s="175" t="e">
        <f>VLOOKUP(Saldo[[#This Row],[ITEM]],#REF!,4,0)</f>
        <v>#REF!</v>
      </c>
    </row>
    <row r="601" spans="1:6" x14ac:dyDescent="0.25">
      <c r="A601" s="54">
        <v>33063063506</v>
      </c>
      <c r="B601" s="143" t="s">
        <v>453</v>
      </c>
      <c r="C601" s="158">
        <v>1201</v>
      </c>
      <c r="F601" s="175" t="e">
        <f>VLOOKUP(Saldo[[#This Row],[ITEM]],#REF!,4,0)</f>
        <v>#REF!</v>
      </c>
    </row>
    <row r="602" spans="1:6" x14ac:dyDescent="0.25">
      <c r="A602" s="54">
        <v>33063063507</v>
      </c>
      <c r="B602" s="143" t="s">
        <v>454</v>
      </c>
      <c r="C602" s="158">
        <v>1192</v>
      </c>
      <c r="F602" s="175" t="e">
        <f>VLOOKUP(Saldo[[#This Row],[ITEM]],#REF!,4,0)</f>
        <v>#REF!</v>
      </c>
    </row>
    <row r="603" spans="1:6" x14ac:dyDescent="0.25">
      <c r="A603" s="54">
        <v>33063063508</v>
      </c>
      <c r="B603" s="143" t="s">
        <v>455</v>
      </c>
      <c r="C603" s="158">
        <v>1558</v>
      </c>
      <c r="F603" s="175" t="e">
        <f>VLOOKUP(Saldo[[#This Row],[ITEM]],#REF!,4,0)</f>
        <v>#REF!</v>
      </c>
    </row>
    <row r="604" spans="1:6" x14ac:dyDescent="0.25">
      <c r="A604" s="54">
        <v>33063063509</v>
      </c>
      <c r="B604" s="143" t="s">
        <v>456</v>
      </c>
      <c r="C604" s="158">
        <v>1721</v>
      </c>
      <c r="F604" s="175" t="e">
        <f>VLOOKUP(Saldo[[#This Row],[ITEM]],#REF!,4,0)</f>
        <v>#REF!</v>
      </c>
    </row>
    <row r="605" spans="1:6" x14ac:dyDescent="0.25">
      <c r="A605" s="54">
        <v>33063063510</v>
      </c>
      <c r="B605" s="143" t="s">
        <v>457</v>
      </c>
      <c r="C605" s="158">
        <v>1656</v>
      </c>
      <c r="F605" s="175" t="e">
        <f>VLOOKUP(Saldo[[#This Row],[ITEM]],#REF!,4,0)</f>
        <v>#REF!</v>
      </c>
    </row>
    <row r="606" spans="1:6" x14ac:dyDescent="0.25">
      <c r="A606" s="54">
        <v>33063063511</v>
      </c>
      <c r="B606" s="143" t="s">
        <v>458</v>
      </c>
      <c r="C606" s="158">
        <v>1175</v>
      </c>
      <c r="F606" s="175" t="e">
        <f>VLOOKUP(Saldo[[#This Row],[ITEM]],#REF!,4,0)</f>
        <v>#REF!</v>
      </c>
    </row>
    <row r="607" spans="1:6" x14ac:dyDescent="0.25">
      <c r="A607" s="54">
        <v>33063063512</v>
      </c>
      <c r="B607" s="143" t="s">
        <v>459</v>
      </c>
      <c r="C607" s="158">
        <v>1270</v>
      </c>
      <c r="F607" s="175" t="e">
        <f>VLOOKUP(Saldo[[#This Row],[ITEM]],#REF!,4,0)</f>
        <v>#REF!</v>
      </c>
    </row>
    <row r="608" spans="1:6" x14ac:dyDescent="0.25">
      <c r="A608" s="54">
        <v>33063063513</v>
      </c>
      <c r="B608" s="143" t="s">
        <v>460</v>
      </c>
      <c r="C608" s="158">
        <v>1175</v>
      </c>
      <c r="F608" s="175" t="e">
        <f>VLOOKUP(Saldo[[#This Row],[ITEM]],#REF!,4,0)</f>
        <v>#REF!</v>
      </c>
    </row>
    <row r="609" spans="1:6" x14ac:dyDescent="0.25">
      <c r="A609" s="54">
        <v>33063063514</v>
      </c>
      <c r="B609" s="143" t="s">
        <v>2988</v>
      </c>
      <c r="C609" s="158">
        <v>6</v>
      </c>
      <c r="F609" s="175" t="e">
        <f>VLOOKUP(Saldo[[#This Row],[ITEM]],#REF!,4,0)</f>
        <v>#REF!</v>
      </c>
    </row>
    <row r="610" spans="1:6" x14ac:dyDescent="0.25">
      <c r="A610" s="54">
        <v>33063063515</v>
      </c>
      <c r="B610" s="143" t="s">
        <v>461</v>
      </c>
      <c r="C610" s="158">
        <v>1</v>
      </c>
      <c r="F610" s="175" t="e">
        <f>VLOOKUP(Saldo[[#This Row],[ITEM]],#REF!,4,0)</f>
        <v>#REF!</v>
      </c>
    </row>
    <row r="611" spans="1:6" x14ac:dyDescent="0.25">
      <c r="A611" s="54">
        <v>33063063516</v>
      </c>
      <c r="B611" s="143" t="s">
        <v>2989</v>
      </c>
      <c r="C611" s="158">
        <v>0</v>
      </c>
      <c r="F611" s="175" t="e">
        <f>VLOOKUP(Saldo[[#This Row],[ITEM]],#REF!,4,0)</f>
        <v>#REF!</v>
      </c>
    </row>
    <row r="612" spans="1:6" x14ac:dyDescent="0.25">
      <c r="A612" s="54">
        <v>33063063517</v>
      </c>
      <c r="B612" s="143" t="s">
        <v>462</v>
      </c>
      <c r="C612" s="158">
        <v>0</v>
      </c>
      <c r="F612" s="175" t="e">
        <f>VLOOKUP(Saldo[[#This Row],[ITEM]],#REF!,4,0)</f>
        <v>#REF!</v>
      </c>
    </row>
    <row r="613" spans="1:6" x14ac:dyDescent="0.25">
      <c r="A613" s="54">
        <v>33063063518</v>
      </c>
      <c r="B613" s="143" t="s">
        <v>463</v>
      </c>
      <c r="C613" s="158">
        <v>1</v>
      </c>
      <c r="F613" s="175" t="e">
        <f>VLOOKUP(Saldo[[#This Row],[ITEM]],#REF!,4,0)</f>
        <v>#REF!</v>
      </c>
    </row>
    <row r="614" spans="1:6" x14ac:dyDescent="0.25">
      <c r="A614" s="54">
        <v>33063063519</v>
      </c>
      <c r="B614" s="143" t="s">
        <v>2990</v>
      </c>
      <c r="C614" s="158">
        <v>78</v>
      </c>
      <c r="F614" s="175" t="e">
        <f>VLOOKUP(Saldo[[#This Row],[ITEM]],#REF!,4,0)</f>
        <v>#REF!</v>
      </c>
    </row>
    <row r="615" spans="1:6" x14ac:dyDescent="0.25">
      <c r="A615" s="54">
        <v>33063063520</v>
      </c>
      <c r="B615" s="143" t="s">
        <v>2991</v>
      </c>
      <c r="C615" s="158">
        <v>270</v>
      </c>
      <c r="F615" s="175" t="e">
        <f>VLOOKUP(Saldo[[#This Row],[ITEM]],#REF!,4,0)</f>
        <v>#REF!</v>
      </c>
    </row>
    <row r="616" spans="1:6" x14ac:dyDescent="0.25">
      <c r="A616" s="54">
        <v>33063063521</v>
      </c>
      <c r="B616" s="143" t="s">
        <v>2992</v>
      </c>
      <c r="C616" s="158">
        <v>154</v>
      </c>
      <c r="F616" s="175" t="e">
        <f>VLOOKUP(Saldo[[#This Row],[ITEM]],#REF!,4,0)</f>
        <v>#REF!</v>
      </c>
    </row>
    <row r="617" spans="1:6" x14ac:dyDescent="0.25">
      <c r="A617" s="54">
        <v>33063063522</v>
      </c>
      <c r="B617" s="143" t="s">
        <v>464</v>
      </c>
      <c r="C617" s="158">
        <v>430</v>
      </c>
      <c r="F617" s="175" t="e">
        <f>VLOOKUP(Saldo[[#This Row],[ITEM]],#REF!,4,0)</f>
        <v>#REF!</v>
      </c>
    </row>
    <row r="618" spans="1:6" x14ac:dyDescent="0.25">
      <c r="A618" s="54">
        <v>33063063523</v>
      </c>
      <c r="B618" s="143" t="s">
        <v>465</v>
      </c>
      <c r="C618" s="158">
        <v>430</v>
      </c>
      <c r="F618" s="175" t="e">
        <f>VLOOKUP(Saldo[[#This Row],[ITEM]],#REF!,4,0)</f>
        <v>#REF!</v>
      </c>
    </row>
    <row r="619" spans="1:6" x14ac:dyDescent="0.25">
      <c r="A619" s="54">
        <v>33063063524</v>
      </c>
      <c r="B619" s="143" t="s">
        <v>466</v>
      </c>
      <c r="C619" s="158">
        <v>483</v>
      </c>
      <c r="F619" s="175" t="e">
        <f>VLOOKUP(Saldo[[#This Row],[ITEM]],#REF!,4,0)</f>
        <v>#REF!</v>
      </c>
    </row>
    <row r="620" spans="1:6" x14ac:dyDescent="0.25">
      <c r="A620" s="54">
        <v>33063063926</v>
      </c>
      <c r="B620" s="143" t="s">
        <v>467</v>
      </c>
      <c r="C620" s="158">
        <v>3405</v>
      </c>
      <c r="F620" s="175" t="e">
        <f>VLOOKUP(Saldo[[#This Row],[ITEM]],#REF!,4,0)</f>
        <v>#REF!</v>
      </c>
    </row>
    <row r="621" spans="1:6" x14ac:dyDescent="0.25">
      <c r="A621" s="54">
        <v>33063063927</v>
      </c>
      <c r="B621" s="143" t="s">
        <v>468</v>
      </c>
      <c r="C621" s="158">
        <v>1358</v>
      </c>
      <c r="F621" s="175" t="e">
        <f>VLOOKUP(Saldo[[#This Row],[ITEM]],#REF!,4,0)</f>
        <v>#REF!</v>
      </c>
    </row>
    <row r="622" spans="1:6" x14ac:dyDescent="0.25">
      <c r="A622" s="54">
        <v>33063063928</v>
      </c>
      <c r="B622" s="143" t="s">
        <v>468</v>
      </c>
      <c r="C622" s="158">
        <v>3602</v>
      </c>
      <c r="F622" s="175" t="e">
        <f>VLOOKUP(Saldo[[#This Row],[ITEM]],#REF!,4,0)</f>
        <v>#REF!</v>
      </c>
    </row>
    <row r="623" spans="1:6" x14ac:dyDescent="0.25">
      <c r="A623" s="54">
        <v>33063063929</v>
      </c>
      <c r="B623" s="143" t="s">
        <v>468</v>
      </c>
      <c r="C623" s="158">
        <v>0</v>
      </c>
      <c r="F623" s="175" t="e">
        <f>VLOOKUP(Saldo[[#This Row],[ITEM]],#REF!,4,0)</f>
        <v>#REF!</v>
      </c>
    </row>
    <row r="624" spans="1:6" x14ac:dyDescent="0.25">
      <c r="A624" s="54">
        <v>33063063930</v>
      </c>
      <c r="B624" s="143" t="s">
        <v>468</v>
      </c>
      <c r="C624" s="158">
        <v>0</v>
      </c>
      <c r="F624" s="175" t="e">
        <f>VLOOKUP(Saldo[[#This Row],[ITEM]],#REF!,4,0)</f>
        <v>#REF!</v>
      </c>
    </row>
    <row r="625" spans="1:6" x14ac:dyDescent="0.25">
      <c r="A625" s="54">
        <v>33063063931</v>
      </c>
      <c r="B625" s="143" t="s">
        <v>468</v>
      </c>
      <c r="C625" s="158">
        <v>65</v>
      </c>
      <c r="F625" s="175" t="e">
        <f>VLOOKUP(Saldo[[#This Row],[ITEM]],#REF!,4,0)</f>
        <v>#REF!</v>
      </c>
    </row>
    <row r="626" spans="1:6" x14ac:dyDescent="0.25">
      <c r="A626" s="54">
        <v>33063063932</v>
      </c>
      <c r="B626" s="143" t="s">
        <v>469</v>
      </c>
      <c r="C626" s="158">
        <v>8730</v>
      </c>
      <c r="F626" s="175" t="e">
        <f>VLOOKUP(Saldo[[#This Row],[ITEM]],#REF!,4,0)</f>
        <v>#REF!</v>
      </c>
    </row>
    <row r="627" spans="1:6" x14ac:dyDescent="0.25">
      <c r="A627" s="54">
        <v>33063063933</v>
      </c>
      <c r="B627" s="143" t="s">
        <v>467</v>
      </c>
      <c r="C627" s="158">
        <v>3288</v>
      </c>
      <c r="F627" s="175" t="e">
        <f>VLOOKUP(Saldo[[#This Row],[ITEM]],#REF!,4,0)</f>
        <v>#REF!</v>
      </c>
    </row>
    <row r="628" spans="1:6" x14ac:dyDescent="0.25">
      <c r="A628" s="54">
        <v>33063063934</v>
      </c>
      <c r="B628" s="143" t="s">
        <v>470</v>
      </c>
      <c r="C628" s="158">
        <v>0</v>
      </c>
      <c r="F628" s="175" t="e">
        <f>VLOOKUP(Saldo[[#This Row],[ITEM]],#REF!,4,0)</f>
        <v>#REF!</v>
      </c>
    </row>
    <row r="629" spans="1:6" x14ac:dyDescent="0.25">
      <c r="A629" s="54">
        <v>33063063935</v>
      </c>
      <c r="B629" s="143" t="s">
        <v>471</v>
      </c>
      <c r="C629" s="158">
        <v>3888</v>
      </c>
      <c r="F629" s="175" t="e">
        <f>VLOOKUP(Saldo[[#This Row],[ITEM]],#REF!,4,0)</f>
        <v>#REF!</v>
      </c>
    </row>
    <row r="630" spans="1:6" x14ac:dyDescent="0.25">
      <c r="A630" s="54">
        <v>33063263346</v>
      </c>
      <c r="B630" s="143" t="s">
        <v>472</v>
      </c>
      <c r="C630" s="158">
        <v>3373</v>
      </c>
      <c r="F630" s="175" t="e">
        <f>VLOOKUP(Saldo[[#This Row],[ITEM]],#REF!,4,0)</f>
        <v>#REF!</v>
      </c>
    </row>
    <row r="631" spans="1:6" x14ac:dyDescent="0.25">
      <c r="A631" s="54">
        <v>33063263347</v>
      </c>
      <c r="B631" s="143" t="s">
        <v>473</v>
      </c>
      <c r="C631" s="158">
        <v>1103</v>
      </c>
      <c r="F631" s="175" t="e">
        <f>VLOOKUP(Saldo[[#This Row],[ITEM]],#REF!,4,0)</f>
        <v>#REF!</v>
      </c>
    </row>
    <row r="632" spans="1:6" x14ac:dyDescent="0.25">
      <c r="A632" s="54">
        <v>33063263348</v>
      </c>
      <c r="B632" s="143" t="s">
        <v>474</v>
      </c>
      <c r="C632" s="158">
        <v>1155</v>
      </c>
      <c r="F632" s="175" t="e">
        <f>VLOOKUP(Saldo[[#This Row],[ITEM]],#REF!,4,0)</f>
        <v>#REF!</v>
      </c>
    </row>
    <row r="633" spans="1:6" x14ac:dyDescent="0.25">
      <c r="A633" s="54">
        <v>33063263349</v>
      </c>
      <c r="B633" s="143" t="s">
        <v>475</v>
      </c>
      <c r="C633" s="158">
        <v>1105</v>
      </c>
      <c r="F633" s="175" t="e">
        <f>VLOOKUP(Saldo[[#This Row],[ITEM]],#REF!,4,0)</f>
        <v>#REF!</v>
      </c>
    </row>
    <row r="634" spans="1:6" x14ac:dyDescent="0.25">
      <c r="A634" s="54">
        <v>33063263350</v>
      </c>
      <c r="B634" s="143" t="s">
        <v>476</v>
      </c>
      <c r="C634" s="158">
        <v>1133</v>
      </c>
      <c r="F634" s="175" t="e">
        <f>VLOOKUP(Saldo[[#This Row],[ITEM]],#REF!,4,0)</f>
        <v>#REF!</v>
      </c>
    </row>
    <row r="635" spans="1:6" x14ac:dyDescent="0.25">
      <c r="A635" s="54">
        <v>33063263351</v>
      </c>
      <c r="B635" s="143" t="s">
        <v>477</v>
      </c>
      <c r="C635" s="158">
        <v>1194</v>
      </c>
      <c r="F635" s="175" t="e">
        <f>VLOOKUP(Saldo[[#This Row],[ITEM]],#REF!,4,0)</f>
        <v>#REF!</v>
      </c>
    </row>
    <row r="636" spans="1:6" x14ac:dyDescent="0.25">
      <c r="A636" s="54">
        <v>33063263352</v>
      </c>
      <c r="B636" s="143" t="s">
        <v>478</v>
      </c>
      <c r="C636" s="158">
        <v>487</v>
      </c>
      <c r="F636" s="175" t="e">
        <f>VLOOKUP(Saldo[[#This Row],[ITEM]],#REF!,4,0)</f>
        <v>#REF!</v>
      </c>
    </row>
    <row r="637" spans="1:6" x14ac:dyDescent="0.25">
      <c r="A637" s="54">
        <v>33063263353</v>
      </c>
      <c r="B637" s="143" t="s">
        <v>479</v>
      </c>
      <c r="C637" s="158">
        <v>577</v>
      </c>
      <c r="F637" s="175" t="e">
        <f>VLOOKUP(Saldo[[#This Row],[ITEM]],#REF!,4,0)</f>
        <v>#REF!</v>
      </c>
    </row>
    <row r="638" spans="1:6" x14ac:dyDescent="0.25">
      <c r="A638" s="54">
        <v>33063263354</v>
      </c>
      <c r="B638" s="143" t="s">
        <v>480</v>
      </c>
      <c r="C638" s="158">
        <v>585</v>
      </c>
      <c r="F638" s="175" t="e">
        <f>VLOOKUP(Saldo[[#This Row],[ITEM]],#REF!,4,0)</f>
        <v>#REF!</v>
      </c>
    </row>
    <row r="639" spans="1:6" x14ac:dyDescent="0.25">
      <c r="A639" s="54">
        <v>33063263355</v>
      </c>
      <c r="B639" s="143" t="s">
        <v>481</v>
      </c>
      <c r="C639" s="158">
        <v>499</v>
      </c>
      <c r="F639" s="175" t="e">
        <f>VLOOKUP(Saldo[[#This Row],[ITEM]],#REF!,4,0)</f>
        <v>#REF!</v>
      </c>
    </row>
    <row r="640" spans="1:6" x14ac:dyDescent="0.25">
      <c r="A640" s="54">
        <v>33063263356</v>
      </c>
      <c r="B640" s="143" t="s">
        <v>482</v>
      </c>
      <c r="C640" s="158">
        <v>590</v>
      </c>
      <c r="F640" s="175" t="e">
        <f>VLOOKUP(Saldo[[#This Row],[ITEM]],#REF!,4,0)</f>
        <v>#REF!</v>
      </c>
    </row>
    <row r="641" spans="1:6" x14ac:dyDescent="0.25">
      <c r="A641" s="54">
        <v>33063263357</v>
      </c>
      <c r="B641" s="143" t="s">
        <v>483</v>
      </c>
      <c r="C641" s="158">
        <v>68</v>
      </c>
      <c r="F641" s="175" t="e">
        <f>VLOOKUP(Saldo[[#This Row],[ITEM]],#REF!,4,0)</f>
        <v>#REF!</v>
      </c>
    </row>
    <row r="642" spans="1:6" x14ac:dyDescent="0.25">
      <c r="A642" s="54">
        <v>33063263358</v>
      </c>
      <c r="B642" s="143" t="s">
        <v>484</v>
      </c>
      <c r="C642" s="158">
        <v>148</v>
      </c>
      <c r="F642" s="175" t="e">
        <f>VLOOKUP(Saldo[[#This Row],[ITEM]],#REF!,4,0)</f>
        <v>#REF!</v>
      </c>
    </row>
    <row r="643" spans="1:6" x14ac:dyDescent="0.25">
      <c r="A643" s="54">
        <v>33063263359</v>
      </c>
      <c r="B643" s="143" t="s">
        <v>485</v>
      </c>
      <c r="C643" s="158">
        <v>150</v>
      </c>
      <c r="F643" s="175" t="e">
        <f>VLOOKUP(Saldo[[#This Row],[ITEM]],#REF!,4,0)</f>
        <v>#REF!</v>
      </c>
    </row>
    <row r="644" spans="1:6" x14ac:dyDescent="0.25">
      <c r="A644" s="54">
        <v>33063263360</v>
      </c>
      <c r="B644" s="143" t="s">
        <v>486</v>
      </c>
      <c r="C644" s="158">
        <v>94</v>
      </c>
      <c r="F644" s="175" t="e">
        <f>VLOOKUP(Saldo[[#This Row],[ITEM]],#REF!,4,0)</f>
        <v>#REF!</v>
      </c>
    </row>
    <row r="645" spans="1:6" x14ac:dyDescent="0.25">
      <c r="A645" s="54">
        <v>33063263361</v>
      </c>
      <c r="B645" s="143" t="s">
        <v>487</v>
      </c>
      <c r="C645" s="158">
        <v>110</v>
      </c>
      <c r="F645" s="175" t="e">
        <f>VLOOKUP(Saldo[[#This Row],[ITEM]],#REF!,4,0)</f>
        <v>#REF!</v>
      </c>
    </row>
    <row r="646" spans="1:6" x14ac:dyDescent="0.25">
      <c r="A646" s="54">
        <v>33070063832</v>
      </c>
      <c r="B646" s="143" t="s">
        <v>488</v>
      </c>
      <c r="C646" s="158">
        <v>1</v>
      </c>
      <c r="F646" s="175" t="e">
        <f>VLOOKUP(Saldo[[#This Row],[ITEM]],#REF!,4,0)</f>
        <v>#REF!</v>
      </c>
    </row>
    <row r="647" spans="1:6" x14ac:dyDescent="0.25">
      <c r="A647" s="54">
        <v>33070063833</v>
      </c>
      <c r="B647" s="143" t="s">
        <v>2993</v>
      </c>
      <c r="C647" s="158">
        <v>6</v>
      </c>
      <c r="F647" s="175" t="e">
        <f>VLOOKUP(Saldo[[#This Row],[ITEM]],#REF!,4,0)</f>
        <v>#REF!</v>
      </c>
    </row>
    <row r="648" spans="1:6" x14ac:dyDescent="0.25">
      <c r="A648" s="54">
        <v>33070063834</v>
      </c>
      <c r="B648" s="143" t="s">
        <v>2994</v>
      </c>
      <c r="C648" s="158">
        <v>5</v>
      </c>
      <c r="F648" s="175" t="e">
        <f>VLOOKUP(Saldo[[#This Row],[ITEM]],#REF!,4,0)</f>
        <v>#REF!</v>
      </c>
    </row>
    <row r="649" spans="1:6" x14ac:dyDescent="0.25">
      <c r="A649" s="54">
        <v>33070063835</v>
      </c>
      <c r="B649" s="143" t="s">
        <v>2995</v>
      </c>
      <c r="C649" s="158">
        <v>5</v>
      </c>
      <c r="F649" s="175" t="e">
        <f>VLOOKUP(Saldo[[#This Row],[ITEM]],#REF!,4,0)</f>
        <v>#REF!</v>
      </c>
    </row>
    <row r="650" spans="1:6" x14ac:dyDescent="0.25">
      <c r="A650" s="54">
        <v>33070063836</v>
      </c>
      <c r="B650" s="143" t="s">
        <v>2996</v>
      </c>
      <c r="C650" s="158">
        <v>1</v>
      </c>
      <c r="F650" s="175" t="e">
        <f>VLOOKUP(Saldo[[#This Row],[ITEM]],#REF!,4,0)</f>
        <v>#REF!</v>
      </c>
    </row>
    <row r="651" spans="1:6" x14ac:dyDescent="0.25">
      <c r="A651" s="54">
        <v>33070063837</v>
      </c>
      <c r="B651" s="143" t="s">
        <v>2997</v>
      </c>
      <c r="C651" s="158">
        <v>1</v>
      </c>
      <c r="F651" s="175" t="e">
        <f>VLOOKUP(Saldo[[#This Row],[ITEM]],#REF!,4,0)</f>
        <v>#REF!</v>
      </c>
    </row>
    <row r="652" spans="1:6" x14ac:dyDescent="0.25">
      <c r="A652" s="54">
        <v>33070063838</v>
      </c>
      <c r="B652" s="143" t="s">
        <v>2998</v>
      </c>
      <c r="C652" s="158">
        <v>2</v>
      </c>
      <c r="F652" s="175" t="e">
        <f>VLOOKUP(Saldo[[#This Row],[ITEM]],#REF!,4,0)</f>
        <v>#REF!</v>
      </c>
    </row>
    <row r="653" spans="1:6" x14ac:dyDescent="0.25">
      <c r="A653" s="54">
        <v>33070063839</v>
      </c>
      <c r="B653" s="143" t="s">
        <v>489</v>
      </c>
      <c r="C653" s="158">
        <v>1</v>
      </c>
      <c r="F653" s="175" t="e">
        <f>VLOOKUP(Saldo[[#This Row],[ITEM]],#REF!,4,0)</f>
        <v>#REF!</v>
      </c>
    </row>
    <row r="654" spans="1:6" x14ac:dyDescent="0.25">
      <c r="A654" s="54">
        <v>33070063840</v>
      </c>
      <c r="B654" s="143" t="s">
        <v>2999</v>
      </c>
      <c r="C654" s="158">
        <v>3</v>
      </c>
      <c r="F654" s="175" t="e">
        <f>VLOOKUP(Saldo[[#This Row],[ITEM]],#REF!,4,0)</f>
        <v>#REF!</v>
      </c>
    </row>
    <row r="655" spans="1:6" x14ac:dyDescent="0.25">
      <c r="A655" s="54">
        <v>33070063841</v>
      </c>
      <c r="B655" s="143" t="s">
        <v>3000</v>
      </c>
      <c r="C655" s="158">
        <v>1</v>
      </c>
      <c r="F655" s="175" t="e">
        <f>VLOOKUP(Saldo[[#This Row],[ITEM]],#REF!,4,0)</f>
        <v>#REF!</v>
      </c>
    </row>
    <row r="656" spans="1:6" x14ac:dyDescent="0.25">
      <c r="A656" s="54">
        <v>33070114126</v>
      </c>
      <c r="B656" s="143" t="s">
        <v>490</v>
      </c>
      <c r="C656" s="158">
        <v>7751</v>
      </c>
      <c r="F656" s="175" t="e">
        <f>VLOOKUP(Saldo[[#This Row],[ITEM]],#REF!,4,0)</f>
        <v>#REF!</v>
      </c>
    </row>
    <row r="657" spans="1:6" x14ac:dyDescent="0.25">
      <c r="A657" s="54">
        <v>33070114128</v>
      </c>
      <c r="B657" s="143" t="s">
        <v>491</v>
      </c>
      <c r="C657" s="158">
        <v>318</v>
      </c>
      <c r="F657" s="175" t="e">
        <f>VLOOKUP(Saldo[[#This Row],[ITEM]],#REF!,4,0)</f>
        <v>#REF!</v>
      </c>
    </row>
    <row r="658" spans="1:6" x14ac:dyDescent="0.25">
      <c r="A658" s="54">
        <v>33070114631</v>
      </c>
      <c r="B658" s="143" t="s">
        <v>492</v>
      </c>
      <c r="C658" s="158">
        <v>7</v>
      </c>
      <c r="F658" s="175" t="e">
        <f>VLOOKUP(Saldo[[#This Row],[ITEM]],#REF!,4,0)</f>
        <v>#REF!</v>
      </c>
    </row>
    <row r="659" spans="1:6" x14ac:dyDescent="0.25">
      <c r="A659" s="54">
        <v>33070114632</v>
      </c>
      <c r="B659" s="143" t="s">
        <v>493</v>
      </c>
      <c r="C659" s="158">
        <v>8</v>
      </c>
      <c r="F659" s="175" t="e">
        <f>VLOOKUP(Saldo[[#This Row],[ITEM]],#REF!,4,0)</f>
        <v>#REF!</v>
      </c>
    </row>
    <row r="660" spans="1:6" x14ac:dyDescent="0.25">
      <c r="A660" s="54">
        <v>33070114634</v>
      </c>
      <c r="B660" s="143" t="s">
        <v>494</v>
      </c>
      <c r="C660" s="158">
        <v>0</v>
      </c>
      <c r="F660" s="175" t="e">
        <f>VLOOKUP(Saldo[[#This Row],[ITEM]],#REF!,4,0)</f>
        <v>#REF!</v>
      </c>
    </row>
    <row r="661" spans="1:6" x14ac:dyDescent="0.25">
      <c r="A661" s="54">
        <v>33070114769</v>
      </c>
      <c r="B661" s="143" t="s">
        <v>495</v>
      </c>
      <c r="C661" s="158">
        <v>212</v>
      </c>
      <c r="F661" s="175" t="e">
        <f>VLOOKUP(Saldo[[#This Row],[ITEM]],#REF!,4,0)</f>
        <v>#REF!</v>
      </c>
    </row>
    <row r="662" spans="1:6" x14ac:dyDescent="0.25">
      <c r="A662" s="54">
        <v>33070114788</v>
      </c>
      <c r="B662" s="143" t="s">
        <v>496</v>
      </c>
      <c r="C662" s="158">
        <v>12405</v>
      </c>
      <c r="F662" s="175" t="e">
        <f>VLOOKUP(Saldo[[#This Row],[ITEM]],#REF!,4,0)</f>
        <v>#REF!</v>
      </c>
    </row>
    <row r="663" spans="1:6" x14ac:dyDescent="0.25">
      <c r="A663" s="54">
        <v>33070114933</v>
      </c>
      <c r="B663" s="143" t="s">
        <v>497</v>
      </c>
      <c r="C663" s="158">
        <v>0</v>
      </c>
      <c r="F663" s="175" t="e">
        <f>VLOOKUP(Saldo[[#This Row],[ITEM]],#REF!,4,0)</f>
        <v>#REF!</v>
      </c>
    </row>
    <row r="664" spans="1:6" x14ac:dyDescent="0.25">
      <c r="A664" s="54">
        <v>33070114936</v>
      </c>
      <c r="B664" s="143" t="s">
        <v>498</v>
      </c>
      <c r="C664" s="158">
        <v>14</v>
      </c>
      <c r="F664" s="175" t="e">
        <f>VLOOKUP(Saldo[[#This Row],[ITEM]],#REF!,4,0)</f>
        <v>#REF!</v>
      </c>
    </row>
    <row r="665" spans="1:6" x14ac:dyDescent="0.25">
      <c r="A665" s="54">
        <v>33070114938</v>
      </c>
      <c r="B665" s="143" t="s">
        <v>499</v>
      </c>
      <c r="C665" s="158">
        <v>2</v>
      </c>
      <c r="F665" s="175" t="e">
        <f>VLOOKUP(Saldo[[#This Row],[ITEM]],#REF!,4,0)</f>
        <v>#REF!</v>
      </c>
    </row>
    <row r="666" spans="1:6" x14ac:dyDescent="0.25">
      <c r="A666" s="54">
        <v>33070114955</v>
      </c>
      <c r="B666" s="143" t="s">
        <v>500</v>
      </c>
      <c r="C666" s="158">
        <v>6</v>
      </c>
      <c r="F666" s="175" t="e">
        <f>VLOOKUP(Saldo[[#This Row],[ITEM]],#REF!,4,0)</f>
        <v>#REF!</v>
      </c>
    </row>
    <row r="667" spans="1:6" x14ac:dyDescent="0.25">
      <c r="A667" s="54">
        <v>33070114956</v>
      </c>
      <c r="B667" s="143" t="s">
        <v>501</v>
      </c>
      <c r="C667" s="158">
        <v>4</v>
      </c>
      <c r="F667" s="175" t="e">
        <f>VLOOKUP(Saldo[[#This Row],[ITEM]],#REF!,4,0)</f>
        <v>#REF!</v>
      </c>
    </row>
    <row r="668" spans="1:6" x14ac:dyDescent="0.25">
      <c r="A668" s="54">
        <v>33070114959</v>
      </c>
      <c r="B668" s="143" t="s">
        <v>502</v>
      </c>
      <c r="C668" s="158">
        <v>2</v>
      </c>
      <c r="F668" s="175" t="e">
        <f>VLOOKUP(Saldo[[#This Row],[ITEM]],#REF!,4,0)</f>
        <v>#REF!</v>
      </c>
    </row>
    <row r="669" spans="1:6" x14ac:dyDescent="0.25">
      <c r="A669" s="54">
        <v>33070118000</v>
      </c>
      <c r="B669" s="143" t="s">
        <v>503</v>
      </c>
      <c r="C669" s="158">
        <v>4</v>
      </c>
      <c r="F669" s="175" t="e">
        <f>VLOOKUP(Saldo[[#This Row],[ITEM]],#REF!,4,0)</f>
        <v>#REF!</v>
      </c>
    </row>
    <row r="670" spans="1:6" x14ac:dyDescent="0.25">
      <c r="A670" s="54">
        <v>33070118001</v>
      </c>
      <c r="B670" s="143" t="s">
        <v>504</v>
      </c>
      <c r="C670" s="158">
        <v>4</v>
      </c>
      <c r="F670" s="175" t="e">
        <f>VLOOKUP(Saldo[[#This Row],[ITEM]],#REF!,4,0)</f>
        <v>#REF!</v>
      </c>
    </row>
    <row r="671" spans="1:6" x14ac:dyDescent="0.25">
      <c r="A671" s="54">
        <v>33070118002</v>
      </c>
      <c r="B671" s="143" t="s">
        <v>505</v>
      </c>
      <c r="C671" s="158">
        <v>4</v>
      </c>
      <c r="F671" s="175" t="e">
        <f>VLOOKUP(Saldo[[#This Row],[ITEM]],#REF!,4,0)</f>
        <v>#REF!</v>
      </c>
    </row>
    <row r="672" spans="1:6" x14ac:dyDescent="0.25">
      <c r="A672" s="54">
        <v>33070118007</v>
      </c>
      <c r="B672" s="143" t="s">
        <v>506</v>
      </c>
      <c r="C672" s="158">
        <v>4</v>
      </c>
      <c r="F672" s="175" t="e">
        <f>VLOOKUP(Saldo[[#This Row],[ITEM]],#REF!,4,0)</f>
        <v>#REF!</v>
      </c>
    </row>
    <row r="673" spans="1:6" x14ac:dyDescent="0.25">
      <c r="A673" s="54">
        <v>33070118008</v>
      </c>
      <c r="B673" s="143" t="s">
        <v>507</v>
      </c>
      <c r="C673" s="158">
        <v>4</v>
      </c>
      <c r="F673" s="175" t="e">
        <f>VLOOKUP(Saldo[[#This Row],[ITEM]],#REF!,4,0)</f>
        <v>#REF!</v>
      </c>
    </row>
    <row r="674" spans="1:6" x14ac:dyDescent="0.25">
      <c r="A674" s="54">
        <v>33070118010</v>
      </c>
      <c r="B674" s="143" t="s">
        <v>508</v>
      </c>
      <c r="C674" s="158">
        <v>4</v>
      </c>
      <c r="F674" s="175" t="e">
        <f>VLOOKUP(Saldo[[#This Row],[ITEM]],#REF!,4,0)</f>
        <v>#REF!</v>
      </c>
    </row>
    <row r="675" spans="1:6" x14ac:dyDescent="0.25">
      <c r="A675" s="54">
        <v>33070118011</v>
      </c>
      <c r="B675" s="143" t="s">
        <v>509</v>
      </c>
      <c r="C675" s="158">
        <v>4</v>
      </c>
      <c r="F675" s="175" t="e">
        <f>VLOOKUP(Saldo[[#This Row],[ITEM]],#REF!,4,0)</f>
        <v>#REF!</v>
      </c>
    </row>
    <row r="676" spans="1:6" x14ac:dyDescent="0.25">
      <c r="A676" s="54">
        <v>33070118012</v>
      </c>
      <c r="B676" s="143" t="s">
        <v>510</v>
      </c>
      <c r="C676" s="158">
        <v>4</v>
      </c>
      <c r="F676" s="175" t="e">
        <f>VLOOKUP(Saldo[[#This Row],[ITEM]],#REF!,4,0)</f>
        <v>#REF!</v>
      </c>
    </row>
    <row r="677" spans="1:6" x14ac:dyDescent="0.25">
      <c r="A677" s="54">
        <v>33070118013</v>
      </c>
      <c r="B677" s="143" t="s">
        <v>511</v>
      </c>
      <c r="C677" s="158">
        <v>3</v>
      </c>
      <c r="F677" s="175" t="e">
        <f>VLOOKUP(Saldo[[#This Row],[ITEM]],#REF!,4,0)</f>
        <v>#REF!</v>
      </c>
    </row>
    <row r="678" spans="1:6" x14ac:dyDescent="0.25">
      <c r="A678" s="54">
        <v>33070118014</v>
      </c>
      <c r="B678" s="143" t="s">
        <v>512</v>
      </c>
      <c r="C678" s="158">
        <v>4</v>
      </c>
      <c r="F678" s="175" t="e">
        <f>VLOOKUP(Saldo[[#This Row],[ITEM]],#REF!,4,0)</f>
        <v>#REF!</v>
      </c>
    </row>
    <row r="679" spans="1:6" x14ac:dyDescent="0.25">
      <c r="A679" s="54">
        <v>33070118017</v>
      </c>
      <c r="B679" s="143" t="s">
        <v>513</v>
      </c>
      <c r="C679" s="158">
        <v>8</v>
      </c>
      <c r="F679" s="175" t="e">
        <f>VLOOKUP(Saldo[[#This Row],[ITEM]],#REF!,4,0)</f>
        <v>#REF!</v>
      </c>
    </row>
    <row r="680" spans="1:6" x14ac:dyDescent="0.25">
      <c r="A680" s="54">
        <v>33070118018</v>
      </c>
      <c r="B680" s="143" t="s">
        <v>514</v>
      </c>
      <c r="C680" s="158">
        <v>3</v>
      </c>
      <c r="F680" s="175" t="e">
        <f>VLOOKUP(Saldo[[#This Row],[ITEM]],#REF!,4,0)</f>
        <v>#REF!</v>
      </c>
    </row>
    <row r="681" spans="1:6" x14ac:dyDescent="0.25">
      <c r="A681" s="54">
        <v>33070118020</v>
      </c>
      <c r="B681" s="143" t="s">
        <v>515</v>
      </c>
      <c r="C681" s="158">
        <v>4</v>
      </c>
      <c r="F681" s="175" t="e">
        <f>VLOOKUP(Saldo[[#This Row],[ITEM]],#REF!,4,0)</f>
        <v>#REF!</v>
      </c>
    </row>
    <row r="682" spans="1:6" x14ac:dyDescent="0.25">
      <c r="A682" s="54">
        <v>33070118022</v>
      </c>
      <c r="B682" s="143" t="s">
        <v>516</v>
      </c>
      <c r="C682" s="158">
        <v>4</v>
      </c>
      <c r="F682" s="175" t="e">
        <f>VLOOKUP(Saldo[[#This Row],[ITEM]],#REF!,4,0)</f>
        <v>#REF!</v>
      </c>
    </row>
    <row r="683" spans="1:6" x14ac:dyDescent="0.25">
      <c r="A683" s="54">
        <v>33070118025</v>
      </c>
      <c r="B683" s="143" t="s">
        <v>517</v>
      </c>
      <c r="C683" s="158">
        <v>4</v>
      </c>
      <c r="F683" s="175" t="e">
        <f>VLOOKUP(Saldo[[#This Row],[ITEM]],#REF!,4,0)</f>
        <v>#REF!</v>
      </c>
    </row>
    <row r="684" spans="1:6" x14ac:dyDescent="0.25">
      <c r="A684" s="54">
        <v>33070118027</v>
      </c>
      <c r="B684" s="143" t="s">
        <v>518</v>
      </c>
      <c r="C684" s="158">
        <v>8</v>
      </c>
      <c r="F684" s="175" t="e">
        <f>VLOOKUP(Saldo[[#This Row],[ITEM]],#REF!,4,0)</f>
        <v>#REF!</v>
      </c>
    </row>
    <row r="685" spans="1:6" x14ac:dyDescent="0.25">
      <c r="A685" s="54">
        <v>33070118045</v>
      </c>
      <c r="B685" s="143" t="s">
        <v>519</v>
      </c>
      <c r="C685" s="158">
        <v>2</v>
      </c>
      <c r="F685" s="175" t="e">
        <f>VLOOKUP(Saldo[[#This Row],[ITEM]],#REF!,4,0)</f>
        <v>#REF!</v>
      </c>
    </row>
    <row r="686" spans="1:6" x14ac:dyDescent="0.25">
      <c r="A686" s="54">
        <v>33070144118</v>
      </c>
      <c r="B686" s="143" t="s">
        <v>520</v>
      </c>
      <c r="C686" s="158">
        <v>10</v>
      </c>
      <c r="F686" s="175" t="e">
        <f>VLOOKUP(Saldo[[#This Row],[ITEM]],#REF!,4,0)</f>
        <v>#REF!</v>
      </c>
    </row>
    <row r="687" spans="1:6" x14ac:dyDescent="0.25">
      <c r="A687" s="54">
        <v>33070144127</v>
      </c>
      <c r="B687" s="143" t="s">
        <v>521</v>
      </c>
      <c r="C687" s="158">
        <v>115</v>
      </c>
      <c r="F687" s="175" t="e">
        <f>VLOOKUP(Saldo[[#This Row],[ITEM]],#REF!,4,0)</f>
        <v>#REF!</v>
      </c>
    </row>
    <row r="688" spans="1:6" x14ac:dyDescent="0.25">
      <c r="A688" s="54">
        <v>33070154053</v>
      </c>
      <c r="B688" s="143" t="s">
        <v>522</v>
      </c>
      <c r="C688" s="158">
        <v>222</v>
      </c>
      <c r="F688" s="175" t="e">
        <f>VLOOKUP(Saldo[[#This Row],[ITEM]],#REF!,4,0)</f>
        <v>#REF!</v>
      </c>
    </row>
    <row r="689" spans="1:6" x14ac:dyDescent="0.25">
      <c r="A689" s="54">
        <v>33070160256</v>
      </c>
      <c r="B689" s="143" t="s">
        <v>523</v>
      </c>
      <c r="C689" s="158">
        <v>5</v>
      </c>
      <c r="F689" s="175" t="e">
        <f>VLOOKUP(Saldo[[#This Row],[ITEM]],#REF!,4,0)</f>
        <v>#REF!</v>
      </c>
    </row>
    <row r="690" spans="1:6" x14ac:dyDescent="0.25">
      <c r="A690" s="54">
        <v>33070160257</v>
      </c>
      <c r="B690" s="143" t="s">
        <v>524</v>
      </c>
      <c r="C690" s="158">
        <v>5</v>
      </c>
      <c r="F690" s="175" t="e">
        <f>VLOOKUP(Saldo[[#This Row],[ITEM]],#REF!,4,0)</f>
        <v>#REF!</v>
      </c>
    </row>
    <row r="691" spans="1:6" x14ac:dyDescent="0.25">
      <c r="A691" s="54">
        <v>33070160258</v>
      </c>
      <c r="B691" s="143" t="s">
        <v>525</v>
      </c>
      <c r="C691" s="158">
        <v>4</v>
      </c>
      <c r="F691" s="175" t="e">
        <f>VLOOKUP(Saldo[[#This Row],[ITEM]],#REF!,4,0)</f>
        <v>#REF!</v>
      </c>
    </row>
    <row r="692" spans="1:6" x14ac:dyDescent="0.25">
      <c r="A692" s="54">
        <v>33070160714</v>
      </c>
      <c r="B692" s="143" t="s">
        <v>526</v>
      </c>
      <c r="C692" s="158">
        <v>670</v>
      </c>
      <c r="F692" s="175" t="e">
        <f>VLOOKUP(Saldo[[#This Row],[ITEM]],#REF!,4,0)</f>
        <v>#REF!</v>
      </c>
    </row>
    <row r="693" spans="1:6" x14ac:dyDescent="0.25">
      <c r="A693" s="54">
        <v>33070414530</v>
      </c>
      <c r="B693" s="143" t="s">
        <v>527</v>
      </c>
      <c r="C693" s="158">
        <v>35</v>
      </c>
      <c r="F693" s="175" t="e">
        <f>VLOOKUP(Saldo[[#This Row],[ITEM]],#REF!,4,0)</f>
        <v>#REF!</v>
      </c>
    </row>
    <row r="694" spans="1:6" x14ac:dyDescent="0.25">
      <c r="A694" s="54">
        <v>33070418009</v>
      </c>
      <c r="B694" s="143" t="s">
        <v>528</v>
      </c>
      <c r="C694" s="158">
        <v>5</v>
      </c>
      <c r="F694" s="175" t="e">
        <f>VLOOKUP(Saldo[[#This Row],[ITEM]],#REF!,4,0)</f>
        <v>#REF!</v>
      </c>
    </row>
    <row r="695" spans="1:6" x14ac:dyDescent="0.25">
      <c r="A695" s="54">
        <v>33070418016</v>
      </c>
      <c r="B695" s="143" t="s">
        <v>529</v>
      </c>
      <c r="C695" s="158">
        <v>5</v>
      </c>
      <c r="F695" s="175" t="e">
        <f>VLOOKUP(Saldo[[#This Row],[ITEM]],#REF!,4,0)</f>
        <v>#REF!</v>
      </c>
    </row>
    <row r="696" spans="1:6" x14ac:dyDescent="0.25">
      <c r="A696" s="54">
        <v>33070418019</v>
      </c>
      <c r="B696" s="143" t="s">
        <v>530</v>
      </c>
      <c r="C696" s="158">
        <v>4</v>
      </c>
      <c r="F696" s="175" t="e">
        <f>VLOOKUP(Saldo[[#This Row],[ITEM]],#REF!,4,0)</f>
        <v>#REF!</v>
      </c>
    </row>
    <row r="697" spans="1:6" x14ac:dyDescent="0.25">
      <c r="A697" s="54">
        <v>33070418021</v>
      </c>
      <c r="B697" s="143" t="s">
        <v>531</v>
      </c>
      <c r="C697" s="158">
        <v>5</v>
      </c>
      <c r="F697" s="175" t="e">
        <f>VLOOKUP(Saldo[[#This Row],[ITEM]],#REF!,4,0)</f>
        <v>#REF!</v>
      </c>
    </row>
    <row r="698" spans="1:6" x14ac:dyDescent="0.25">
      <c r="A698" s="54">
        <v>33070418023</v>
      </c>
      <c r="B698" s="143" t="s">
        <v>532</v>
      </c>
      <c r="C698" s="158">
        <v>5</v>
      </c>
      <c r="F698" s="175" t="e">
        <f>VLOOKUP(Saldo[[#This Row],[ITEM]],#REF!,4,0)</f>
        <v>#REF!</v>
      </c>
    </row>
    <row r="699" spans="1:6" x14ac:dyDescent="0.25">
      <c r="A699" s="54">
        <v>33070418026</v>
      </c>
      <c r="B699" s="143" t="s">
        <v>533</v>
      </c>
      <c r="C699" s="158">
        <v>5</v>
      </c>
      <c r="F699" s="175" t="e">
        <f>VLOOKUP(Saldo[[#This Row],[ITEM]],#REF!,4,0)</f>
        <v>#REF!</v>
      </c>
    </row>
    <row r="700" spans="1:6" x14ac:dyDescent="0.25">
      <c r="A700" s="54">
        <v>33070418028</v>
      </c>
      <c r="B700" s="143" t="s">
        <v>534</v>
      </c>
      <c r="C700" s="158">
        <v>10</v>
      </c>
      <c r="F700" s="175" t="e">
        <f>VLOOKUP(Saldo[[#This Row],[ITEM]],#REF!,4,0)</f>
        <v>#REF!</v>
      </c>
    </row>
    <row r="701" spans="1:6" x14ac:dyDescent="0.25">
      <c r="A701" s="54">
        <v>33070418040</v>
      </c>
      <c r="B701" s="143" t="s">
        <v>535</v>
      </c>
      <c r="C701" s="158">
        <v>5</v>
      </c>
      <c r="F701" s="175" t="e">
        <f>VLOOKUP(Saldo[[#This Row],[ITEM]],#REF!,4,0)</f>
        <v>#REF!</v>
      </c>
    </row>
    <row r="702" spans="1:6" x14ac:dyDescent="0.25">
      <c r="A702" s="54">
        <v>33070418041</v>
      </c>
      <c r="B702" s="143" t="s">
        <v>536</v>
      </c>
      <c r="C702" s="158">
        <v>5</v>
      </c>
      <c r="F702" s="175" t="e">
        <f>VLOOKUP(Saldo[[#This Row],[ITEM]],#REF!,4,0)</f>
        <v>#REF!</v>
      </c>
    </row>
    <row r="703" spans="1:6" x14ac:dyDescent="0.25">
      <c r="A703" s="54">
        <v>33070418042</v>
      </c>
      <c r="B703" s="143" t="s">
        <v>537</v>
      </c>
      <c r="C703" s="158">
        <v>20</v>
      </c>
      <c r="F703" s="175" t="e">
        <f>VLOOKUP(Saldo[[#This Row],[ITEM]],#REF!,4,0)</f>
        <v>#REF!</v>
      </c>
    </row>
    <row r="704" spans="1:6" x14ac:dyDescent="0.25">
      <c r="A704" s="54">
        <v>33070424531</v>
      </c>
      <c r="B704" s="143" t="s">
        <v>3001</v>
      </c>
      <c r="C704" s="158">
        <v>131</v>
      </c>
      <c r="F704" s="175" t="e">
        <f>VLOOKUP(Saldo[[#This Row],[ITEM]],#REF!,4,0)</f>
        <v>#REF!</v>
      </c>
    </row>
    <row r="705" spans="1:6" x14ac:dyDescent="0.25">
      <c r="A705" s="54">
        <v>33070424532</v>
      </c>
      <c r="B705" s="143" t="s">
        <v>538</v>
      </c>
      <c r="C705" s="158">
        <v>40</v>
      </c>
      <c r="F705" s="175" t="e">
        <f>VLOOKUP(Saldo[[#This Row],[ITEM]],#REF!,4,0)</f>
        <v>#REF!</v>
      </c>
    </row>
    <row r="706" spans="1:6" x14ac:dyDescent="0.25">
      <c r="A706" s="54">
        <v>33070424533</v>
      </c>
      <c r="B706" s="143" t="s">
        <v>539</v>
      </c>
      <c r="C706" s="158">
        <v>28</v>
      </c>
      <c r="F706" s="175" t="e">
        <f>VLOOKUP(Saldo[[#This Row],[ITEM]],#REF!,4,0)</f>
        <v>#REF!</v>
      </c>
    </row>
    <row r="707" spans="1:6" x14ac:dyDescent="0.25">
      <c r="A707" s="54">
        <v>33070454047</v>
      </c>
      <c r="B707" s="143" t="s">
        <v>540</v>
      </c>
      <c r="C707" s="158">
        <v>79</v>
      </c>
      <c r="F707" s="175" t="e">
        <f>VLOOKUP(Saldo[[#This Row],[ITEM]],#REF!,4,0)</f>
        <v>#REF!</v>
      </c>
    </row>
    <row r="708" spans="1:6" x14ac:dyDescent="0.25">
      <c r="A708" s="54">
        <v>33070460260</v>
      </c>
      <c r="B708" s="143" t="s">
        <v>541</v>
      </c>
      <c r="C708" s="158">
        <v>5</v>
      </c>
      <c r="F708" s="175" t="e">
        <f>VLOOKUP(Saldo[[#This Row],[ITEM]],#REF!,4,0)</f>
        <v>#REF!</v>
      </c>
    </row>
    <row r="709" spans="1:6" x14ac:dyDescent="0.25">
      <c r="A709" s="54">
        <v>33070460261</v>
      </c>
      <c r="B709" s="143" t="s">
        <v>542</v>
      </c>
      <c r="C709" s="158">
        <v>5</v>
      </c>
      <c r="F709" s="175" t="e">
        <f>VLOOKUP(Saldo[[#This Row],[ITEM]],#REF!,4,0)</f>
        <v>#REF!</v>
      </c>
    </row>
    <row r="710" spans="1:6" x14ac:dyDescent="0.25">
      <c r="A710" s="54">
        <v>33070460262</v>
      </c>
      <c r="B710" s="143" t="s">
        <v>543</v>
      </c>
      <c r="C710" s="158">
        <v>5</v>
      </c>
      <c r="F710" s="175" t="e">
        <f>VLOOKUP(Saldo[[#This Row],[ITEM]],#REF!,4,0)</f>
        <v>#REF!</v>
      </c>
    </row>
    <row r="711" spans="1:6" x14ac:dyDescent="0.25">
      <c r="A711" s="54">
        <v>33070460772</v>
      </c>
      <c r="B711" s="143" t="s">
        <v>544</v>
      </c>
      <c r="C711" s="158">
        <v>28</v>
      </c>
      <c r="F711" s="175" t="e">
        <f>VLOOKUP(Saldo[[#This Row],[ITEM]],#REF!,4,0)</f>
        <v>#REF!</v>
      </c>
    </row>
    <row r="712" spans="1:6" x14ac:dyDescent="0.25">
      <c r="A712" s="54">
        <v>33070460775</v>
      </c>
      <c r="B712" s="143" t="s">
        <v>545</v>
      </c>
      <c r="C712" s="158">
        <v>66</v>
      </c>
      <c r="F712" s="175" t="e">
        <f>VLOOKUP(Saldo[[#This Row],[ITEM]],#REF!,4,0)</f>
        <v>#REF!</v>
      </c>
    </row>
    <row r="713" spans="1:6" x14ac:dyDescent="0.25">
      <c r="A713" s="54">
        <v>33070460776</v>
      </c>
      <c r="B713" s="143" t="s">
        <v>546</v>
      </c>
      <c r="C713" s="158">
        <v>17</v>
      </c>
      <c r="F713" s="175" t="e">
        <f>VLOOKUP(Saldo[[#This Row],[ITEM]],#REF!,4,0)</f>
        <v>#REF!</v>
      </c>
    </row>
    <row r="714" spans="1:6" x14ac:dyDescent="0.25">
      <c r="A714" s="54">
        <v>33070463938</v>
      </c>
      <c r="B714" s="143" t="s">
        <v>547</v>
      </c>
      <c r="C714" s="158">
        <v>1</v>
      </c>
      <c r="F714" s="175" t="e">
        <f>VLOOKUP(Saldo[[#This Row],[ITEM]],#REF!,4,0)</f>
        <v>#REF!</v>
      </c>
    </row>
    <row r="715" spans="1:6" x14ac:dyDescent="0.25">
      <c r="A715" s="54">
        <v>33070463939</v>
      </c>
      <c r="B715" s="143" t="s">
        <v>548</v>
      </c>
      <c r="C715" s="158">
        <v>1</v>
      </c>
      <c r="F715" s="175" t="e">
        <f>VLOOKUP(Saldo[[#This Row],[ITEM]],#REF!,4,0)</f>
        <v>#REF!</v>
      </c>
    </row>
    <row r="716" spans="1:6" x14ac:dyDescent="0.25">
      <c r="A716" s="54">
        <v>33070514630</v>
      </c>
      <c r="B716" s="143" t="s">
        <v>549</v>
      </c>
      <c r="C716" s="158">
        <v>0</v>
      </c>
      <c r="F716" s="175" t="e">
        <f>VLOOKUP(Saldo[[#This Row],[ITEM]],#REF!,4,0)</f>
        <v>#REF!</v>
      </c>
    </row>
    <row r="717" spans="1:6" x14ac:dyDescent="0.25">
      <c r="A717" s="54">
        <v>33070514642</v>
      </c>
      <c r="B717" s="143" t="s">
        <v>2875</v>
      </c>
      <c r="C717" s="158">
        <v>0</v>
      </c>
      <c r="F717" s="175" t="e">
        <f>VLOOKUP(Saldo[[#This Row],[ITEM]],#REF!,4,0)</f>
        <v>#REF!</v>
      </c>
    </row>
    <row r="718" spans="1:6" x14ac:dyDescent="0.25">
      <c r="A718" s="54">
        <v>33070514644</v>
      </c>
      <c r="B718" s="143" t="s">
        <v>550</v>
      </c>
      <c r="C718" s="158" t="e">
        <v>#N/A</v>
      </c>
      <c r="F718" s="175" t="e">
        <f>VLOOKUP(Saldo[[#This Row],[ITEM]],#REF!,4,0)</f>
        <v>#REF!</v>
      </c>
    </row>
    <row r="719" spans="1:6" x14ac:dyDescent="0.25">
      <c r="A719" s="54">
        <v>33070514645</v>
      </c>
      <c r="B719" s="143" t="s">
        <v>551</v>
      </c>
      <c r="C719" s="158" t="e">
        <v>#N/A</v>
      </c>
      <c r="F719" s="175" t="e">
        <f>VLOOKUP(Saldo[[#This Row],[ITEM]],#REF!,4,0)</f>
        <v>#REF!</v>
      </c>
    </row>
    <row r="720" spans="1:6" x14ac:dyDescent="0.25">
      <c r="A720" s="54">
        <v>33070514646</v>
      </c>
      <c r="B720" s="143" t="s">
        <v>552</v>
      </c>
      <c r="C720" s="158" t="e">
        <v>#N/A</v>
      </c>
      <c r="F720" s="175" t="e">
        <f>VLOOKUP(Saldo[[#This Row],[ITEM]],#REF!,4,0)</f>
        <v>#REF!</v>
      </c>
    </row>
    <row r="721" spans="1:6" x14ac:dyDescent="0.25">
      <c r="A721" s="54">
        <v>33070514647</v>
      </c>
      <c r="B721" s="143" t="s">
        <v>553</v>
      </c>
      <c r="C721" s="158" t="e">
        <v>#N/A</v>
      </c>
      <c r="F721" s="175" t="e">
        <f>VLOOKUP(Saldo[[#This Row],[ITEM]],#REF!,4,0)</f>
        <v>#REF!</v>
      </c>
    </row>
    <row r="722" spans="1:6" x14ac:dyDescent="0.25">
      <c r="A722" s="54">
        <v>33070514765</v>
      </c>
      <c r="B722" s="143" t="s">
        <v>554</v>
      </c>
      <c r="C722" s="158">
        <v>477</v>
      </c>
      <c r="F722" s="175" t="e">
        <f>VLOOKUP(Saldo[[#This Row],[ITEM]],#REF!,4,0)</f>
        <v>#REF!</v>
      </c>
    </row>
    <row r="723" spans="1:6" x14ac:dyDescent="0.25">
      <c r="A723" s="54">
        <v>33070514779</v>
      </c>
      <c r="B723" s="143" t="s">
        <v>555</v>
      </c>
      <c r="C723" s="158" t="e">
        <v>#N/A</v>
      </c>
      <c r="F723" s="175" t="e">
        <f>VLOOKUP(Saldo[[#This Row],[ITEM]],#REF!,4,0)</f>
        <v>#REF!</v>
      </c>
    </row>
    <row r="724" spans="1:6" x14ac:dyDescent="0.25">
      <c r="A724" s="54">
        <v>33070514780</v>
      </c>
      <c r="B724" s="143" t="s">
        <v>556</v>
      </c>
      <c r="C724" s="158" t="e">
        <v>#N/A</v>
      </c>
      <c r="F724" s="175" t="e">
        <f>VLOOKUP(Saldo[[#This Row],[ITEM]],#REF!,4,0)</f>
        <v>#REF!</v>
      </c>
    </row>
    <row r="725" spans="1:6" x14ac:dyDescent="0.25">
      <c r="A725" s="54">
        <v>33070514935</v>
      </c>
      <c r="B725" s="143" t="s">
        <v>557</v>
      </c>
      <c r="C725" s="158">
        <v>4</v>
      </c>
      <c r="F725" s="175" t="e">
        <f>VLOOKUP(Saldo[[#This Row],[ITEM]],#REF!,4,0)</f>
        <v>#REF!</v>
      </c>
    </row>
    <row r="726" spans="1:6" x14ac:dyDescent="0.25">
      <c r="A726" s="54">
        <v>33070514948</v>
      </c>
      <c r="B726" s="143" t="s">
        <v>558</v>
      </c>
      <c r="C726" s="158">
        <v>46</v>
      </c>
      <c r="F726" s="175" t="e">
        <f>VLOOKUP(Saldo[[#This Row],[ITEM]],#REF!,4,0)</f>
        <v>#REF!</v>
      </c>
    </row>
    <row r="727" spans="1:6" x14ac:dyDescent="0.25">
      <c r="A727" s="54">
        <v>33070514949</v>
      </c>
      <c r="B727" s="143" t="s">
        <v>559</v>
      </c>
      <c r="C727" s="158">
        <v>46</v>
      </c>
      <c r="F727" s="175" t="e">
        <f>VLOOKUP(Saldo[[#This Row],[ITEM]],#REF!,4,0)</f>
        <v>#REF!</v>
      </c>
    </row>
    <row r="728" spans="1:6" x14ac:dyDescent="0.25">
      <c r="A728" s="54">
        <v>33070514950</v>
      </c>
      <c r="B728" s="143" t="s">
        <v>560</v>
      </c>
      <c r="C728" s="158">
        <v>3</v>
      </c>
      <c r="F728" s="175" t="e">
        <f>VLOOKUP(Saldo[[#This Row],[ITEM]],#REF!,4,0)</f>
        <v>#REF!</v>
      </c>
    </row>
    <row r="729" spans="1:6" x14ac:dyDescent="0.25">
      <c r="A729" s="54">
        <v>33070514952</v>
      </c>
      <c r="B729" s="143" t="s">
        <v>561</v>
      </c>
      <c r="C729" s="158">
        <v>3</v>
      </c>
      <c r="F729" s="175" t="e">
        <f>VLOOKUP(Saldo[[#This Row],[ITEM]],#REF!,4,0)</f>
        <v>#REF!</v>
      </c>
    </row>
    <row r="730" spans="1:6" x14ac:dyDescent="0.25">
      <c r="A730" s="54">
        <v>33070514953</v>
      </c>
      <c r="B730" s="143" t="s">
        <v>562</v>
      </c>
      <c r="C730" s="158">
        <v>44</v>
      </c>
      <c r="F730" s="175" t="e">
        <f>VLOOKUP(Saldo[[#This Row],[ITEM]],#REF!,4,0)</f>
        <v>#REF!</v>
      </c>
    </row>
    <row r="731" spans="1:6" x14ac:dyDescent="0.25">
      <c r="A731" s="54">
        <v>33070514954</v>
      </c>
      <c r="B731" s="143" t="s">
        <v>563</v>
      </c>
      <c r="C731" s="158">
        <v>45</v>
      </c>
      <c r="F731" s="175" t="e">
        <f>VLOOKUP(Saldo[[#This Row],[ITEM]],#REF!,4,0)</f>
        <v>#REF!</v>
      </c>
    </row>
    <row r="732" spans="1:6" x14ac:dyDescent="0.25">
      <c r="A732" s="54">
        <v>33070514957</v>
      </c>
      <c r="B732" s="143" t="s">
        <v>564</v>
      </c>
      <c r="C732" s="158">
        <v>7</v>
      </c>
      <c r="F732" s="175" t="e">
        <f>VLOOKUP(Saldo[[#This Row],[ITEM]],#REF!,4,0)</f>
        <v>#REF!</v>
      </c>
    </row>
    <row r="733" spans="1:6" x14ac:dyDescent="0.25">
      <c r="A733" s="54">
        <v>33070518003</v>
      </c>
      <c r="B733" s="143" t="s">
        <v>565</v>
      </c>
      <c r="C733" s="158">
        <v>4</v>
      </c>
      <c r="F733" s="175" t="e">
        <f>VLOOKUP(Saldo[[#This Row],[ITEM]],#REF!,4,0)</f>
        <v>#REF!</v>
      </c>
    </row>
    <row r="734" spans="1:6" x14ac:dyDescent="0.25">
      <c r="A734" s="54">
        <v>33070518004</v>
      </c>
      <c r="B734" s="143" t="s">
        <v>566</v>
      </c>
      <c r="C734" s="158">
        <v>3</v>
      </c>
      <c r="F734" s="175" t="e">
        <f>VLOOKUP(Saldo[[#This Row],[ITEM]],#REF!,4,0)</f>
        <v>#REF!</v>
      </c>
    </row>
    <row r="735" spans="1:6" x14ac:dyDescent="0.25">
      <c r="A735" s="54">
        <v>33070518005</v>
      </c>
      <c r="B735" s="143" t="s">
        <v>567</v>
      </c>
      <c r="C735" s="158">
        <v>4</v>
      </c>
      <c r="F735" s="175" t="e">
        <f>VLOOKUP(Saldo[[#This Row],[ITEM]],#REF!,4,0)</f>
        <v>#REF!</v>
      </c>
    </row>
    <row r="736" spans="1:6" x14ac:dyDescent="0.25">
      <c r="A736" s="54">
        <v>33070518006</v>
      </c>
      <c r="B736" s="143" t="s">
        <v>568</v>
      </c>
      <c r="C736" s="158">
        <v>3</v>
      </c>
      <c r="F736" s="175" t="e">
        <f>VLOOKUP(Saldo[[#This Row],[ITEM]],#REF!,4,0)</f>
        <v>#REF!</v>
      </c>
    </row>
    <row r="737" spans="1:6" x14ac:dyDescent="0.25">
      <c r="A737" s="54">
        <v>33070518029</v>
      </c>
      <c r="B737" s="143" t="s">
        <v>569</v>
      </c>
      <c r="C737" s="158">
        <v>228</v>
      </c>
      <c r="F737" s="175" t="e">
        <f>VLOOKUP(Saldo[[#This Row],[ITEM]],#REF!,4,0)</f>
        <v>#REF!</v>
      </c>
    </row>
    <row r="738" spans="1:6" x14ac:dyDescent="0.25">
      <c r="A738" s="54">
        <v>33070518030</v>
      </c>
      <c r="B738" s="143" t="s">
        <v>570</v>
      </c>
      <c r="C738" s="158">
        <v>108</v>
      </c>
      <c r="F738" s="175" t="e">
        <f>VLOOKUP(Saldo[[#This Row],[ITEM]],#REF!,4,0)</f>
        <v>#REF!</v>
      </c>
    </row>
    <row r="739" spans="1:6" x14ac:dyDescent="0.25">
      <c r="A739" s="54">
        <v>33070518032</v>
      </c>
      <c r="B739" s="143" t="s">
        <v>571</v>
      </c>
      <c r="C739" s="158">
        <v>47</v>
      </c>
      <c r="F739" s="175" t="e">
        <f>VLOOKUP(Saldo[[#This Row],[ITEM]],#REF!,4,0)</f>
        <v>#REF!</v>
      </c>
    </row>
    <row r="740" spans="1:6" x14ac:dyDescent="0.25">
      <c r="A740" s="54">
        <v>33070518033</v>
      </c>
      <c r="B740" s="143" t="s">
        <v>572</v>
      </c>
      <c r="C740" s="158">
        <v>47</v>
      </c>
      <c r="F740" s="175" t="e">
        <f>VLOOKUP(Saldo[[#This Row],[ITEM]],#REF!,4,0)</f>
        <v>#REF!</v>
      </c>
    </row>
    <row r="741" spans="1:6" x14ac:dyDescent="0.25">
      <c r="A741" s="54">
        <v>33070518034</v>
      </c>
      <c r="B741" s="143" t="s">
        <v>573</v>
      </c>
      <c r="C741" s="158">
        <v>44</v>
      </c>
      <c r="F741" s="175" t="e">
        <f>VLOOKUP(Saldo[[#This Row],[ITEM]],#REF!,4,0)</f>
        <v>#REF!</v>
      </c>
    </row>
    <row r="742" spans="1:6" x14ac:dyDescent="0.25">
      <c r="A742" s="54">
        <v>33070518035</v>
      </c>
      <c r="B742" s="143" t="s">
        <v>574</v>
      </c>
      <c r="C742" s="158">
        <v>276</v>
      </c>
      <c r="F742" s="175" t="e">
        <f>VLOOKUP(Saldo[[#This Row],[ITEM]],#REF!,4,0)</f>
        <v>#REF!</v>
      </c>
    </row>
    <row r="743" spans="1:6" x14ac:dyDescent="0.25">
      <c r="A743" s="54">
        <v>33070518036</v>
      </c>
      <c r="B743" s="143" t="s">
        <v>575</v>
      </c>
      <c r="C743" s="158">
        <v>2</v>
      </c>
      <c r="F743" s="175" t="e">
        <f>VLOOKUP(Saldo[[#This Row],[ITEM]],#REF!,4,0)</f>
        <v>#REF!</v>
      </c>
    </row>
    <row r="744" spans="1:6" x14ac:dyDescent="0.25">
      <c r="A744" s="54">
        <v>33070518037</v>
      </c>
      <c r="B744" s="143" t="s">
        <v>576</v>
      </c>
      <c r="C744" s="158">
        <v>3</v>
      </c>
      <c r="F744" s="175" t="e">
        <f>VLOOKUP(Saldo[[#This Row],[ITEM]],#REF!,4,0)</f>
        <v>#REF!</v>
      </c>
    </row>
    <row r="745" spans="1:6" x14ac:dyDescent="0.25">
      <c r="A745" s="54">
        <v>33070518039</v>
      </c>
      <c r="B745" s="143" t="s">
        <v>577</v>
      </c>
      <c r="C745" s="158">
        <v>39</v>
      </c>
      <c r="F745" s="175" t="e">
        <f>VLOOKUP(Saldo[[#This Row],[ITEM]],#REF!,4,0)</f>
        <v>#REF!</v>
      </c>
    </row>
    <row r="746" spans="1:6" x14ac:dyDescent="0.25">
      <c r="A746" s="54">
        <v>33070518043</v>
      </c>
      <c r="B746" s="143" t="s">
        <v>578</v>
      </c>
      <c r="C746" s="158">
        <v>4</v>
      </c>
      <c r="F746" s="175" t="e">
        <f>VLOOKUP(Saldo[[#This Row],[ITEM]],#REF!,4,0)</f>
        <v>#REF!</v>
      </c>
    </row>
    <row r="747" spans="1:6" x14ac:dyDescent="0.25">
      <c r="A747" s="54">
        <v>33070518044</v>
      </c>
      <c r="B747" s="143" t="s">
        <v>579</v>
      </c>
      <c r="C747" s="158">
        <v>4</v>
      </c>
      <c r="F747" s="175" t="e">
        <f>VLOOKUP(Saldo[[#This Row],[ITEM]],#REF!,4,0)</f>
        <v>#REF!</v>
      </c>
    </row>
    <row r="748" spans="1:6" x14ac:dyDescent="0.25">
      <c r="A748" s="54">
        <v>33070560249</v>
      </c>
      <c r="B748" s="143" t="s">
        <v>580</v>
      </c>
      <c r="C748" s="158">
        <v>159</v>
      </c>
      <c r="F748" s="175" t="e">
        <f>VLOOKUP(Saldo[[#This Row],[ITEM]],#REF!,4,0)</f>
        <v>#REF!</v>
      </c>
    </row>
    <row r="749" spans="1:6" x14ac:dyDescent="0.25">
      <c r="A749" s="54">
        <v>33070560250</v>
      </c>
      <c r="B749" s="143" t="s">
        <v>581</v>
      </c>
      <c r="C749" s="158">
        <v>160</v>
      </c>
      <c r="F749" s="175" t="e">
        <f>VLOOKUP(Saldo[[#This Row],[ITEM]],#REF!,4,0)</f>
        <v>#REF!</v>
      </c>
    </row>
    <row r="750" spans="1:6" x14ac:dyDescent="0.25">
      <c r="A750" s="54">
        <v>33070560251</v>
      </c>
      <c r="B750" s="143" t="s">
        <v>582</v>
      </c>
      <c r="C750" s="158">
        <v>33</v>
      </c>
      <c r="F750" s="175" t="e">
        <f>VLOOKUP(Saldo[[#This Row],[ITEM]],#REF!,4,0)</f>
        <v>#REF!</v>
      </c>
    </row>
    <row r="751" spans="1:6" x14ac:dyDescent="0.25">
      <c r="A751" s="54">
        <v>33070560252</v>
      </c>
      <c r="B751" s="143" t="s">
        <v>583</v>
      </c>
      <c r="C751" s="158">
        <v>135</v>
      </c>
      <c r="F751" s="175" t="e">
        <f>VLOOKUP(Saldo[[#This Row],[ITEM]],#REF!,4,0)</f>
        <v>#REF!</v>
      </c>
    </row>
    <row r="752" spans="1:6" x14ac:dyDescent="0.25">
      <c r="A752" s="54">
        <v>33070560253</v>
      </c>
      <c r="B752" s="143" t="s">
        <v>584</v>
      </c>
      <c r="C752" s="158">
        <v>199</v>
      </c>
      <c r="F752" s="175" t="e">
        <f>VLOOKUP(Saldo[[#This Row],[ITEM]],#REF!,4,0)</f>
        <v>#REF!</v>
      </c>
    </row>
    <row r="753" spans="1:6" x14ac:dyDescent="0.25">
      <c r="A753" s="54">
        <v>33070560254</v>
      </c>
      <c r="B753" s="143" t="s">
        <v>585</v>
      </c>
      <c r="C753" s="158">
        <v>150</v>
      </c>
      <c r="F753" s="175" t="e">
        <f>VLOOKUP(Saldo[[#This Row],[ITEM]],#REF!,4,0)</f>
        <v>#REF!</v>
      </c>
    </row>
    <row r="754" spans="1:6" x14ac:dyDescent="0.25">
      <c r="A754" s="54">
        <v>33070560255</v>
      </c>
      <c r="B754" s="143" t="s">
        <v>586</v>
      </c>
      <c r="C754" s="158">
        <v>150</v>
      </c>
      <c r="F754" s="175" t="e">
        <f>VLOOKUP(Saldo[[#This Row],[ITEM]],#REF!,4,0)</f>
        <v>#REF!</v>
      </c>
    </row>
    <row r="755" spans="1:6" x14ac:dyDescent="0.25">
      <c r="A755" s="54">
        <v>33070561320</v>
      </c>
      <c r="B755" s="143" t="s">
        <v>587</v>
      </c>
      <c r="C755" s="158">
        <v>96</v>
      </c>
      <c r="F755" s="175" t="e">
        <f>VLOOKUP(Saldo[[#This Row],[ITEM]],#REF!,4,0)</f>
        <v>#REF!</v>
      </c>
    </row>
    <row r="756" spans="1:6" x14ac:dyDescent="0.25">
      <c r="A756" s="54">
        <v>33070561586</v>
      </c>
      <c r="B756" s="143" t="s">
        <v>588</v>
      </c>
      <c r="C756" s="158">
        <v>0</v>
      </c>
      <c r="F756" s="175" t="e">
        <f>VLOOKUP(Saldo[[#This Row],[ITEM]],#REF!,4,0)</f>
        <v>#REF!</v>
      </c>
    </row>
    <row r="757" spans="1:6" x14ac:dyDescent="0.25">
      <c r="A757" s="54">
        <v>33070561587</v>
      </c>
      <c r="B757" s="143" t="s">
        <v>589</v>
      </c>
      <c r="C757" s="158">
        <v>1051</v>
      </c>
      <c r="F757" s="175" t="e">
        <f>VLOOKUP(Saldo[[#This Row],[ITEM]],#REF!,4,0)</f>
        <v>#REF!</v>
      </c>
    </row>
    <row r="758" spans="1:6" x14ac:dyDescent="0.25">
      <c r="A758" s="54">
        <v>33070561588</v>
      </c>
      <c r="B758" s="143" t="s">
        <v>590</v>
      </c>
      <c r="C758" s="158">
        <v>1718</v>
      </c>
      <c r="F758" s="175" t="e">
        <f>VLOOKUP(Saldo[[#This Row],[ITEM]],#REF!,4,0)</f>
        <v>#REF!</v>
      </c>
    </row>
    <row r="759" spans="1:6" x14ac:dyDescent="0.25">
      <c r="A759" s="54">
        <v>33070561589</v>
      </c>
      <c r="B759" s="143" t="s">
        <v>591</v>
      </c>
      <c r="C759" s="158">
        <v>1227</v>
      </c>
      <c r="F759" s="175" t="e">
        <f>VLOOKUP(Saldo[[#This Row],[ITEM]],#REF!,4,0)</f>
        <v>#REF!</v>
      </c>
    </row>
    <row r="760" spans="1:6" x14ac:dyDescent="0.25">
      <c r="A760" s="54">
        <v>33070561590</v>
      </c>
      <c r="B760" s="143" t="s">
        <v>592</v>
      </c>
      <c r="C760" s="158">
        <v>1193</v>
      </c>
      <c r="F760" s="175" t="e">
        <f>VLOOKUP(Saldo[[#This Row],[ITEM]],#REF!,4,0)</f>
        <v>#REF!</v>
      </c>
    </row>
    <row r="761" spans="1:6" x14ac:dyDescent="0.25">
      <c r="A761" s="54">
        <v>33070614012</v>
      </c>
      <c r="B761" s="143" t="s">
        <v>593</v>
      </c>
      <c r="C761" s="158">
        <v>14</v>
      </c>
      <c r="F761" s="175" t="e">
        <f>VLOOKUP(Saldo[[#This Row],[ITEM]],#REF!,4,0)</f>
        <v>#REF!</v>
      </c>
    </row>
    <row r="762" spans="1:6" x14ac:dyDescent="0.25">
      <c r="A762" s="54">
        <v>33070614013</v>
      </c>
      <c r="B762" s="143" t="s">
        <v>594</v>
      </c>
      <c r="C762" s="158">
        <v>124</v>
      </c>
      <c r="F762" s="175" t="e">
        <f>VLOOKUP(Saldo[[#This Row],[ITEM]],#REF!,4,0)</f>
        <v>#REF!</v>
      </c>
    </row>
    <row r="763" spans="1:6" x14ac:dyDescent="0.25">
      <c r="A763" s="54">
        <v>33070614014</v>
      </c>
      <c r="B763" s="143" t="s">
        <v>595</v>
      </c>
      <c r="C763" s="158">
        <v>1003</v>
      </c>
      <c r="F763" s="175" t="e">
        <f>VLOOKUP(Saldo[[#This Row],[ITEM]],#REF!,4,0)</f>
        <v>#REF!</v>
      </c>
    </row>
    <row r="764" spans="1:6" x14ac:dyDescent="0.25">
      <c r="A764" s="54">
        <v>33070614015</v>
      </c>
      <c r="B764" s="143" t="s">
        <v>596</v>
      </c>
      <c r="C764" s="158">
        <v>469</v>
      </c>
      <c r="F764" s="175" t="e">
        <f>VLOOKUP(Saldo[[#This Row],[ITEM]],#REF!,4,0)</f>
        <v>#REF!</v>
      </c>
    </row>
    <row r="765" spans="1:6" x14ac:dyDescent="0.25">
      <c r="A765" s="54">
        <v>33070614016</v>
      </c>
      <c r="B765" s="143" t="s">
        <v>597</v>
      </c>
      <c r="C765" s="158">
        <v>457</v>
      </c>
      <c r="F765" s="175" t="e">
        <f>VLOOKUP(Saldo[[#This Row],[ITEM]],#REF!,4,0)</f>
        <v>#REF!</v>
      </c>
    </row>
    <row r="766" spans="1:6" x14ac:dyDescent="0.25">
      <c r="A766" s="54">
        <v>33070614019</v>
      </c>
      <c r="B766" s="143" t="s">
        <v>598</v>
      </c>
      <c r="C766" s="158">
        <v>95</v>
      </c>
      <c r="F766" s="175" t="e">
        <f>VLOOKUP(Saldo[[#This Row],[ITEM]],#REF!,4,0)</f>
        <v>#REF!</v>
      </c>
    </row>
    <row r="767" spans="1:6" x14ac:dyDescent="0.25">
      <c r="A767" s="54">
        <v>33070614021</v>
      </c>
      <c r="B767" s="143" t="s">
        <v>599</v>
      </c>
      <c r="C767" s="158">
        <v>364</v>
      </c>
      <c r="F767" s="175" t="e">
        <f>VLOOKUP(Saldo[[#This Row],[ITEM]],#REF!,4,0)</f>
        <v>#REF!</v>
      </c>
    </row>
    <row r="768" spans="1:6" x14ac:dyDescent="0.25">
      <c r="A768" s="54">
        <v>33070614022</v>
      </c>
      <c r="B768" s="143" t="s">
        <v>600</v>
      </c>
      <c r="C768" s="158">
        <v>172</v>
      </c>
      <c r="F768" s="175" t="e">
        <f>VLOOKUP(Saldo[[#This Row],[ITEM]],#REF!,4,0)</f>
        <v>#REF!</v>
      </c>
    </row>
    <row r="769" spans="1:6" x14ac:dyDescent="0.25">
      <c r="A769" s="54">
        <v>33070614023</v>
      </c>
      <c r="B769" s="143" t="s">
        <v>601</v>
      </c>
      <c r="C769" s="158">
        <v>224</v>
      </c>
      <c r="F769" s="175" t="e">
        <f>VLOOKUP(Saldo[[#This Row],[ITEM]],#REF!,4,0)</f>
        <v>#REF!</v>
      </c>
    </row>
    <row r="770" spans="1:6" x14ac:dyDescent="0.25">
      <c r="A770" s="54">
        <v>33070614024</v>
      </c>
      <c r="B770" s="143" t="s">
        <v>602</v>
      </c>
      <c r="C770" s="158">
        <v>78</v>
      </c>
      <c r="F770" s="175" t="e">
        <f>VLOOKUP(Saldo[[#This Row],[ITEM]],#REF!,4,0)</f>
        <v>#REF!</v>
      </c>
    </row>
    <row r="771" spans="1:6" x14ac:dyDescent="0.25">
      <c r="A771" s="54">
        <v>33070614026</v>
      </c>
      <c r="B771" s="143" t="s">
        <v>603</v>
      </c>
      <c r="C771" s="158">
        <v>179</v>
      </c>
      <c r="F771" s="175" t="e">
        <f>VLOOKUP(Saldo[[#This Row],[ITEM]],#REF!,4,0)</f>
        <v>#REF!</v>
      </c>
    </row>
    <row r="772" spans="1:6" x14ac:dyDescent="0.25">
      <c r="A772" s="54">
        <v>33070614028</v>
      </c>
      <c r="B772" s="143" t="s">
        <v>604</v>
      </c>
      <c r="C772" s="158">
        <v>483</v>
      </c>
      <c r="F772" s="175" t="e">
        <f>VLOOKUP(Saldo[[#This Row],[ITEM]],#REF!,4,0)</f>
        <v>#REF!</v>
      </c>
    </row>
    <row r="773" spans="1:6" x14ac:dyDescent="0.25">
      <c r="A773" s="54">
        <v>33070614030</v>
      </c>
      <c r="B773" s="143" t="s">
        <v>605</v>
      </c>
      <c r="C773" s="158">
        <v>345</v>
      </c>
      <c r="F773" s="175" t="e">
        <f>VLOOKUP(Saldo[[#This Row],[ITEM]],#REF!,4,0)</f>
        <v>#REF!</v>
      </c>
    </row>
    <row r="774" spans="1:6" x14ac:dyDescent="0.25">
      <c r="A774" s="54">
        <v>33070614716</v>
      </c>
      <c r="B774" s="143" t="s">
        <v>606</v>
      </c>
      <c r="C774" s="158">
        <v>397</v>
      </c>
      <c r="F774" s="175" t="e">
        <f>VLOOKUP(Saldo[[#This Row],[ITEM]],#REF!,4,0)</f>
        <v>#REF!</v>
      </c>
    </row>
    <row r="775" spans="1:6" x14ac:dyDescent="0.25">
      <c r="A775" s="54">
        <v>33070614717</v>
      </c>
      <c r="B775" s="143" t="s">
        <v>607</v>
      </c>
      <c r="C775" s="158">
        <v>890</v>
      </c>
      <c r="F775" s="175" t="e">
        <f>VLOOKUP(Saldo[[#This Row],[ITEM]],#REF!,4,0)</f>
        <v>#REF!</v>
      </c>
    </row>
    <row r="776" spans="1:6" x14ac:dyDescent="0.25">
      <c r="A776" s="54">
        <v>33070614718</v>
      </c>
      <c r="B776" s="143" t="s">
        <v>608</v>
      </c>
      <c r="C776" s="158">
        <v>709</v>
      </c>
      <c r="F776" s="175" t="e">
        <f>VLOOKUP(Saldo[[#This Row],[ITEM]],#REF!,4,0)</f>
        <v>#REF!</v>
      </c>
    </row>
    <row r="777" spans="1:6" x14ac:dyDescent="0.25">
      <c r="A777" s="54">
        <v>33070614719</v>
      </c>
      <c r="B777" s="143" t="s">
        <v>609</v>
      </c>
      <c r="C777" s="158">
        <v>887</v>
      </c>
      <c r="F777" s="175" t="e">
        <f>VLOOKUP(Saldo[[#This Row],[ITEM]],#REF!,4,0)</f>
        <v>#REF!</v>
      </c>
    </row>
    <row r="778" spans="1:6" x14ac:dyDescent="0.25">
      <c r="A778" s="54">
        <v>33070614720</v>
      </c>
      <c r="B778" s="143" t="s">
        <v>610</v>
      </c>
      <c r="C778" s="158">
        <v>347</v>
      </c>
      <c r="F778" s="175" t="e">
        <f>VLOOKUP(Saldo[[#This Row],[ITEM]],#REF!,4,0)</f>
        <v>#REF!</v>
      </c>
    </row>
    <row r="779" spans="1:6" x14ac:dyDescent="0.25">
      <c r="A779" s="54">
        <v>33070614721</v>
      </c>
      <c r="B779" s="143" t="s">
        <v>611</v>
      </c>
      <c r="C779" s="158">
        <v>2700</v>
      </c>
      <c r="F779" s="175" t="e">
        <f>VLOOKUP(Saldo[[#This Row],[ITEM]],#REF!,4,0)</f>
        <v>#REF!</v>
      </c>
    </row>
    <row r="780" spans="1:6" x14ac:dyDescent="0.25">
      <c r="A780" s="54">
        <v>33070614722</v>
      </c>
      <c r="B780" s="143" t="s">
        <v>612</v>
      </c>
      <c r="C780" s="158">
        <v>458</v>
      </c>
      <c r="F780" s="175" t="e">
        <f>VLOOKUP(Saldo[[#This Row],[ITEM]],#REF!,4,0)</f>
        <v>#REF!</v>
      </c>
    </row>
    <row r="781" spans="1:6" x14ac:dyDescent="0.25">
      <c r="A781" s="54">
        <v>33070614723</v>
      </c>
      <c r="B781" s="143" t="s">
        <v>613</v>
      </c>
      <c r="C781" s="158">
        <v>1659</v>
      </c>
      <c r="F781" s="175" t="e">
        <f>VLOOKUP(Saldo[[#This Row],[ITEM]],#REF!,4,0)</f>
        <v>#REF!</v>
      </c>
    </row>
    <row r="782" spans="1:6" x14ac:dyDescent="0.25">
      <c r="A782" s="54">
        <v>33070614724</v>
      </c>
      <c r="B782" s="143" t="s">
        <v>614</v>
      </c>
      <c r="C782" s="158">
        <v>2898</v>
      </c>
      <c r="F782" s="175" t="e">
        <f>VLOOKUP(Saldo[[#This Row],[ITEM]],#REF!,4,0)</f>
        <v>#REF!</v>
      </c>
    </row>
    <row r="783" spans="1:6" x14ac:dyDescent="0.25">
      <c r="A783" s="54">
        <v>33070614725</v>
      </c>
      <c r="B783" s="143" t="s">
        <v>615</v>
      </c>
      <c r="C783" s="158">
        <v>0</v>
      </c>
      <c r="F783" s="175" t="e">
        <f>VLOOKUP(Saldo[[#This Row],[ITEM]],#REF!,4,0)</f>
        <v>#REF!</v>
      </c>
    </row>
    <row r="784" spans="1:6" x14ac:dyDescent="0.25">
      <c r="A784" s="54">
        <v>33070614727</v>
      </c>
      <c r="B784" s="143" t="s">
        <v>616</v>
      </c>
      <c r="C784" s="158">
        <v>1236</v>
      </c>
      <c r="F784" s="175" t="e">
        <f>VLOOKUP(Saldo[[#This Row],[ITEM]],#REF!,4,0)</f>
        <v>#REF!</v>
      </c>
    </row>
    <row r="785" spans="1:6" x14ac:dyDescent="0.25">
      <c r="A785" s="54">
        <v>33070614728</v>
      </c>
      <c r="B785" s="143" t="s">
        <v>617</v>
      </c>
      <c r="C785" s="158">
        <v>0</v>
      </c>
      <c r="F785" s="175" t="e">
        <f>VLOOKUP(Saldo[[#This Row],[ITEM]],#REF!,4,0)</f>
        <v>#REF!</v>
      </c>
    </row>
    <row r="786" spans="1:6" x14ac:dyDescent="0.25">
      <c r="A786" s="54">
        <v>33070614729</v>
      </c>
      <c r="B786" s="143" t="s">
        <v>618</v>
      </c>
      <c r="C786" s="158">
        <v>210</v>
      </c>
      <c r="F786" s="175" t="e">
        <f>VLOOKUP(Saldo[[#This Row],[ITEM]],#REF!,4,0)</f>
        <v>#REF!</v>
      </c>
    </row>
    <row r="787" spans="1:6" x14ac:dyDescent="0.25">
      <c r="A787" s="54">
        <v>33070614730</v>
      </c>
      <c r="B787" s="143" t="s">
        <v>619</v>
      </c>
      <c r="C787" s="158">
        <v>154</v>
      </c>
      <c r="F787" s="175" t="e">
        <f>VLOOKUP(Saldo[[#This Row],[ITEM]],#REF!,4,0)</f>
        <v>#REF!</v>
      </c>
    </row>
    <row r="788" spans="1:6" x14ac:dyDescent="0.25">
      <c r="A788" s="54">
        <v>33070614731</v>
      </c>
      <c r="B788" s="143" t="s">
        <v>620</v>
      </c>
      <c r="C788" s="158">
        <v>163</v>
      </c>
      <c r="F788" s="175" t="e">
        <f>VLOOKUP(Saldo[[#This Row],[ITEM]],#REF!,4,0)</f>
        <v>#REF!</v>
      </c>
    </row>
    <row r="789" spans="1:6" x14ac:dyDescent="0.25">
      <c r="A789" s="54">
        <v>33070614732</v>
      </c>
      <c r="B789" s="143" t="s">
        <v>621</v>
      </c>
      <c r="C789" s="158">
        <v>132</v>
      </c>
      <c r="F789" s="175" t="e">
        <f>VLOOKUP(Saldo[[#This Row],[ITEM]],#REF!,4,0)</f>
        <v>#REF!</v>
      </c>
    </row>
    <row r="790" spans="1:6" x14ac:dyDescent="0.25">
      <c r="A790" s="54">
        <v>33070614733</v>
      </c>
      <c r="B790" s="143" t="s">
        <v>622</v>
      </c>
      <c r="C790" s="158">
        <v>99</v>
      </c>
      <c r="F790" s="175" t="e">
        <f>VLOOKUP(Saldo[[#This Row],[ITEM]],#REF!,4,0)</f>
        <v>#REF!</v>
      </c>
    </row>
    <row r="791" spans="1:6" x14ac:dyDescent="0.25">
      <c r="A791" s="54">
        <v>33070614735</v>
      </c>
      <c r="B791" s="143" t="s">
        <v>623</v>
      </c>
      <c r="C791" s="158">
        <v>45</v>
      </c>
      <c r="F791" s="175" t="e">
        <f>VLOOKUP(Saldo[[#This Row],[ITEM]],#REF!,4,0)</f>
        <v>#REF!</v>
      </c>
    </row>
    <row r="792" spans="1:6" x14ac:dyDescent="0.25">
      <c r="A792" s="54">
        <v>33070614736</v>
      </c>
      <c r="B792" s="143" t="s">
        <v>624</v>
      </c>
      <c r="C792" s="158">
        <v>151</v>
      </c>
      <c r="F792" s="175" t="e">
        <f>VLOOKUP(Saldo[[#This Row],[ITEM]],#REF!,4,0)</f>
        <v>#REF!</v>
      </c>
    </row>
    <row r="793" spans="1:6" x14ac:dyDescent="0.25">
      <c r="A793" s="54">
        <v>33070614741</v>
      </c>
      <c r="B793" s="143" t="s">
        <v>625</v>
      </c>
      <c r="C793" s="158">
        <v>474</v>
      </c>
      <c r="F793" s="175" t="e">
        <f>VLOOKUP(Saldo[[#This Row],[ITEM]],#REF!,4,0)</f>
        <v>#REF!</v>
      </c>
    </row>
    <row r="794" spans="1:6" x14ac:dyDescent="0.25">
      <c r="A794" s="54">
        <v>33070614742</v>
      </c>
      <c r="B794" s="143" t="s">
        <v>626</v>
      </c>
      <c r="C794" s="158">
        <v>677</v>
      </c>
      <c r="F794" s="175" t="e">
        <f>VLOOKUP(Saldo[[#This Row],[ITEM]],#REF!,4,0)</f>
        <v>#REF!</v>
      </c>
    </row>
    <row r="795" spans="1:6" x14ac:dyDescent="0.25">
      <c r="A795" s="54">
        <v>33070614744</v>
      </c>
      <c r="B795" s="143" t="s">
        <v>627</v>
      </c>
      <c r="C795" s="158">
        <v>7883</v>
      </c>
      <c r="F795" s="175" t="e">
        <f>VLOOKUP(Saldo[[#This Row],[ITEM]],#REF!,4,0)</f>
        <v>#REF!</v>
      </c>
    </row>
    <row r="796" spans="1:6" x14ac:dyDescent="0.25">
      <c r="A796" s="54">
        <v>33070614745</v>
      </c>
      <c r="B796" s="143" t="s">
        <v>628</v>
      </c>
      <c r="C796" s="158">
        <v>5385</v>
      </c>
      <c r="F796" s="175" t="e">
        <f>VLOOKUP(Saldo[[#This Row],[ITEM]],#REF!,4,0)</f>
        <v>#REF!</v>
      </c>
    </row>
    <row r="797" spans="1:6" x14ac:dyDescent="0.25">
      <c r="A797" s="54">
        <v>33070614746</v>
      </c>
      <c r="B797" s="143" t="s">
        <v>629</v>
      </c>
      <c r="C797" s="158">
        <v>0</v>
      </c>
      <c r="F797" s="175" t="e">
        <f>VLOOKUP(Saldo[[#This Row],[ITEM]],#REF!,4,0)</f>
        <v>#REF!</v>
      </c>
    </row>
    <row r="798" spans="1:6" x14ac:dyDescent="0.25">
      <c r="A798" s="54">
        <v>33070614747</v>
      </c>
      <c r="B798" s="143" t="s">
        <v>630</v>
      </c>
      <c r="C798" s="158">
        <v>449</v>
      </c>
      <c r="F798" s="175" t="e">
        <f>VLOOKUP(Saldo[[#This Row],[ITEM]],#REF!,4,0)</f>
        <v>#REF!</v>
      </c>
    </row>
    <row r="799" spans="1:6" x14ac:dyDescent="0.25">
      <c r="A799" s="54">
        <v>33070614748</v>
      </c>
      <c r="B799" s="143" t="s">
        <v>631</v>
      </c>
      <c r="C799" s="158">
        <v>182</v>
      </c>
      <c r="F799" s="175" t="e">
        <f>VLOOKUP(Saldo[[#This Row],[ITEM]],#REF!,4,0)</f>
        <v>#REF!</v>
      </c>
    </row>
    <row r="800" spans="1:6" x14ac:dyDescent="0.25">
      <c r="A800" s="54">
        <v>33070614749</v>
      </c>
      <c r="B800" s="143" t="s">
        <v>632</v>
      </c>
      <c r="C800" s="158">
        <v>235</v>
      </c>
      <c r="F800" s="175" t="e">
        <f>VLOOKUP(Saldo[[#This Row],[ITEM]],#REF!,4,0)</f>
        <v>#REF!</v>
      </c>
    </row>
    <row r="801" spans="1:6" x14ac:dyDescent="0.25">
      <c r="A801" s="54">
        <v>33070614750</v>
      </c>
      <c r="B801" s="143" t="s">
        <v>3002</v>
      </c>
      <c r="C801" s="158">
        <v>1656</v>
      </c>
      <c r="F801" s="175" t="e">
        <f>VLOOKUP(Saldo[[#This Row],[ITEM]],#REF!,4,0)</f>
        <v>#REF!</v>
      </c>
    </row>
    <row r="802" spans="1:6" x14ac:dyDescent="0.25">
      <c r="A802" s="54">
        <v>33070614751</v>
      </c>
      <c r="B802" s="143" t="s">
        <v>633</v>
      </c>
      <c r="C802" s="158">
        <v>546</v>
      </c>
      <c r="F802" s="175" t="e">
        <f>VLOOKUP(Saldo[[#This Row],[ITEM]],#REF!,4,0)</f>
        <v>#REF!</v>
      </c>
    </row>
    <row r="803" spans="1:6" x14ac:dyDescent="0.25">
      <c r="A803" s="54">
        <v>33070614752</v>
      </c>
      <c r="B803" s="143" t="s">
        <v>634</v>
      </c>
      <c r="C803" s="158">
        <v>543</v>
      </c>
      <c r="F803" s="175" t="e">
        <f>VLOOKUP(Saldo[[#This Row],[ITEM]],#REF!,4,0)</f>
        <v>#REF!</v>
      </c>
    </row>
    <row r="804" spans="1:6" x14ac:dyDescent="0.25">
      <c r="A804" s="54">
        <v>33070614753</v>
      </c>
      <c r="B804" s="143" t="s">
        <v>635</v>
      </c>
      <c r="C804" s="158">
        <v>91</v>
      </c>
      <c r="F804" s="175" t="e">
        <f>VLOOKUP(Saldo[[#This Row],[ITEM]],#REF!,4,0)</f>
        <v>#REF!</v>
      </c>
    </row>
    <row r="805" spans="1:6" x14ac:dyDescent="0.25">
      <c r="A805" s="54">
        <v>33070614756</v>
      </c>
      <c r="B805" s="143" t="s">
        <v>636</v>
      </c>
      <c r="C805" s="158">
        <v>2120</v>
      </c>
      <c r="F805" s="175" t="e">
        <f>VLOOKUP(Saldo[[#This Row],[ITEM]],#REF!,4,0)</f>
        <v>#REF!</v>
      </c>
    </row>
    <row r="806" spans="1:6" x14ac:dyDescent="0.25">
      <c r="A806" s="54">
        <v>33070614757</v>
      </c>
      <c r="B806" s="143" t="s">
        <v>637</v>
      </c>
      <c r="C806" s="158">
        <v>239</v>
      </c>
      <c r="F806" s="175" t="e">
        <f>VLOOKUP(Saldo[[#This Row],[ITEM]],#REF!,4,0)</f>
        <v>#REF!</v>
      </c>
    </row>
    <row r="807" spans="1:6" x14ac:dyDescent="0.25">
      <c r="A807" s="54">
        <v>33070614758</v>
      </c>
      <c r="B807" s="143" t="s">
        <v>638</v>
      </c>
      <c r="C807" s="158">
        <v>378</v>
      </c>
      <c r="F807" s="175" t="e">
        <f>VLOOKUP(Saldo[[#This Row],[ITEM]],#REF!,4,0)</f>
        <v>#REF!</v>
      </c>
    </row>
    <row r="808" spans="1:6" x14ac:dyDescent="0.25">
      <c r="A808" s="54">
        <v>33070614759</v>
      </c>
      <c r="B808" s="143" t="s">
        <v>639</v>
      </c>
      <c r="C808" s="158">
        <v>387</v>
      </c>
      <c r="F808" s="175" t="e">
        <f>VLOOKUP(Saldo[[#This Row],[ITEM]],#REF!,4,0)</f>
        <v>#REF!</v>
      </c>
    </row>
    <row r="809" spans="1:6" x14ac:dyDescent="0.25">
      <c r="A809" s="54">
        <v>33070614776</v>
      </c>
      <c r="B809" s="143" t="s">
        <v>640</v>
      </c>
      <c r="C809" s="158">
        <v>362</v>
      </c>
      <c r="F809" s="175" t="e">
        <f>VLOOKUP(Saldo[[#This Row],[ITEM]],#REF!,4,0)</f>
        <v>#REF!</v>
      </c>
    </row>
    <row r="810" spans="1:6" x14ac:dyDescent="0.25">
      <c r="A810" s="54">
        <v>33070614777</v>
      </c>
      <c r="B810" s="143" t="s">
        <v>641</v>
      </c>
      <c r="C810" s="158">
        <v>438</v>
      </c>
      <c r="F810" s="175" t="e">
        <f>VLOOKUP(Saldo[[#This Row],[ITEM]],#REF!,4,0)</f>
        <v>#REF!</v>
      </c>
    </row>
    <row r="811" spans="1:6" x14ac:dyDescent="0.25">
      <c r="A811" s="54">
        <v>33070614778</v>
      </c>
      <c r="B811" s="143" t="s">
        <v>642</v>
      </c>
      <c r="C811" s="158">
        <v>1230</v>
      </c>
      <c r="F811" s="175" t="e">
        <f>VLOOKUP(Saldo[[#This Row],[ITEM]],#REF!,4,0)</f>
        <v>#REF!</v>
      </c>
    </row>
    <row r="812" spans="1:6" x14ac:dyDescent="0.25">
      <c r="A812" s="54">
        <v>33070614812</v>
      </c>
      <c r="B812" s="143" t="s">
        <v>643</v>
      </c>
      <c r="C812" s="158">
        <v>85</v>
      </c>
      <c r="F812" s="175" t="e">
        <f>VLOOKUP(Saldo[[#This Row],[ITEM]],#REF!,4,0)</f>
        <v>#REF!</v>
      </c>
    </row>
    <row r="813" spans="1:6" x14ac:dyDescent="0.25">
      <c r="A813" s="54">
        <v>33070614813</v>
      </c>
      <c r="B813" s="143" t="s">
        <v>644</v>
      </c>
      <c r="C813" s="158">
        <v>1049</v>
      </c>
      <c r="F813" s="175" t="e">
        <f>VLOOKUP(Saldo[[#This Row],[ITEM]],#REF!,4,0)</f>
        <v>#REF!</v>
      </c>
    </row>
    <row r="814" spans="1:6" x14ac:dyDescent="0.25">
      <c r="A814" s="54">
        <v>33070614828</v>
      </c>
      <c r="B814" s="143" t="s">
        <v>645</v>
      </c>
      <c r="C814" s="158">
        <v>87</v>
      </c>
      <c r="F814" s="175" t="e">
        <f>VLOOKUP(Saldo[[#This Row],[ITEM]],#REF!,4,0)</f>
        <v>#REF!</v>
      </c>
    </row>
    <row r="815" spans="1:6" x14ac:dyDescent="0.25">
      <c r="A815" s="54">
        <v>33070614829</v>
      </c>
      <c r="B815" s="143" t="s">
        <v>646</v>
      </c>
      <c r="C815" s="158">
        <v>123</v>
      </c>
      <c r="F815" s="175" t="e">
        <f>VLOOKUP(Saldo[[#This Row],[ITEM]],#REF!,4,0)</f>
        <v>#REF!</v>
      </c>
    </row>
    <row r="816" spans="1:6" x14ac:dyDescent="0.25">
      <c r="A816" s="54">
        <v>33070614830</v>
      </c>
      <c r="B816" s="143" t="s">
        <v>647</v>
      </c>
      <c r="C816" s="158">
        <v>937</v>
      </c>
      <c r="F816" s="175" t="e">
        <f>VLOOKUP(Saldo[[#This Row],[ITEM]],#REF!,4,0)</f>
        <v>#REF!</v>
      </c>
    </row>
    <row r="817" spans="1:6" x14ac:dyDescent="0.25">
      <c r="A817" s="54">
        <v>33070614831</v>
      </c>
      <c r="B817" s="143" t="s">
        <v>648</v>
      </c>
      <c r="C817" s="158">
        <v>1109</v>
      </c>
      <c r="F817" s="175" t="e">
        <f>VLOOKUP(Saldo[[#This Row],[ITEM]],#REF!,4,0)</f>
        <v>#REF!</v>
      </c>
    </row>
    <row r="818" spans="1:6" x14ac:dyDescent="0.25">
      <c r="A818" s="54">
        <v>33070614895</v>
      </c>
      <c r="B818" s="143" t="s">
        <v>649</v>
      </c>
      <c r="C818" s="158">
        <v>374</v>
      </c>
      <c r="F818" s="175" t="e">
        <f>VLOOKUP(Saldo[[#This Row],[ITEM]],#REF!,4,0)</f>
        <v>#REF!</v>
      </c>
    </row>
    <row r="819" spans="1:6" x14ac:dyDescent="0.25">
      <c r="A819" s="54">
        <v>33070614897</v>
      </c>
      <c r="B819" s="143" t="s">
        <v>650</v>
      </c>
      <c r="C819" s="158">
        <v>231</v>
      </c>
      <c r="F819" s="175" t="e">
        <f>VLOOKUP(Saldo[[#This Row],[ITEM]],#REF!,4,0)</f>
        <v>#REF!</v>
      </c>
    </row>
    <row r="820" spans="1:6" x14ac:dyDescent="0.25">
      <c r="A820" s="54">
        <v>33070614898</v>
      </c>
      <c r="B820" s="143" t="s">
        <v>651</v>
      </c>
      <c r="C820" s="158">
        <v>788</v>
      </c>
      <c r="F820" s="175" t="e">
        <f>VLOOKUP(Saldo[[#This Row],[ITEM]],#REF!,4,0)</f>
        <v>#REF!</v>
      </c>
    </row>
    <row r="821" spans="1:6" x14ac:dyDescent="0.25">
      <c r="A821" s="54">
        <v>33070614906</v>
      </c>
      <c r="B821" s="143" t="s">
        <v>652</v>
      </c>
      <c r="C821" s="158">
        <v>173</v>
      </c>
      <c r="F821" s="175" t="e">
        <f>VLOOKUP(Saldo[[#This Row],[ITEM]],#REF!,4,0)</f>
        <v>#REF!</v>
      </c>
    </row>
    <row r="822" spans="1:6" x14ac:dyDescent="0.25">
      <c r="A822" s="54">
        <v>33070614907</v>
      </c>
      <c r="B822" s="143" t="s">
        <v>653</v>
      </c>
      <c r="C822" s="158">
        <v>190</v>
      </c>
      <c r="F822" s="175" t="e">
        <f>VLOOKUP(Saldo[[#This Row],[ITEM]],#REF!,4,0)</f>
        <v>#REF!</v>
      </c>
    </row>
    <row r="823" spans="1:6" x14ac:dyDescent="0.25">
      <c r="A823" s="54">
        <v>33070614908</v>
      </c>
      <c r="B823" s="143" t="s">
        <v>654</v>
      </c>
      <c r="C823" s="158">
        <v>1016</v>
      </c>
      <c r="F823" s="175" t="e">
        <f>VLOOKUP(Saldo[[#This Row],[ITEM]],#REF!,4,0)</f>
        <v>#REF!</v>
      </c>
    </row>
    <row r="824" spans="1:6" x14ac:dyDescent="0.25">
      <c r="A824" s="54">
        <v>33070614909</v>
      </c>
      <c r="B824" s="143" t="s">
        <v>655</v>
      </c>
      <c r="C824" s="158">
        <v>144</v>
      </c>
      <c r="F824" s="175" t="e">
        <f>VLOOKUP(Saldo[[#This Row],[ITEM]],#REF!,4,0)</f>
        <v>#REF!</v>
      </c>
    </row>
    <row r="825" spans="1:6" x14ac:dyDescent="0.25">
      <c r="A825" s="54">
        <v>33070614910</v>
      </c>
      <c r="B825" s="143" t="s">
        <v>656</v>
      </c>
      <c r="C825" s="158">
        <v>619</v>
      </c>
      <c r="F825" s="175" t="e">
        <f>VLOOKUP(Saldo[[#This Row],[ITEM]],#REF!,4,0)</f>
        <v>#REF!</v>
      </c>
    </row>
    <row r="826" spans="1:6" x14ac:dyDescent="0.25">
      <c r="A826" s="54">
        <v>33070614912</v>
      </c>
      <c r="B826" s="143" t="s">
        <v>657</v>
      </c>
      <c r="C826" s="158">
        <v>153</v>
      </c>
      <c r="F826" s="175" t="e">
        <f>VLOOKUP(Saldo[[#This Row],[ITEM]],#REF!,4,0)</f>
        <v>#REF!</v>
      </c>
    </row>
    <row r="827" spans="1:6" x14ac:dyDescent="0.25">
      <c r="A827" s="54">
        <v>33070614913</v>
      </c>
      <c r="B827" s="143" t="s">
        <v>658</v>
      </c>
      <c r="C827" s="158">
        <v>564</v>
      </c>
      <c r="F827" s="175" t="e">
        <f>VLOOKUP(Saldo[[#This Row],[ITEM]],#REF!,4,0)</f>
        <v>#REF!</v>
      </c>
    </row>
    <row r="828" spans="1:6" x14ac:dyDescent="0.25">
      <c r="A828" s="54">
        <v>33070614922</v>
      </c>
      <c r="B828" s="143" t="s">
        <v>659</v>
      </c>
      <c r="C828" s="158">
        <v>130</v>
      </c>
      <c r="F828" s="175" t="e">
        <f>VLOOKUP(Saldo[[#This Row],[ITEM]],#REF!,4,0)</f>
        <v>#REF!</v>
      </c>
    </row>
    <row r="829" spans="1:6" x14ac:dyDescent="0.25">
      <c r="A829" s="54">
        <v>33070614923</v>
      </c>
      <c r="B829" s="143" t="s">
        <v>660</v>
      </c>
      <c r="C829" s="158">
        <v>111</v>
      </c>
      <c r="F829" s="175" t="e">
        <f>VLOOKUP(Saldo[[#This Row],[ITEM]],#REF!,4,0)</f>
        <v>#REF!</v>
      </c>
    </row>
    <row r="830" spans="1:6" x14ac:dyDescent="0.25">
      <c r="A830" s="54">
        <v>33070614924</v>
      </c>
      <c r="B830" s="143" t="s">
        <v>661</v>
      </c>
      <c r="C830" s="158">
        <v>137</v>
      </c>
      <c r="F830" s="175" t="e">
        <f>VLOOKUP(Saldo[[#This Row],[ITEM]],#REF!,4,0)</f>
        <v>#REF!</v>
      </c>
    </row>
    <row r="831" spans="1:6" x14ac:dyDescent="0.25">
      <c r="A831" s="54">
        <v>33070614925</v>
      </c>
      <c r="B831" s="143" t="s">
        <v>662</v>
      </c>
      <c r="C831" s="158">
        <v>391</v>
      </c>
      <c r="F831" s="175" t="e">
        <f>VLOOKUP(Saldo[[#This Row],[ITEM]],#REF!,4,0)</f>
        <v>#REF!</v>
      </c>
    </row>
    <row r="832" spans="1:6" x14ac:dyDescent="0.25">
      <c r="A832" s="54">
        <v>33070614926</v>
      </c>
      <c r="B832" s="143" t="s">
        <v>663</v>
      </c>
      <c r="C832" s="158">
        <v>194</v>
      </c>
      <c r="F832" s="175" t="e">
        <f>VLOOKUP(Saldo[[#This Row],[ITEM]],#REF!,4,0)</f>
        <v>#REF!</v>
      </c>
    </row>
    <row r="833" spans="1:6" x14ac:dyDescent="0.25">
      <c r="A833" s="54">
        <v>33070614927</v>
      </c>
      <c r="B833" s="143" t="s">
        <v>664</v>
      </c>
      <c r="C833" s="158">
        <v>116</v>
      </c>
      <c r="F833" s="175" t="e">
        <f>VLOOKUP(Saldo[[#This Row],[ITEM]],#REF!,4,0)</f>
        <v>#REF!</v>
      </c>
    </row>
    <row r="834" spans="1:6" x14ac:dyDescent="0.25">
      <c r="A834" s="54">
        <v>33070614999</v>
      </c>
      <c r="B834" s="143" t="s">
        <v>665</v>
      </c>
      <c r="C834" s="158">
        <v>164</v>
      </c>
      <c r="F834" s="175" t="e">
        <f>VLOOKUP(Saldo[[#This Row],[ITEM]],#REF!,4,0)</f>
        <v>#REF!</v>
      </c>
    </row>
    <row r="835" spans="1:6" x14ac:dyDescent="0.25">
      <c r="A835" s="54">
        <v>33070654001</v>
      </c>
      <c r="B835" s="143" t="s">
        <v>666</v>
      </c>
      <c r="C835" s="158">
        <v>136</v>
      </c>
      <c r="F835" s="175" t="e">
        <f>VLOOKUP(Saldo[[#This Row],[ITEM]],#REF!,4,0)</f>
        <v>#REF!</v>
      </c>
    </row>
    <row r="836" spans="1:6" x14ac:dyDescent="0.25">
      <c r="A836" s="54">
        <v>33070654030</v>
      </c>
      <c r="B836" s="143" t="s">
        <v>667</v>
      </c>
      <c r="C836" s="158">
        <v>0</v>
      </c>
      <c r="F836" s="175" t="e">
        <f>VLOOKUP(Saldo[[#This Row],[ITEM]],#REF!,4,0)</f>
        <v>#REF!</v>
      </c>
    </row>
    <row r="837" spans="1:6" x14ac:dyDescent="0.25">
      <c r="A837" s="54">
        <v>33070654135</v>
      </c>
      <c r="B837" s="143" t="s">
        <v>668</v>
      </c>
      <c r="C837" s="158">
        <v>173</v>
      </c>
      <c r="F837" s="175" t="e">
        <f>VLOOKUP(Saldo[[#This Row],[ITEM]],#REF!,4,0)</f>
        <v>#REF!</v>
      </c>
    </row>
    <row r="838" spans="1:6" x14ac:dyDescent="0.25">
      <c r="A838" s="54">
        <v>33070654136</v>
      </c>
      <c r="B838" s="143" t="s">
        <v>669</v>
      </c>
      <c r="C838" s="158">
        <v>6318</v>
      </c>
      <c r="F838" s="175" t="e">
        <f>VLOOKUP(Saldo[[#This Row],[ITEM]],#REF!,4,0)</f>
        <v>#REF!</v>
      </c>
    </row>
    <row r="839" spans="1:6" x14ac:dyDescent="0.25">
      <c r="A839" s="54">
        <v>33070660353</v>
      </c>
      <c r="B839" s="143" t="s">
        <v>670</v>
      </c>
      <c r="C839" s="158">
        <v>1029</v>
      </c>
      <c r="F839" s="175" t="e">
        <f>VLOOKUP(Saldo[[#This Row],[ITEM]],#REF!,4,0)</f>
        <v>#REF!</v>
      </c>
    </row>
    <row r="840" spans="1:6" x14ac:dyDescent="0.25">
      <c r="A840" s="54">
        <v>33070660354</v>
      </c>
      <c r="B840" s="143" t="s">
        <v>671</v>
      </c>
      <c r="C840" s="158">
        <v>912</v>
      </c>
      <c r="F840" s="175" t="e">
        <f>VLOOKUP(Saldo[[#This Row],[ITEM]],#REF!,4,0)</f>
        <v>#REF!</v>
      </c>
    </row>
    <row r="841" spans="1:6" x14ac:dyDescent="0.25">
      <c r="A841" s="54">
        <v>33070660825</v>
      </c>
      <c r="B841" s="143" t="s">
        <v>672</v>
      </c>
      <c r="C841" s="158">
        <v>2831</v>
      </c>
      <c r="F841" s="175" t="e">
        <f>VLOOKUP(Saldo[[#This Row],[ITEM]],#REF!,4,0)</f>
        <v>#REF!</v>
      </c>
    </row>
    <row r="842" spans="1:6" x14ac:dyDescent="0.25">
      <c r="A842" s="54">
        <v>33070660894</v>
      </c>
      <c r="B842" s="143" t="s">
        <v>673</v>
      </c>
      <c r="C842" s="158">
        <v>321</v>
      </c>
      <c r="F842" s="175" t="e">
        <f>VLOOKUP(Saldo[[#This Row],[ITEM]],#REF!,4,0)</f>
        <v>#REF!</v>
      </c>
    </row>
    <row r="843" spans="1:6" x14ac:dyDescent="0.25">
      <c r="A843" s="54">
        <v>33070661131</v>
      </c>
      <c r="B843" s="143" t="s">
        <v>674</v>
      </c>
      <c r="C843" s="158">
        <v>389</v>
      </c>
      <c r="F843" s="175" t="e">
        <f>VLOOKUP(Saldo[[#This Row],[ITEM]],#REF!,4,0)</f>
        <v>#REF!</v>
      </c>
    </row>
    <row r="844" spans="1:6" x14ac:dyDescent="0.25">
      <c r="A844" s="54">
        <v>33070661132</v>
      </c>
      <c r="B844" s="143" t="s">
        <v>675</v>
      </c>
      <c r="C844" s="158">
        <v>772</v>
      </c>
      <c r="F844" s="175" t="e">
        <f>VLOOKUP(Saldo[[#This Row],[ITEM]],#REF!,4,0)</f>
        <v>#REF!</v>
      </c>
    </row>
    <row r="845" spans="1:6" x14ac:dyDescent="0.25">
      <c r="A845" s="54">
        <v>33070661133</v>
      </c>
      <c r="B845" s="143" t="s">
        <v>676</v>
      </c>
      <c r="C845" s="158">
        <v>621</v>
      </c>
      <c r="F845" s="175" t="e">
        <f>VLOOKUP(Saldo[[#This Row],[ITEM]],#REF!,4,0)</f>
        <v>#REF!</v>
      </c>
    </row>
    <row r="846" spans="1:6" x14ac:dyDescent="0.25">
      <c r="A846" s="54">
        <v>33070661635</v>
      </c>
      <c r="B846" s="143" t="s">
        <v>677</v>
      </c>
      <c r="C846" s="158">
        <v>172</v>
      </c>
      <c r="F846" s="175" t="e">
        <f>VLOOKUP(Saldo[[#This Row],[ITEM]],#REF!,4,0)</f>
        <v>#REF!</v>
      </c>
    </row>
    <row r="847" spans="1:6" x14ac:dyDescent="0.25">
      <c r="A847" s="54">
        <v>33070661636</v>
      </c>
      <c r="B847" s="143" t="s">
        <v>678</v>
      </c>
      <c r="C847" s="158">
        <v>340</v>
      </c>
      <c r="F847" s="175" t="e">
        <f>VLOOKUP(Saldo[[#This Row],[ITEM]],#REF!,4,0)</f>
        <v>#REF!</v>
      </c>
    </row>
    <row r="848" spans="1:6" x14ac:dyDescent="0.25">
      <c r="A848" s="54">
        <v>33070661990</v>
      </c>
      <c r="B848" s="143" t="s">
        <v>679</v>
      </c>
      <c r="C848" s="158">
        <v>4</v>
      </c>
      <c r="F848" s="175" t="e">
        <f>VLOOKUP(Saldo[[#This Row],[ITEM]],#REF!,4,0)</f>
        <v>#REF!</v>
      </c>
    </row>
    <row r="849" spans="1:6" x14ac:dyDescent="0.25">
      <c r="A849" s="54">
        <v>33070661992</v>
      </c>
      <c r="B849" s="143" t="s">
        <v>680</v>
      </c>
      <c r="C849" s="158">
        <v>932</v>
      </c>
      <c r="F849" s="175" t="e">
        <f>VLOOKUP(Saldo[[#This Row],[ITEM]],#REF!,4,0)</f>
        <v>#REF!</v>
      </c>
    </row>
    <row r="850" spans="1:6" x14ac:dyDescent="0.25">
      <c r="A850" s="54">
        <v>33070662972</v>
      </c>
      <c r="B850" s="143" t="s">
        <v>681</v>
      </c>
      <c r="C850" s="158">
        <v>316</v>
      </c>
      <c r="F850" s="175" t="e">
        <f>VLOOKUP(Saldo[[#This Row],[ITEM]],#REF!,4,0)</f>
        <v>#REF!</v>
      </c>
    </row>
    <row r="851" spans="1:6" x14ac:dyDescent="0.25">
      <c r="A851" s="54">
        <v>33070663175</v>
      </c>
      <c r="B851" s="143" t="s">
        <v>682</v>
      </c>
      <c r="C851" s="158">
        <v>327</v>
      </c>
      <c r="F851" s="175" t="e">
        <f>VLOOKUP(Saldo[[#This Row],[ITEM]],#REF!,4,0)</f>
        <v>#REF!</v>
      </c>
    </row>
    <row r="852" spans="1:6" x14ac:dyDescent="0.25">
      <c r="A852" s="54">
        <v>33070663176</v>
      </c>
      <c r="B852" s="143" t="s">
        <v>683</v>
      </c>
      <c r="C852" s="158">
        <v>173</v>
      </c>
      <c r="F852" s="175" t="e">
        <f>VLOOKUP(Saldo[[#This Row],[ITEM]],#REF!,4,0)</f>
        <v>#REF!</v>
      </c>
    </row>
    <row r="853" spans="1:6" x14ac:dyDescent="0.25">
      <c r="A853" s="54">
        <v>33070663218</v>
      </c>
      <c r="B853" s="143" t="s">
        <v>684</v>
      </c>
      <c r="C853" s="158">
        <v>1542</v>
      </c>
      <c r="F853" s="175" t="e">
        <f>VLOOKUP(Saldo[[#This Row],[ITEM]],#REF!,4,0)</f>
        <v>#REF!</v>
      </c>
    </row>
    <row r="854" spans="1:6" x14ac:dyDescent="0.25">
      <c r="A854" s="54">
        <v>33070663219</v>
      </c>
      <c r="B854" s="143" t="s">
        <v>685</v>
      </c>
      <c r="C854" s="158">
        <v>390</v>
      </c>
      <c r="F854" s="175" t="e">
        <f>VLOOKUP(Saldo[[#This Row],[ITEM]],#REF!,4,0)</f>
        <v>#REF!</v>
      </c>
    </row>
    <row r="855" spans="1:6" x14ac:dyDescent="0.25">
      <c r="A855" s="54">
        <v>33070663584</v>
      </c>
      <c r="B855" s="143" t="s">
        <v>686</v>
      </c>
      <c r="C855" s="158">
        <v>10</v>
      </c>
      <c r="F855" s="175" t="e">
        <f>VLOOKUP(Saldo[[#This Row],[ITEM]],#REF!,4,0)</f>
        <v>#REF!</v>
      </c>
    </row>
    <row r="856" spans="1:6" x14ac:dyDescent="0.25">
      <c r="A856" s="54">
        <v>33070663585</v>
      </c>
      <c r="B856" s="143" t="s">
        <v>687</v>
      </c>
      <c r="C856" s="158">
        <v>120</v>
      </c>
      <c r="F856" s="175" t="e">
        <f>VLOOKUP(Saldo[[#This Row],[ITEM]],#REF!,4,0)</f>
        <v>#REF!</v>
      </c>
    </row>
    <row r="857" spans="1:6" x14ac:dyDescent="0.25">
      <c r="A857" s="54">
        <v>33070663687</v>
      </c>
      <c r="B857" s="143" t="s">
        <v>688</v>
      </c>
      <c r="C857" s="158">
        <v>2152</v>
      </c>
      <c r="F857" s="175" t="e">
        <f>VLOOKUP(Saldo[[#This Row],[ITEM]],#REF!,4,0)</f>
        <v>#REF!</v>
      </c>
    </row>
    <row r="858" spans="1:6" x14ac:dyDescent="0.25">
      <c r="A858" s="54">
        <v>33070663714</v>
      </c>
      <c r="B858" s="143" t="s">
        <v>689</v>
      </c>
      <c r="C858" s="158">
        <v>7826</v>
      </c>
      <c r="F858" s="175" t="e">
        <f>VLOOKUP(Saldo[[#This Row],[ITEM]],#REF!,4,0)</f>
        <v>#REF!</v>
      </c>
    </row>
    <row r="859" spans="1:6" x14ac:dyDescent="0.25">
      <c r="A859" s="54">
        <v>33070663719</v>
      </c>
      <c r="B859" s="143" t="s">
        <v>690</v>
      </c>
      <c r="C859" s="158">
        <v>248</v>
      </c>
      <c r="F859" s="175" t="e">
        <f>VLOOKUP(Saldo[[#This Row],[ITEM]],#REF!,4,0)</f>
        <v>#REF!</v>
      </c>
    </row>
    <row r="860" spans="1:6" x14ac:dyDescent="0.25">
      <c r="A860" s="54">
        <v>33070663720</v>
      </c>
      <c r="B860" s="143" t="s">
        <v>691</v>
      </c>
      <c r="C860" s="158">
        <v>672</v>
      </c>
      <c r="F860" s="175" t="e">
        <f>VLOOKUP(Saldo[[#This Row],[ITEM]],#REF!,4,0)</f>
        <v>#REF!</v>
      </c>
    </row>
    <row r="861" spans="1:6" x14ac:dyDescent="0.25">
      <c r="A861" s="54">
        <v>33070663721</v>
      </c>
      <c r="B861" s="143" t="s">
        <v>692</v>
      </c>
      <c r="C861" s="158">
        <v>224</v>
      </c>
      <c r="F861" s="175" t="e">
        <f>VLOOKUP(Saldo[[#This Row],[ITEM]],#REF!,4,0)</f>
        <v>#REF!</v>
      </c>
    </row>
    <row r="862" spans="1:6" x14ac:dyDescent="0.25">
      <c r="A862" s="54">
        <v>33070663722</v>
      </c>
      <c r="B862" s="143" t="s">
        <v>693</v>
      </c>
      <c r="C862" s="158">
        <v>429</v>
      </c>
      <c r="F862" s="175" t="e">
        <f>VLOOKUP(Saldo[[#This Row],[ITEM]],#REF!,4,0)</f>
        <v>#REF!</v>
      </c>
    </row>
    <row r="863" spans="1:6" x14ac:dyDescent="0.25">
      <c r="A863" s="54">
        <v>33070663723</v>
      </c>
      <c r="B863" s="143" t="s">
        <v>694</v>
      </c>
      <c r="C863" s="158">
        <v>577</v>
      </c>
      <c r="F863" s="175" t="e">
        <f>VLOOKUP(Saldo[[#This Row],[ITEM]],#REF!,4,0)</f>
        <v>#REF!</v>
      </c>
    </row>
    <row r="864" spans="1:6" x14ac:dyDescent="0.25">
      <c r="A864" s="54">
        <v>33070663724</v>
      </c>
      <c r="B864" s="143" t="s">
        <v>695</v>
      </c>
      <c r="C864" s="158">
        <v>152</v>
      </c>
      <c r="F864" s="175" t="e">
        <f>VLOOKUP(Saldo[[#This Row],[ITEM]],#REF!,4,0)</f>
        <v>#REF!</v>
      </c>
    </row>
    <row r="865" spans="1:6" x14ac:dyDescent="0.25">
      <c r="A865" s="54">
        <v>33070663725</v>
      </c>
      <c r="B865" s="143" t="s">
        <v>696</v>
      </c>
      <c r="C865" s="158">
        <v>189</v>
      </c>
      <c r="F865" s="175" t="e">
        <f>VLOOKUP(Saldo[[#This Row],[ITEM]],#REF!,4,0)</f>
        <v>#REF!</v>
      </c>
    </row>
    <row r="866" spans="1:6" x14ac:dyDescent="0.25">
      <c r="A866" s="54">
        <v>33070663726</v>
      </c>
      <c r="B866" s="143" t="s">
        <v>697</v>
      </c>
      <c r="C866" s="158">
        <v>190</v>
      </c>
      <c r="F866" s="175" t="e">
        <f>VLOOKUP(Saldo[[#This Row],[ITEM]],#REF!,4,0)</f>
        <v>#REF!</v>
      </c>
    </row>
    <row r="867" spans="1:6" x14ac:dyDescent="0.25">
      <c r="A867" s="54">
        <v>33070663727</v>
      </c>
      <c r="B867" s="143" t="s">
        <v>698</v>
      </c>
      <c r="C867" s="158">
        <v>59536</v>
      </c>
      <c r="F867" s="175" t="e">
        <f>VLOOKUP(Saldo[[#This Row],[ITEM]],#REF!,4,0)</f>
        <v>#REF!</v>
      </c>
    </row>
    <row r="868" spans="1:6" x14ac:dyDescent="0.25">
      <c r="A868" s="54">
        <v>33070663728</v>
      </c>
      <c r="B868" s="143" t="s">
        <v>699</v>
      </c>
      <c r="C868" s="158">
        <v>2459</v>
      </c>
      <c r="F868" s="175" t="e">
        <f>VLOOKUP(Saldo[[#This Row],[ITEM]],#REF!,4,0)</f>
        <v>#REF!</v>
      </c>
    </row>
    <row r="869" spans="1:6" x14ac:dyDescent="0.25">
      <c r="A869" s="54">
        <v>33070663729</v>
      </c>
      <c r="B869" s="143" t="s">
        <v>700</v>
      </c>
      <c r="C869" s="158">
        <v>1632</v>
      </c>
      <c r="F869" s="175" t="e">
        <f>VLOOKUP(Saldo[[#This Row],[ITEM]],#REF!,4,0)</f>
        <v>#REF!</v>
      </c>
    </row>
    <row r="870" spans="1:6" x14ac:dyDescent="0.25">
      <c r="A870" s="54">
        <v>33070663730</v>
      </c>
      <c r="B870" s="143" t="s">
        <v>701</v>
      </c>
      <c r="C870" s="158">
        <v>166</v>
      </c>
      <c r="F870" s="175" t="e">
        <f>VLOOKUP(Saldo[[#This Row],[ITEM]],#REF!,4,0)</f>
        <v>#REF!</v>
      </c>
    </row>
    <row r="871" spans="1:6" x14ac:dyDescent="0.25">
      <c r="A871" s="54">
        <v>33070663731</v>
      </c>
      <c r="B871" s="143" t="s">
        <v>702</v>
      </c>
      <c r="C871" s="158">
        <v>155</v>
      </c>
      <c r="F871" s="175" t="e">
        <f>VLOOKUP(Saldo[[#This Row],[ITEM]],#REF!,4,0)</f>
        <v>#REF!</v>
      </c>
    </row>
    <row r="872" spans="1:6" x14ac:dyDescent="0.25">
      <c r="A872" s="54">
        <v>33070663732</v>
      </c>
      <c r="B872" s="143" t="s">
        <v>703</v>
      </c>
      <c r="C872" s="158">
        <v>232</v>
      </c>
      <c r="F872" s="175" t="e">
        <f>VLOOKUP(Saldo[[#This Row],[ITEM]],#REF!,4,0)</f>
        <v>#REF!</v>
      </c>
    </row>
    <row r="873" spans="1:6" x14ac:dyDescent="0.25">
      <c r="A873" s="54">
        <v>33070663733</v>
      </c>
      <c r="B873" s="143" t="s">
        <v>704</v>
      </c>
      <c r="C873" s="158">
        <v>167</v>
      </c>
      <c r="F873" s="175" t="e">
        <f>VLOOKUP(Saldo[[#This Row],[ITEM]],#REF!,4,0)</f>
        <v>#REF!</v>
      </c>
    </row>
    <row r="874" spans="1:6" x14ac:dyDescent="0.25">
      <c r="A874" s="54">
        <v>33070663734</v>
      </c>
      <c r="B874" s="143" t="s">
        <v>705</v>
      </c>
      <c r="C874" s="158">
        <v>188</v>
      </c>
      <c r="F874" s="175" t="e">
        <f>VLOOKUP(Saldo[[#This Row],[ITEM]],#REF!,4,0)</f>
        <v>#REF!</v>
      </c>
    </row>
    <row r="875" spans="1:6" x14ac:dyDescent="0.25">
      <c r="A875" s="54">
        <v>33070664013</v>
      </c>
      <c r="B875" s="143" t="s">
        <v>706</v>
      </c>
      <c r="C875" s="158">
        <v>100</v>
      </c>
      <c r="F875" s="175" t="e">
        <f>VLOOKUP(Saldo[[#This Row],[ITEM]],#REF!,4,0)</f>
        <v>#REF!</v>
      </c>
    </row>
    <row r="876" spans="1:6" x14ac:dyDescent="0.25">
      <c r="A876" s="54">
        <v>33070664014</v>
      </c>
      <c r="B876" s="143" t="s">
        <v>707</v>
      </c>
      <c r="C876" s="158">
        <v>0</v>
      </c>
      <c r="F876" s="175" t="e">
        <f>VLOOKUP(Saldo[[#This Row],[ITEM]],#REF!,4,0)</f>
        <v>#REF!</v>
      </c>
    </row>
    <row r="877" spans="1:6" x14ac:dyDescent="0.25">
      <c r="A877" s="54">
        <v>33070664016</v>
      </c>
      <c r="B877" s="143" t="s">
        <v>708</v>
      </c>
      <c r="C877" s="158">
        <v>61</v>
      </c>
      <c r="F877" s="175" t="e">
        <f>VLOOKUP(Saldo[[#This Row],[ITEM]],#REF!,4,0)</f>
        <v>#REF!</v>
      </c>
    </row>
    <row r="878" spans="1:6" x14ac:dyDescent="0.25">
      <c r="A878" s="54">
        <v>33070664309</v>
      </c>
      <c r="B878" s="143" t="s">
        <v>709</v>
      </c>
      <c r="C878" s="158">
        <v>431</v>
      </c>
      <c r="F878" s="175" t="e">
        <f>VLOOKUP(Saldo[[#This Row],[ITEM]],#REF!,4,0)</f>
        <v>#REF!</v>
      </c>
    </row>
    <row r="879" spans="1:6" x14ac:dyDescent="0.25">
      <c r="A879" s="54">
        <v>33070664310</v>
      </c>
      <c r="B879" s="143" t="s">
        <v>710</v>
      </c>
      <c r="C879" s="158">
        <v>310</v>
      </c>
      <c r="F879" s="175" t="e">
        <f>VLOOKUP(Saldo[[#This Row],[ITEM]],#REF!,4,0)</f>
        <v>#REF!</v>
      </c>
    </row>
    <row r="880" spans="1:6" x14ac:dyDescent="0.25">
      <c r="A880" s="54">
        <v>33070664311</v>
      </c>
      <c r="B880" s="143" t="s">
        <v>711</v>
      </c>
      <c r="C880" s="158">
        <v>175</v>
      </c>
      <c r="F880" s="175" t="e">
        <f>VLOOKUP(Saldo[[#This Row],[ITEM]],#REF!,4,0)</f>
        <v>#REF!</v>
      </c>
    </row>
    <row r="881" spans="1:6" x14ac:dyDescent="0.25">
      <c r="A881" s="54">
        <v>33070664312</v>
      </c>
      <c r="B881" s="143" t="s">
        <v>712</v>
      </c>
      <c r="C881" s="158">
        <v>28</v>
      </c>
      <c r="F881" s="175" t="e">
        <f>VLOOKUP(Saldo[[#This Row],[ITEM]],#REF!,4,0)</f>
        <v>#REF!</v>
      </c>
    </row>
    <row r="882" spans="1:6" x14ac:dyDescent="0.25">
      <c r="A882" s="54">
        <v>33070664313</v>
      </c>
      <c r="B882" s="143" t="s">
        <v>713</v>
      </c>
      <c r="C882" s="158">
        <v>240</v>
      </c>
      <c r="F882" s="175" t="e">
        <f>VLOOKUP(Saldo[[#This Row],[ITEM]],#REF!,4,0)</f>
        <v>#REF!</v>
      </c>
    </row>
    <row r="883" spans="1:6" x14ac:dyDescent="0.25">
      <c r="A883" s="54">
        <v>33070664314</v>
      </c>
      <c r="B883" s="143" t="s">
        <v>714</v>
      </c>
      <c r="C883" s="158">
        <v>234</v>
      </c>
      <c r="F883" s="175" t="e">
        <f>VLOOKUP(Saldo[[#This Row],[ITEM]],#REF!,4,0)</f>
        <v>#REF!</v>
      </c>
    </row>
    <row r="884" spans="1:6" x14ac:dyDescent="0.25">
      <c r="A884" s="54">
        <v>33070664315</v>
      </c>
      <c r="B884" s="143" t="s">
        <v>3003</v>
      </c>
      <c r="C884" s="158">
        <v>93</v>
      </c>
      <c r="F884" s="175" t="e">
        <f>VLOOKUP(Saldo[[#This Row],[ITEM]],#REF!,4,0)</f>
        <v>#REF!</v>
      </c>
    </row>
    <row r="885" spans="1:6" x14ac:dyDescent="0.25">
      <c r="A885" s="54">
        <v>33070664316</v>
      </c>
      <c r="B885" s="143" t="s">
        <v>3004</v>
      </c>
      <c r="C885" s="158">
        <v>155</v>
      </c>
      <c r="F885" s="175" t="e">
        <f>VLOOKUP(Saldo[[#This Row],[ITEM]],#REF!,4,0)</f>
        <v>#REF!</v>
      </c>
    </row>
    <row r="886" spans="1:6" x14ac:dyDescent="0.25">
      <c r="A886" s="54">
        <v>33070664517</v>
      </c>
      <c r="B886" s="143" t="s">
        <v>715</v>
      </c>
      <c r="C886" s="158">
        <v>400</v>
      </c>
      <c r="F886" s="175" t="e">
        <f>VLOOKUP(Saldo[[#This Row],[ITEM]],#REF!,4,0)</f>
        <v>#REF!</v>
      </c>
    </row>
    <row r="887" spans="1:6" x14ac:dyDescent="0.25">
      <c r="A887" s="54">
        <v>33070664518</v>
      </c>
      <c r="B887" s="143" t="s">
        <v>716</v>
      </c>
      <c r="C887" s="158">
        <v>422</v>
      </c>
      <c r="F887" s="175" t="e">
        <f>VLOOKUP(Saldo[[#This Row],[ITEM]],#REF!,4,0)</f>
        <v>#REF!</v>
      </c>
    </row>
    <row r="888" spans="1:6" x14ac:dyDescent="0.25">
      <c r="A888" s="54">
        <v>33070664519</v>
      </c>
      <c r="B888" s="143" t="s">
        <v>717</v>
      </c>
      <c r="C888" s="158">
        <v>534</v>
      </c>
      <c r="F888" s="175" t="e">
        <f>VLOOKUP(Saldo[[#This Row],[ITEM]],#REF!,4,0)</f>
        <v>#REF!</v>
      </c>
    </row>
    <row r="889" spans="1:6" x14ac:dyDescent="0.25">
      <c r="A889" s="54">
        <v>33070664795</v>
      </c>
      <c r="B889" s="143" t="s">
        <v>718</v>
      </c>
      <c r="C889" s="158">
        <v>9871</v>
      </c>
      <c r="F889" s="175" t="e">
        <f>VLOOKUP(Saldo[[#This Row],[ITEM]],#REF!,4,0)</f>
        <v>#REF!</v>
      </c>
    </row>
    <row r="890" spans="1:6" x14ac:dyDescent="0.25">
      <c r="A890" s="54">
        <v>33070664796</v>
      </c>
      <c r="B890" s="143" t="s">
        <v>719</v>
      </c>
      <c r="C890" s="158">
        <v>9697</v>
      </c>
      <c r="F890" s="175" t="e">
        <f>VLOOKUP(Saldo[[#This Row],[ITEM]],#REF!,4,0)</f>
        <v>#REF!</v>
      </c>
    </row>
    <row r="891" spans="1:6" x14ac:dyDescent="0.25">
      <c r="A891" s="54">
        <v>33070664797</v>
      </c>
      <c r="B891" s="143" t="s">
        <v>720</v>
      </c>
      <c r="C891" s="158">
        <v>9446</v>
      </c>
      <c r="F891" s="175" t="e">
        <f>VLOOKUP(Saldo[[#This Row],[ITEM]],#REF!,4,0)</f>
        <v>#REF!</v>
      </c>
    </row>
    <row r="892" spans="1:6" x14ac:dyDescent="0.25">
      <c r="A892" s="54">
        <v>33070665095</v>
      </c>
      <c r="B892" s="143" t="s">
        <v>721</v>
      </c>
      <c r="C892" s="158">
        <v>2075</v>
      </c>
      <c r="F892" s="175" t="e">
        <f>VLOOKUP(Saldo[[#This Row],[ITEM]],#REF!,4,0)</f>
        <v>#REF!</v>
      </c>
    </row>
    <row r="893" spans="1:6" x14ac:dyDescent="0.25">
      <c r="A893" s="54">
        <v>33070665222</v>
      </c>
      <c r="B893" s="143" t="s">
        <v>3035</v>
      </c>
      <c r="C893" s="158">
        <v>7762</v>
      </c>
      <c r="F893" s="175" t="e">
        <f>VLOOKUP(Saldo[[#This Row],[ITEM]],#REF!,4,0)</f>
        <v>#REF!</v>
      </c>
    </row>
    <row r="894" spans="1:6" x14ac:dyDescent="0.25">
      <c r="A894" s="54">
        <v>33070754045</v>
      </c>
      <c r="B894" s="143" t="s">
        <v>722</v>
      </c>
      <c r="C894" s="158">
        <v>179</v>
      </c>
      <c r="F894" s="175" t="e">
        <f>VLOOKUP(Saldo[[#This Row],[ITEM]],#REF!,4,0)</f>
        <v>#REF!</v>
      </c>
    </row>
    <row r="895" spans="1:6" x14ac:dyDescent="0.25">
      <c r="A895" s="54">
        <v>33070754050</v>
      </c>
      <c r="B895" s="143" t="s">
        <v>723</v>
      </c>
      <c r="C895" s="158">
        <v>23</v>
      </c>
      <c r="F895" s="175" t="e">
        <f>VLOOKUP(Saldo[[#This Row],[ITEM]],#REF!,4,0)</f>
        <v>#REF!</v>
      </c>
    </row>
    <row r="896" spans="1:6" x14ac:dyDescent="0.25">
      <c r="A896" s="54">
        <v>33070754054</v>
      </c>
      <c r="B896" s="143" t="s">
        <v>724</v>
      </c>
      <c r="C896" s="158">
        <v>3</v>
      </c>
      <c r="F896" s="175" t="e">
        <f>VLOOKUP(Saldo[[#This Row],[ITEM]],#REF!,4,0)</f>
        <v>#REF!</v>
      </c>
    </row>
    <row r="897" spans="1:6" x14ac:dyDescent="0.25">
      <c r="A897" s="54">
        <v>33070754055</v>
      </c>
      <c r="B897" s="143" t="s">
        <v>725</v>
      </c>
      <c r="C897" s="158">
        <v>118</v>
      </c>
      <c r="F897" s="175" t="e">
        <f>VLOOKUP(Saldo[[#This Row],[ITEM]],#REF!,4,0)</f>
        <v>#REF!</v>
      </c>
    </row>
    <row r="898" spans="1:6" x14ac:dyDescent="0.25">
      <c r="A898" s="54">
        <v>33070754056</v>
      </c>
      <c r="B898" s="143" t="s">
        <v>3005</v>
      </c>
      <c r="C898" s="158">
        <v>105</v>
      </c>
      <c r="F898" s="175" t="e">
        <f>VLOOKUP(Saldo[[#This Row],[ITEM]],#REF!,4,0)</f>
        <v>#REF!</v>
      </c>
    </row>
    <row r="899" spans="1:6" x14ac:dyDescent="0.25">
      <c r="A899" s="54">
        <v>33070754057</v>
      </c>
      <c r="B899" s="143" t="s">
        <v>726</v>
      </c>
      <c r="C899" s="158">
        <v>148</v>
      </c>
      <c r="F899" s="175" t="e">
        <f>VLOOKUP(Saldo[[#This Row],[ITEM]],#REF!,4,0)</f>
        <v>#REF!</v>
      </c>
    </row>
    <row r="900" spans="1:6" x14ac:dyDescent="0.25">
      <c r="A900" s="54">
        <v>33070754059</v>
      </c>
      <c r="B900" s="143" t="s">
        <v>727</v>
      </c>
      <c r="C900" s="158">
        <v>11</v>
      </c>
      <c r="F900" s="175" t="e">
        <f>VLOOKUP(Saldo[[#This Row],[ITEM]],#REF!,4,0)</f>
        <v>#REF!</v>
      </c>
    </row>
    <row r="901" spans="1:6" x14ac:dyDescent="0.25">
      <c r="A901" s="54">
        <v>33070754060</v>
      </c>
      <c r="B901" s="143" t="s">
        <v>728</v>
      </c>
      <c r="C901" s="158">
        <v>7</v>
      </c>
      <c r="F901" s="175" t="e">
        <f>VLOOKUP(Saldo[[#This Row],[ITEM]],#REF!,4,0)</f>
        <v>#REF!</v>
      </c>
    </row>
    <row r="902" spans="1:6" x14ac:dyDescent="0.25">
      <c r="A902" s="54">
        <v>33070754061</v>
      </c>
      <c r="B902" s="143" t="s">
        <v>729</v>
      </c>
      <c r="C902" s="158">
        <v>145</v>
      </c>
      <c r="F902" s="175" t="e">
        <f>VLOOKUP(Saldo[[#This Row],[ITEM]],#REF!,4,0)</f>
        <v>#REF!</v>
      </c>
    </row>
    <row r="903" spans="1:6" x14ac:dyDescent="0.25">
      <c r="A903" s="54">
        <v>33070754062</v>
      </c>
      <c r="B903" s="143" t="s">
        <v>730</v>
      </c>
      <c r="C903" s="158">
        <v>140</v>
      </c>
      <c r="F903" s="175" t="e">
        <f>VLOOKUP(Saldo[[#This Row],[ITEM]],#REF!,4,0)</f>
        <v>#REF!</v>
      </c>
    </row>
    <row r="904" spans="1:6" x14ac:dyDescent="0.25">
      <c r="A904" s="54">
        <v>33070754063</v>
      </c>
      <c r="B904" s="143" t="s">
        <v>731</v>
      </c>
      <c r="C904" s="158">
        <v>94</v>
      </c>
      <c r="F904" s="175" t="e">
        <f>VLOOKUP(Saldo[[#This Row],[ITEM]],#REF!,4,0)</f>
        <v>#REF!</v>
      </c>
    </row>
    <row r="905" spans="1:6" x14ac:dyDescent="0.25">
      <c r="A905" s="54">
        <v>33070754065</v>
      </c>
      <c r="B905" s="143" t="s">
        <v>732</v>
      </c>
      <c r="C905" s="158">
        <v>66</v>
      </c>
      <c r="F905" s="175" t="e">
        <f>VLOOKUP(Saldo[[#This Row],[ITEM]],#REF!,4,0)</f>
        <v>#REF!</v>
      </c>
    </row>
    <row r="906" spans="1:6" x14ac:dyDescent="0.25">
      <c r="A906" s="54">
        <v>33070754066</v>
      </c>
      <c r="B906" s="143" t="s">
        <v>733</v>
      </c>
      <c r="C906" s="158">
        <v>0</v>
      </c>
      <c r="F906" s="175" t="e">
        <f>VLOOKUP(Saldo[[#This Row],[ITEM]],#REF!,4,0)</f>
        <v>#REF!</v>
      </c>
    </row>
    <row r="907" spans="1:6" x14ac:dyDescent="0.25">
      <c r="A907" s="54">
        <v>33070754067</v>
      </c>
      <c r="B907" s="143" t="s">
        <v>734</v>
      </c>
      <c r="C907" s="158">
        <v>42</v>
      </c>
      <c r="F907" s="175" t="e">
        <f>VLOOKUP(Saldo[[#This Row],[ITEM]],#REF!,4,0)</f>
        <v>#REF!</v>
      </c>
    </row>
    <row r="908" spans="1:6" x14ac:dyDescent="0.25">
      <c r="A908" s="54">
        <v>33070754068</v>
      </c>
      <c r="B908" s="143" t="s">
        <v>3006</v>
      </c>
      <c r="C908" s="158">
        <v>13</v>
      </c>
      <c r="F908" s="175" t="e">
        <f>VLOOKUP(Saldo[[#This Row],[ITEM]],#REF!,4,0)</f>
        <v>#REF!</v>
      </c>
    </row>
    <row r="909" spans="1:6" x14ac:dyDescent="0.25">
      <c r="A909" s="54">
        <v>33070754071</v>
      </c>
      <c r="B909" s="143" t="s">
        <v>735</v>
      </c>
      <c r="C909" s="158">
        <v>25</v>
      </c>
      <c r="F909" s="175" t="e">
        <f>VLOOKUP(Saldo[[#This Row],[ITEM]],#REF!,4,0)</f>
        <v>#REF!</v>
      </c>
    </row>
    <row r="910" spans="1:6" x14ac:dyDescent="0.25">
      <c r="A910" s="54">
        <v>33070754072</v>
      </c>
      <c r="B910" s="143" t="s">
        <v>736</v>
      </c>
      <c r="C910" s="158">
        <v>13</v>
      </c>
      <c r="F910" s="175" t="e">
        <f>VLOOKUP(Saldo[[#This Row],[ITEM]],#REF!,4,0)</f>
        <v>#REF!</v>
      </c>
    </row>
    <row r="911" spans="1:6" x14ac:dyDescent="0.25">
      <c r="A911" s="54">
        <v>33070754073</v>
      </c>
      <c r="B911" s="143" t="s">
        <v>737</v>
      </c>
      <c r="C911" s="158">
        <v>26</v>
      </c>
      <c r="F911" s="175" t="e">
        <f>VLOOKUP(Saldo[[#This Row],[ITEM]],#REF!,4,0)</f>
        <v>#REF!</v>
      </c>
    </row>
    <row r="912" spans="1:6" x14ac:dyDescent="0.25">
      <c r="A912" s="54">
        <v>33070754074</v>
      </c>
      <c r="B912" s="143" t="s">
        <v>738</v>
      </c>
      <c r="C912" s="158">
        <v>269</v>
      </c>
      <c r="F912" s="175" t="e">
        <f>VLOOKUP(Saldo[[#This Row],[ITEM]],#REF!,4,0)</f>
        <v>#REF!</v>
      </c>
    </row>
    <row r="913" spans="1:6" x14ac:dyDescent="0.25">
      <c r="A913" s="54">
        <v>33070754076</v>
      </c>
      <c r="B913" s="143" t="s">
        <v>739</v>
      </c>
      <c r="C913" s="158">
        <v>100</v>
      </c>
      <c r="F913" s="175" t="e">
        <f>VLOOKUP(Saldo[[#This Row],[ITEM]],#REF!,4,0)</f>
        <v>#REF!</v>
      </c>
    </row>
    <row r="914" spans="1:6" x14ac:dyDescent="0.25">
      <c r="A914" s="54">
        <v>33070754077</v>
      </c>
      <c r="B914" s="143" t="s">
        <v>740</v>
      </c>
      <c r="C914" s="158">
        <v>166</v>
      </c>
      <c r="F914" s="175" t="e">
        <f>VLOOKUP(Saldo[[#This Row],[ITEM]],#REF!,4,0)</f>
        <v>#REF!</v>
      </c>
    </row>
    <row r="915" spans="1:6" x14ac:dyDescent="0.25">
      <c r="A915" s="54">
        <v>33070754078</v>
      </c>
      <c r="B915" s="143" t="s">
        <v>741</v>
      </c>
      <c r="C915" s="158">
        <v>3</v>
      </c>
      <c r="F915" s="175" t="e">
        <f>VLOOKUP(Saldo[[#This Row],[ITEM]],#REF!,4,0)</f>
        <v>#REF!</v>
      </c>
    </row>
    <row r="916" spans="1:6" x14ac:dyDescent="0.25">
      <c r="A916" s="54">
        <v>33070754079</v>
      </c>
      <c r="B916" s="143" t="s">
        <v>742</v>
      </c>
      <c r="C916" s="158">
        <v>0</v>
      </c>
      <c r="F916" s="175" t="e">
        <f>VLOOKUP(Saldo[[#This Row],[ITEM]],#REF!,4,0)</f>
        <v>#REF!</v>
      </c>
    </row>
    <row r="917" spans="1:6" x14ac:dyDescent="0.25">
      <c r="A917" s="54">
        <v>33070754080</v>
      </c>
      <c r="B917" s="143" t="s">
        <v>743</v>
      </c>
      <c r="C917" s="158">
        <v>39</v>
      </c>
      <c r="F917" s="175" t="e">
        <f>VLOOKUP(Saldo[[#This Row],[ITEM]],#REF!,4,0)</f>
        <v>#REF!</v>
      </c>
    </row>
    <row r="918" spans="1:6" x14ac:dyDescent="0.25">
      <c r="A918" s="54">
        <v>33070754081</v>
      </c>
      <c r="B918" s="143" t="s">
        <v>744</v>
      </c>
      <c r="C918" s="158">
        <v>7</v>
      </c>
      <c r="F918" s="175" t="e">
        <f>VLOOKUP(Saldo[[#This Row],[ITEM]],#REF!,4,0)</f>
        <v>#REF!</v>
      </c>
    </row>
    <row r="919" spans="1:6" x14ac:dyDescent="0.25">
      <c r="A919" s="54">
        <v>33070754082</v>
      </c>
      <c r="B919" s="143" t="s">
        <v>745</v>
      </c>
      <c r="C919" s="158">
        <v>2</v>
      </c>
      <c r="F919" s="175" t="e">
        <f>VLOOKUP(Saldo[[#This Row],[ITEM]],#REF!,4,0)</f>
        <v>#REF!</v>
      </c>
    </row>
    <row r="920" spans="1:6" x14ac:dyDescent="0.25">
      <c r="A920" s="54">
        <v>33070754083</v>
      </c>
      <c r="B920" s="143" t="s">
        <v>746</v>
      </c>
      <c r="C920" s="158">
        <v>56</v>
      </c>
      <c r="F920" s="175" t="e">
        <f>VLOOKUP(Saldo[[#This Row],[ITEM]],#REF!,4,0)</f>
        <v>#REF!</v>
      </c>
    </row>
    <row r="921" spans="1:6" x14ac:dyDescent="0.25">
      <c r="A921" s="54">
        <v>33070754085</v>
      </c>
      <c r="B921" s="143" t="s">
        <v>747</v>
      </c>
      <c r="C921" s="158">
        <v>40</v>
      </c>
      <c r="F921" s="175" t="e">
        <f>VLOOKUP(Saldo[[#This Row],[ITEM]],#REF!,4,0)</f>
        <v>#REF!</v>
      </c>
    </row>
    <row r="922" spans="1:6" x14ac:dyDescent="0.25">
      <c r="A922" s="54">
        <v>33070754086</v>
      </c>
      <c r="B922" s="143" t="s">
        <v>748</v>
      </c>
      <c r="C922" s="158">
        <v>20</v>
      </c>
      <c r="F922" s="175" t="e">
        <f>VLOOKUP(Saldo[[#This Row],[ITEM]],#REF!,4,0)</f>
        <v>#REF!</v>
      </c>
    </row>
    <row r="923" spans="1:6" x14ac:dyDescent="0.25">
      <c r="A923" s="54">
        <v>33070754087</v>
      </c>
      <c r="B923" s="143" t="s">
        <v>749</v>
      </c>
      <c r="C923" s="158">
        <v>19</v>
      </c>
      <c r="F923" s="175" t="e">
        <f>VLOOKUP(Saldo[[#This Row],[ITEM]],#REF!,4,0)</f>
        <v>#REF!</v>
      </c>
    </row>
    <row r="924" spans="1:6" x14ac:dyDescent="0.25">
      <c r="A924" s="54">
        <v>33070754088</v>
      </c>
      <c r="B924" s="143" t="s">
        <v>750</v>
      </c>
      <c r="C924" s="158">
        <v>15</v>
      </c>
      <c r="F924" s="175" t="e">
        <f>VLOOKUP(Saldo[[#This Row],[ITEM]],#REF!,4,0)</f>
        <v>#REF!</v>
      </c>
    </row>
    <row r="925" spans="1:6" x14ac:dyDescent="0.25">
      <c r="A925" s="54">
        <v>33070754089</v>
      </c>
      <c r="B925" s="143" t="s">
        <v>745</v>
      </c>
      <c r="C925" s="158">
        <v>29</v>
      </c>
      <c r="F925" s="175" t="e">
        <f>VLOOKUP(Saldo[[#This Row],[ITEM]],#REF!,4,0)</f>
        <v>#REF!</v>
      </c>
    </row>
    <row r="926" spans="1:6" x14ac:dyDescent="0.25">
      <c r="A926" s="54">
        <v>33070754090</v>
      </c>
      <c r="B926" s="143" t="s">
        <v>751</v>
      </c>
      <c r="C926" s="158">
        <v>21</v>
      </c>
      <c r="F926" s="175" t="e">
        <f>VLOOKUP(Saldo[[#This Row],[ITEM]],#REF!,4,0)</f>
        <v>#REF!</v>
      </c>
    </row>
    <row r="927" spans="1:6" x14ac:dyDescent="0.25">
      <c r="A927" s="54">
        <v>33070754091</v>
      </c>
      <c r="B927" s="143" t="s">
        <v>752</v>
      </c>
      <c r="C927" s="158">
        <v>41</v>
      </c>
      <c r="F927" s="175" t="e">
        <f>VLOOKUP(Saldo[[#This Row],[ITEM]],#REF!,4,0)</f>
        <v>#REF!</v>
      </c>
    </row>
    <row r="928" spans="1:6" x14ac:dyDescent="0.25">
      <c r="A928" s="54">
        <v>33070754092</v>
      </c>
      <c r="B928" s="143" t="s">
        <v>753</v>
      </c>
      <c r="C928" s="158">
        <v>20</v>
      </c>
      <c r="F928" s="175" t="e">
        <f>VLOOKUP(Saldo[[#This Row],[ITEM]],#REF!,4,0)</f>
        <v>#REF!</v>
      </c>
    </row>
    <row r="929" spans="1:6" x14ac:dyDescent="0.25">
      <c r="A929" s="54">
        <v>33070754093</v>
      </c>
      <c r="B929" s="143" t="s">
        <v>754</v>
      </c>
      <c r="C929" s="158">
        <v>0</v>
      </c>
      <c r="F929" s="175" t="e">
        <f>VLOOKUP(Saldo[[#This Row],[ITEM]],#REF!,4,0)</f>
        <v>#REF!</v>
      </c>
    </row>
    <row r="930" spans="1:6" x14ac:dyDescent="0.25">
      <c r="A930" s="54">
        <v>33070754094</v>
      </c>
      <c r="B930" s="143" t="s">
        <v>755</v>
      </c>
      <c r="C930" s="158">
        <v>221</v>
      </c>
      <c r="F930" s="175" t="e">
        <f>VLOOKUP(Saldo[[#This Row],[ITEM]],#REF!,4,0)</f>
        <v>#REF!</v>
      </c>
    </row>
    <row r="931" spans="1:6" x14ac:dyDescent="0.25">
      <c r="A931" s="54">
        <v>33070754095</v>
      </c>
      <c r="B931" s="143" t="s">
        <v>755</v>
      </c>
      <c r="C931" s="158">
        <v>48</v>
      </c>
      <c r="F931" s="175" t="e">
        <f>VLOOKUP(Saldo[[#This Row],[ITEM]],#REF!,4,0)</f>
        <v>#REF!</v>
      </c>
    </row>
    <row r="932" spans="1:6" x14ac:dyDescent="0.25">
      <c r="A932" s="54">
        <v>33070754096</v>
      </c>
      <c r="B932" s="143" t="s">
        <v>756</v>
      </c>
      <c r="C932" s="158">
        <v>0</v>
      </c>
      <c r="F932" s="175" t="e">
        <f>VLOOKUP(Saldo[[#This Row],[ITEM]],#REF!,4,0)</f>
        <v>#REF!</v>
      </c>
    </row>
    <row r="933" spans="1:6" x14ac:dyDescent="0.25">
      <c r="A933" s="54">
        <v>33070754097</v>
      </c>
      <c r="B933" s="143" t="s">
        <v>757</v>
      </c>
      <c r="C933" s="158">
        <v>14</v>
      </c>
      <c r="F933" s="175" t="e">
        <f>VLOOKUP(Saldo[[#This Row],[ITEM]],#REF!,4,0)</f>
        <v>#REF!</v>
      </c>
    </row>
    <row r="934" spans="1:6" x14ac:dyDescent="0.25">
      <c r="A934" s="54">
        <v>33070754098</v>
      </c>
      <c r="B934" s="143" t="s">
        <v>757</v>
      </c>
      <c r="C934" s="158">
        <v>12</v>
      </c>
      <c r="F934" s="175" t="e">
        <f>VLOOKUP(Saldo[[#This Row],[ITEM]],#REF!,4,0)</f>
        <v>#REF!</v>
      </c>
    </row>
    <row r="935" spans="1:6" x14ac:dyDescent="0.25">
      <c r="A935" s="54">
        <v>33070754099</v>
      </c>
      <c r="B935" s="143" t="s">
        <v>757</v>
      </c>
      <c r="C935" s="158">
        <v>31</v>
      </c>
      <c r="F935" s="175" t="e">
        <f>VLOOKUP(Saldo[[#This Row],[ITEM]],#REF!,4,0)</f>
        <v>#REF!</v>
      </c>
    </row>
    <row r="936" spans="1:6" x14ac:dyDescent="0.25">
      <c r="A936" s="54">
        <v>33070754100</v>
      </c>
      <c r="B936" s="143" t="s">
        <v>758</v>
      </c>
      <c r="C936" s="158">
        <v>10</v>
      </c>
      <c r="F936" s="175" t="e">
        <f>VLOOKUP(Saldo[[#This Row],[ITEM]],#REF!,4,0)</f>
        <v>#REF!</v>
      </c>
    </row>
    <row r="937" spans="1:6" x14ac:dyDescent="0.25">
      <c r="A937" s="54">
        <v>33070754101</v>
      </c>
      <c r="B937" s="143" t="s">
        <v>758</v>
      </c>
      <c r="C937" s="158">
        <v>4</v>
      </c>
      <c r="F937" s="175" t="e">
        <f>VLOOKUP(Saldo[[#This Row],[ITEM]],#REF!,4,0)</f>
        <v>#REF!</v>
      </c>
    </row>
    <row r="938" spans="1:6" x14ac:dyDescent="0.25">
      <c r="A938" s="54">
        <v>33070754102</v>
      </c>
      <c r="B938" s="143" t="s">
        <v>758</v>
      </c>
      <c r="C938" s="158">
        <v>24</v>
      </c>
      <c r="F938" s="175" t="e">
        <f>VLOOKUP(Saldo[[#This Row],[ITEM]],#REF!,4,0)</f>
        <v>#REF!</v>
      </c>
    </row>
    <row r="939" spans="1:6" x14ac:dyDescent="0.25">
      <c r="A939" s="54">
        <v>33070754103</v>
      </c>
      <c r="B939" s="143" t="s">
        <v>759</v>
      </c>
      <c r="C939" s="158">
        <v>5</v>
      </c>
      <c r="F939" s="175" t="e">
        <f>VLOOKUP(Saldo[[#This Row],[ITEM]],#REF!,4,0)</f>
        <v>#REF!</v>
      </c>
    </row>
    <row r="940" spans="1:6" x14ac:dyDescent="0.25">
      <c r="A940" s="54">
        <v>33070754104</v>
      </c>
      <c r="B940" s="143" t="s">
        <v>759</v>
      </c>
      <c r="C940" s="158">
        <v>4</v>
      </c>
      <c r="F940" s="175" t="e">
        <f>VLOOKUP(Saldo[[#This Row],[ITEM]],#REF!,4,0)</f>
        <v>#REF!</v>
      </c>
    </row>
    <row r="941" spans="1:6" x14ac:dyDescent="0.25">
      <c r="A941" s="54">
        <v>33070754105</v>
      </c>
      <c r="B941" s="143" t="s">
        <v>759</v>
      </c>
      <c r="C941" s="158">
        <v>10</v>
      </c>
      <c r="F941" s="175" t="e">
        <f>VLOOKUP(Saldo[[#This Row],[ITEM]],#REF!,4,0)</f>
        <v>#REF!</v>
      </c>
    </row>
    <row r="942" spans="1:6" x14ac:dyDescent="0.25">
      <c r="A942" s="54">
        <v>33070754106</v>
      </c>
      <c r="B942" s="143" t="s">
        <v>760</v>
      </c>
      <c r="C942" s="158">
        <v>10</v>
      </c>
      <c r="F942" s="175" t="e">
        <f>VLOOKUP(Saldo[[#This Row],[ITEM]],#REF!,4,0)</f>
        <v>#REF!</v>
      </c>
    </row>
    <row r="943" spans="1:6" x14ac:dyDescent="0.25">
      <c r="A943" s="54">
        <v>33070754107</v>
      </c>
      <c r="B943" s="143" t="s">
        <v>761</v>
      </c>
      <c r="C943" s="158">
        <v>9</v>
      </c>
      <c r="F943" s="175" t="e">
        <f>VLOOKUP(Saldo[[#This Row],[ITEM]],#REF!,4,0)</f>
        <v>#REF!</v>
      </c>
    </row>
    <row r="944" spans="1:6" x14ac:dyDescent="0.25">
      <c r="A944" s="54">
        <v>33070754108</v>
      </c>
      <c r="B944" s="143" t="s">
        <v>762</v>
      </c>
      <c r="C944" s="158">
        <v>6</v>
      </c>
      <c r="F944" s="175" t="e">
        <f>VLOOKUP(Saldo[[#This Row],[ITEM]],#REF!,4,0)</f>
        <v>#REF!</v>
      </c>
    </row>
    <row r="945" spans="1:6" x14ac:dyDescent="0.25">
      <c r="A945" s="54">
        <v>33070754109</v>
      </c>
      <c r="B945" s="143" t="s">
        <v>762</v>
      </c>
      <c r="C945" s="158">
        <v>6</v>
      </c>
      <c r="F945" s="175" t="e">
        <f>VLOOKUP(Saldo[[#This Row],[ITEM]],#REF!,4,0)</f>
        <v>#REF!</v>
      </c>
    </row>
    <row r="946" spans="1:6" x14ac:dyDescent="0.25">
      <c r="A946" s="54">
        <v>33070754112</v>
      </c>
      <c r="B946" s="143" t="s">
        <v>3007</v>
      </c>
      <c r="C946" s="158">
        <v>34</v>
      </c>
      <c r="F946" s="175" t="e">
        <f>VLOOKUP(Saldo[[#This Row],[ITEM]],#REF!,4,0)</f>
        <v>#REF!</v>
      </c>
    </row>
    <row r="947" spans="1:6" x14ac:dyDescent="0.25">
      <c r="A947" s="54">
        <v>33070754113</v>
      </c>
      <c r="B947" s="143" t="s">
        <v>3007</v>
      </c>
      <c r="C947" s="158">
        <v>17</v>
      </c>
      <c r="F947" s="175" t="e">
        <f>VLOOKUP(Saldo[[#This Row],[ITEM]],#REF!,4,0)</f>
        <v>#REF!</v>
      </c>
    </row>
    <row r="948" spans="1:6" x14ac:dyDescent="0.25">
      <c r="A948" s="54">
        <v>33070754114</v>
      </c>
      <c r="B948" s="143" t="s">
        <v>763</v>
      </c>
      <c r="C948" s="158">
        <v>35</v>
      </c>
      <c r="F948" s="175" t="e">
        <f>VLOOKUP(Saldo[[#This Row],[ITEM]],#REF!,4,0)</f>
        <v>#REF!</v>
      </c>
    </row>
    <row r="949" spans="1:6" x14ac:dyDescent="0.25">
      <c r="A949" s="54">
        <v>33070754115</v>
      </c>
      <c r="B949" s="143" t="s">
        <v>764</v>
      </c>
      <c r="C949" s="158">
        <v>33</v>
      </c>
      <c r="F949" s="175" t="e">
        <f>VLOOKUP(Saldo[[#This Row],[ITEM]],#REF!,4,0)</f>
        <v>#REF!</v>
      </c>
    </row>
    <row r="950" spans="1:6" x14ac:dyDescent="0.25">
      <c r="A950" s="54">
        <v>33070754116</v>
      </c>
      <c r="B950" s="143" t="s">
        <v>765</v>
      </c>
      <c r="C950" s="158">
        <v>15</v>
      </c>
      <c r="F950" s="175" t="e">
        <f>VLOOKUP(Saldo[[#This Row],[ITEM]],#REF!,4,0)</f>
        <v>#REF!</v>
      </c>
    </row>
    <row r="951" spans="1:6" x14ac:dyDescent="0.25">
      <c r="A951" s="54">
        <v>33070754117</v>
      </c>
      <c r="B951" s="143" t="s">
        <v>766</v>
      </c>
      <c r="C951" s="158">
        <v>313</v>
      </c>
      <c r="F951" s="175" t="e">
        <f>VLOOKUP(Saldo[[#This Row],[ITEM]],#REF!,4,0)</f>
        <v>#REF!</v>
      </c>
    </row>
    <row r="952" spans="1:6" x14ac:dyDescent="0.25">
      <c r="A952" s="54">
        <v>33070754118</v>
      </c>
      <c r="B952" s="143" t="s">
        <v>766</v>
      </c>
      <c r="C952" s="158">
        <v>14</v>
      </c>
      <c r="F952" s="175" t="e">
        <f>VLOOKUP(Saldo[[#This Row],[ITEM]],#REF!,4,0)</f>
        <v>#REF!</v>
      </c>
    </row>
    <row r="953" spans="1:6" x14ac:dyDescent="0.25">
      <c r="A953" s="54">
        <v>33070754120</v>
      </c>
      <c r="B953" s="143" t="s">
        <v>3008</v>
      </c>
      <c r="C953" s="158">
        <v>97</v>
      </c>
      <c r="F953" s="175" t="e">
        <f>VLOOKUP(Saldo[[#This Row],[ITEM]],#REF!,4,0)</f>
        <v>#REF!</v>
      </c>
    </row>
    <row r="954" spans="1:6" x14ac:dyDescent="0.25">
      <c r="A954" s="54">
        <v>33070754121</v>
      </c>
      <c r="B954" s="143" t="s">
        <v>767</v>
      </c>
      <c r="C954" s="158">
        <v>14</v>
      </c>
      <c r="F954" s="175" t="e">
        <f>VLOOKUP(Saldo[[#This Row],[ITEM]],#REF!,4,0)</f>
        <v>#REF!</v>
      </c>
    </row>
    <row r="955" spans="1:6" x14ac:dyDescent="0.25">
      <c r="A955" s="54">
        <v>33070754122</v>
      </c>
      <c r="B955" s="143" t="s">
        <v>768</v>
      </c>
      <c r="C955" s="158">
        <v>162</v>
      </c>
      <c r="F955" s="175" t="e">
        <f>VLOOKUP(Saldo[[#This Row],[ITEM]],#REF!,4,0)</f>
        <v>#REF!</v>
      </c>
    </row>
    <row r="956" spans="1:6" x14ac:dyDescent="0.25">
      <c r="A956" s="54">
        <v>33070754124</v>
      </c>
      <c r="B956" s="143" t="s">
        <v>3008</v>
      </c>
      <c r="C956" s="158">
        <v>105</v>
      </c>
      <c r="F956" s="175" t="e">
        <f>VLOOKUP(Saldo[[#This Row],[ITEM]],#REF!,4,0)</f>
        <v>#REF!</v>
      </c>
    </row>
    <row r="957" spans="1:6" x14ac:dyDescent="0.25">
      <c r="A957" s="54">
        <v>33070754127</v>
      </c>
      <c r="B957" s="143" t="s">
        <v>3006</v>
      </c>
      <c r="C957" s="158">
        <v>33</v>
      </c>
      <c r="F957" s="175" t="e">
        <f>VLOOKUP(Saldo[[#This Row],[ITEM]],#REF!,4,0)</f>
        <v>#REF!</v>
      </c>
    </row>
    <row r="958" spans="1:6" x14ac:dyDescent="0.25">
      <c r="A958" s="54">
        <v>33070754128</v>
      </c>
      <c r="B958" s="143" t="s">
        <v>769</v>
      </c>
      <c r="C958" s="158">
        <v>29</v>
      </c>
      <c r="F958" s="175" t="e">
        <f>VLOOKUP(Saldo[[#This Row],[ITEM]],#REF!,4,0)</f>
        <v>#REF!</v>
      </c>
    </row>
    <row r="959" spans="1:6" x14ac:dyDescent="0.25">
      <c r="A959" s="54">
        <v>33070760110</v>
      </c>
      <c r="B959" s="143" t="s">
        <v>770</v>
      </c>
      <c r="C959" s="158">
        <v>1</v>
      </c>
      <c r="F959" s="175" t="e">
        <f>VLOOKUP(Saldo[[#This Row],[ITEM]],#REF!,4,0)</f>
        <v>#REF!</v>
      </c>
    </row>
    <row r="960" spans="1:6" x14ac:dyDescent="0.25">
      <c r="A960" s="54">
        <v>33070760266</v>
      </c>
      <c r="B960" s="143" t="s">
        <v>756</v>
      </c>
      <c r="C960" s="158">
        <v>0</v>
      </c>
      <c r="F960" s="175" t="e">
        <f>VLOOKUP(Saldo[[#This Row],[ITEM]],#REF!,4,0)</f>
        <v>#REF!</v>
      </c>
    </row>
    <row r="961" spans="1:6" x14ac:dyDescent="0.25">
      <c r="A961" s="54">
        <v>33070760267</v>
      </c>
      <c r="B961" s="143" t="s">
        <v>771</v>
      </c>
      <c r="C961" s="158">
        <v>71</v>
      </c>
      <c r="F961" s="175" t="e">
        <f>VLOOKUP(Saldo[[#This Row],[ITEM]],#REF!,4,0)</f>
        <v>#REF!</v>
      </c>
    </row>
    <row r="962" spans="1:6" x14ac:dyDescent="0.25">
      <c r="A962" s="54">
        <v>33070760268</v>
      </c>
      <c r="B962" s="143" t="s">
        <v>772</v>
      </c>
      <c r="C962" s="158">
        <v>12</v>
      </c>
      <c r="F962" s="175" t="e">
        <f>VLOOKUP(Saldo[[#This Row],[ITEM]],#REF!,4,0)</f>
        <v>#REF!</v>
      </c>
    </row>
    <row r="963" spans="1:6" x14ac:dyDescent="0.25">
      <c r="A963" s="54">
        <v>33070760269</v>
      </c>
      <c r="B963" s="143" t="s">
        <v>773</v>
      </c>
      <c r="C963" s="158">
        <v>45</v>
      </c>
      <c r="F963" s="175" t="e">
        <f>VLOOKUP(Saldo[[#This Row],[ITEM]],#REF!,4,0)</f>
        <v>#REF!</v>
      </c>
    </row>
    <row r="964" spans="1:6" x14ac:dyDescent="0.25">
      <c r="A964" s="54">
        <v>33070760270</v>
      </c>
      <c r="B964" s="143" t="s">
        <v>774</v>
      </c>
      <c r="C964" s="158">
        <v>184</v>
      </c>
      <c r="F964" s="175" t="e">
        <f>VLOOKUP(Saldo[[#This Row],[ITEM]],#REF!,4,0)</f>
        <v>#REF!</v>
      </c>
    </row>
    <row r="965" spans="1:6" x14ac:dyDescent="0.25">
      <c r="A965" s="54">
        <v>33070760826</v>
      </c>
      <c r="B965" s="143" t="s">
        <v>3009</v>
      </c>
      <c r="C965" s="158">
        <v>50</v>
      </c>
      <c r="F965" s="175" t="e">
        <f>VLOOKUP(Saldo[[#This Row],[ITEM]],#REF!,4,0)</f>
        <v>#REF!</v>
      </c>
    </row>
    <row r="966" spans="1:6" x14ac:dyDescent="0.25">
      <c r="A966" s="54">
        <v>33070763416</v>
      </c>
      <c r="B966" s="143" t="s">
        <v>775</v>
      </c>
      <c r="C966" s="158">
        <v>94</v>
      </c>
      <c r="F966" s="175" t="e">
        <f>VLOOKUP(Saldo[[#This Row],[ITEM]],#REF!,4,0)</f>
        <v>#REF!</v>
      </c>
    </row>
    <row r="967" spans="1:6" x14ac:dyDescent="0.25">
      <c r="A967" s="54">
        <v>33070763417</v>
      </c>
      <c r="B967" s="143" t="s">
        <v>776</v>
      </c>
      <c r="C967" s="158">
        <v>89</v>
      </c>
      <c r="F967" s="175" t="e">
        <f>VLOOKUP(Saldo[[#This Row],[ITEM]],#REF!,4,0)</f>
        <v>#REF!</v>
      </c>
    </row>
    <row r="968" spans="1:6" x14ac:dyDescent="0.25">
      <c r="A968" s="54">
        <v>33070763418</v>
      </c>
      <c r="B968" s="143" t="s">
        <v>777</v>
      </c>
      <c r="C968" s="158">
        <v>93</v>
      </c>
      <c r="F968" s="175" t="e">
        <f>VLOOKUP(Saldo[[#This Row],[ITEM]],#REF!,4,0)</f>
        <v>#REF!</v>
      </c>
    </row>
    <row r="969" spans="1:6" x14ac:dyDescent="0.25">
      <c r="A969" s="54">
        <v>33070763419</v>
      </c>
      <c r="B969" s="143" t="s">
        <v>778</v>
      </c>
      <c r="C969" s="158">
        <v>90</v>
      </c>
      <c r="F969" s="175" t="e">
        <f>VLOOKUP(Saldo[[#This Row],[ITEM]],#REF!,4,0)</f>
        <v>#REF!</v>
      </c>
    </row>
    <row r="970" spans="1:6" x14ac:dyDescent="0.25">
      <c r="A970" s="54">
        <v>33070763420</v>
      </c>
      <c r="B970" s="143" t="s">
        <v>779</v>
      </c>
      <c r="C970" s="158">
        <v>94</v>
      </c>
      <c r="F970" s="175" t="e">
        <f>VLOOKUP(Saldo[[#This Row],[ITEM]],#REF!,4,0)</f>
        <v>#REF!</v>
      </c>
    </row>
    <row r="971" spans="1:6" x14ac:dyDescent="0.25">
      <c r="A971" s="54">
        <v>33070763421</v>
      </c>
      <c r="B971" s="143" t="s">
        <v>780</v>
      </c>
      <c r="C971" s="158">
        <v>43</v>
      </c>
      <c r="F971" s="175" t="e">
        <f>VLOOKUP(Saldo[[#This Row],[ITEM]],#REF!,4,0)</f>
        <v>#REF!</v>
      </c>
    </row>
    <row r="972" spans="1:6" x14ac:dyDescent="0.25">
      <c r="A972" s="54">
        <v>33070763422</v>
      </c>
      <c r="B972" s="143" t="s">
        <v>781</v>
      </c>
      <c r="C972" s="158">
        <v>42</v>
      </c>
      <c r="F972" s="175" t="e">
        <f>VLOOKUP(Saldo[[#This Row],[ITEM]],#REF!,4,0)</f>
        <v>#REF!</v>
      </c>
    </row>
    <row r="973" spans="1:6" x14ac:dyDescent="0.25">
      <c r="A973" s="54">
        <v>33070763423</v>
      </c>
      <c r="B973" s="143" t="s">
        <v>782</v>
      </c>
      <c r="C973" s="158">
        <v>50</v>
      </c>
      <c r="F973" s="175" t="e">
        <f>VLOOKUP(Saldo[[#This Row],[ITEM]],#REF!,4,0)</f>
        <v>#REF!</v>
      </c>
    </row>
    <row r="974" spans="1:6" x14ac:dyDescent="0.25">
      <c r="A974" s="54">
        <v>33070763424</v>
      </c>
      <c r="B974" s="143" t="s">
        <v>783</v>
      </c>
      <c r="C974" s="158">
        <v>49</v>
      </c>
      <c r="F974" s="175" t="e">
        <f>VLOOKUP(Saldo[[#This Row],[ITEM]],#REF!,4,0)</f>
        <v>#REF!</v>
      </c>
    </row>
    <row r="975" spans="1:6" x14ac:dyDescent="0.25">
      <c r="A975" s="54">
        <v>33070763425</v>
      </c>
      <c r="B975" s="143" t="s">
        <v>784</v>
      </c>
      <c r="C975" s="158">
        <v>48</v>
      </c>
      <c r="F975" s="175" t="e">
        <f>VLOOKUP(Saldo[[#This Row],[ITEM]],#REF!,4,0)</f>
        <v>#REF!</v>
      </c>
    </row>
    <row r="976" spans="1:6" x14ac:dyDescent="0.25">
      <c r="A976" s="54">
        <v>33070763426</v>
      </c>
      <c r="B976" s="143" t="s">
        <v>785</v>
      </c>
      <c r="C976" s="158">
        <v>50</v>
      </c>
      <c r="F976" s="175" t="e">
        <f>VLOOKUP(Saldo[[#This Row],[ITEM]],#REF!,4,0)</f>
        <v>#REF!</v>
      </c>
    </row>
    <row r="977" spans="1:6" x14ac:dyDescent="0.25">
      <c r="A977" s="54">
        <v>33070763427</v>
      </c>
      <c r="B977" s="143" t="s">
        <v>786</v>
      </c>
      <c r="C977" s="158">
        <v>46</v>
      </c>
      <c r="F977" s="175" t="e">
        <f>VLOOKUP(Saldo[[#This Row],[ITEM]],#REF!,4,0)</f>
        <v>#REF!</v>
      </c>
    </row>
    <row r="978" spans="1:6" x14ac:dyDescent="0.25">
      <c r="A978" s="54">
        <v>33070763428</v>
      </c>
      <c r="B978" s="143" t="s">
        <v>787</v>
      </c>
      <c r="C978" s="158">
        <v>49</v>
      </c>
      <c r="F978" s="175" t="e">
        <f>VLOOKUP(Saldo[[#This Row],[ITEM]],#REF!,4,0)</f>
        <v>#REF!</v>
      </c>
    </row>
    <row r="979" spans="1:6" x14ac:dyDescent="0.25">
      <c r="A979" s="54">
        <v>33070763429</v>
      </c>
      <c r="B979" s="143" t="s">
        <v>788</v>
      </c>
      <c r="C979" s="158">
        <v>50</v>
      </c>
      <c r="F979" s="175" t="e">
        <f>VLOOKUP(Saldo[[#This Row],[ITEM]],#REF!,4,0)</f>
        <v>#REF!</v>
      </c>
    </row>
    <row r="980" spans="1:6" x14ac:dyDescent="0.25">
      <c r="A980" s="54">
        <v>33070763430</v>
      </c>
      <c r="B980" s="143" t="s">
        <v>789</v>
      </c>
      <c r="C980" s="158">
        <v>50</v>
      </c>
      <c r="F980" s="175" t="e">
        <f>VLOOKUP(Saldo[[#This Row],[ITEM]],#REF!,4,0)</f>
        <v>#REF!</v>
      </c>
    </row>
    <row r="981" spans="1:6" x14ac:dyDescent="0.25">
      <c r="A981" s="54">
        <v>33070763431</v>
      </c>
      <c r="B981" s="143" t="s">
        <v>790</v>
      </c>
      <c r="C981" s="158">
        <v>99</v>
      </c>
      <c r="F981" s="175" t="e">
        <f>VLOOKUP(Saldo[[#This Row],[ITEM]],#REF!,4,0)</f>
        <v>#REF!</v>
      </c>
    </row>
    <row r="982" spans="1:6" x14ac:dyDescent="0.25">
      <c r="A982" s="54">
        <v>33070763432</v>
      </c>
      <c r="B982" s="143" t="s">
        <v>791</v>
      </c>
      <c r="C982" s="158">
        <v>100</v>
      </c>
      <c r="F982" s="175" t="e">
        <f>VLOOKUP(Saldo[[#This Row],[ITEM]],#REF!,4,0)</f>
        <v>#REF!</v>
      </c>
    </row>
    <row r="983" spans="1:6" x14ac:dyDescent="0.25">
      <c r="A983" s="54">
        <v>33070763433</v>
      </c>
      <c r="B983" s="143" t="s">
        <v>792</v>
      </c>
      <c r="C983" s="158">
        <v>100</v>
      </c>
      <c r="F983" s="175" t="e">
        <f>VLOOKUP(Saldo[[#This Row],[ITEM]],#REF!,4,0)</f>
        <v>#REF!</v>
      </c>
    </row>
    <row r="984" spans="1:6" x14ac:dyDescent="0.25">
      <c r="A984" s="54">
        <v>33070763434</v>
      </c>
      <c r="B984" s="143" t="s">
        <v>793</v>
      </c>
      <c r="C984" s="158">
        <v>99</v>
      </c>
      <c r="F984" s="175" t="e">
        <f>VLOOKUP(Saldo[[#This Row],[ITEM]],#REF!,4,0)</f>
        <v>#REF!</v>
      </c>
    </row>
    <row r="985" spans="1:6" x14ac:dyDescent="0.25">
      <c r="A985" s="54">
        <v>33070763435</v>
      </c>
      <c r="B985" s="143" t="s">
        <v>794</v>
      </c>
      <c r="C985" s="158">
        <v>93</v>
      </c>
      <c r="F985" s="175" t="e">
        <f>VLOOKUP(Saldo[[#This Row],[ITEM]],#REF!,4,0)</f>
        <v>#REF!</v>
      </c>
    </row>
    <row r="986" spans="1:6" x14ac:dyDescent="0.25">
      <c r="A986" s="54">
        <v>33070763436</v>
      </c>
      <c r="B986" s="143" t="s">
        <v>3010</v>
      </c>
      <c r="C986" s="158">
        <v>100</v>
      </c>
      <c r="F986" s="175" t="e">
        <f>VLOOKUP(Saldo[[#This Row],[ITEM]],#REF!,4,0)</f>
        <v>#REF!</v>
      </c>
    </row>
    <row r="987" spans="1:6" x14ac:dyDescent="0.25">
      <c r="A987" s="54">
        <v>33070763437</v>
      </c>
      <c r="B987" s="143" t="s">
        <v>3011</v>
      </c>
      <c r="C987" s="158">
        <v>98</v>
      </c>
      <c r="F987" s="175" t="e">
        <f>VLOOKUP(Saldo[[#This Row],[ITEM]],#REF!,4,0)</f>
        <v>#REF!</v>
      </c>
    </row>
    <row r="988" spans="1:6" x14ac:dyDescent="0.25">
      <c r="A988" s="54">
        <v>33070763438</v>
      </c>
      <c r="B988" s="143" t="s">
        <v>3012</v>
      </c>
      <c r="C988" s="158">
        <v>100</v>
      </c>
      <c r="F988" s="175" t="e">
        <f>VLOOKUP(Saldo[[#This Row],[ITEM]],#REF!,4,0)</f>
        <v>#REF!</v>
      </c>
    </row>
    <row r="989" spans="1:6" x14ac:dyDescent="0.25">
      <c r="A989" s="54">
        <v>33070763439</v>
      </c>
      <c r="B989" s="143" t="s">
        <v>3013</v>
      </c>
      <c r="C989" s="158">
        <v>99</v>
      </c>
      <c r="F989" s="175" t="e">
        <f>VLOOKUP(Saldo[[#This Row],[ITEM]],#REF!,4,0)</f>
        <v>#REF!</v>
      </c>
    </row>
    <row r="990" spans="1:6" x14ac:dyDescent="0.25">
      <c r="A990" s="54">
        <v>33070763440</v>
      </c>
      <c r="B990" s="143" t="s">
        <v>3014</v>
      </c>
      <c r="C990" s="158">
        <v>99</v>
      </c>
      <c r="F990" s="175" t="e">
        <f>VLOOKUP(Saldo[[#This Row],[ITEM]],#REF!,4,0)</f>
        <v>#REF!</v>
      </c>
    </row>
    <row r="991" spans="1:6" x14ac:dyDescent="0.25">
      <c r="A991" s="54">
        <v>33070763441</v>
      </c>
      <c r="B991" s="143" t="s">
        <v>3015</v>
      </c>
      <c r="C991" s="158">
        <v>41</v>
      </c>
      <c r="F991" s="175" t="e">
        <f>VLOOKUP(Saldo[[#This Row],[ITEM]],#REF!,4,0)</f>
        <v>#REF!</v>
      </c>
    </row>
    <row r="992" spans="1:6" x14ac:dyDescent="0.25">
      <c r="A992" s="54">
        <v>33070763442</v>
      </c>
      <c r="B992" s="143" t="s">
        <v>3016</v>
      </c>
      <c r="C992" s="158">
        <v>45</v>
      </c>
      <c r="F992" s="175" t="e">
        <f>VLOOKUP(Saldo[[#This Row],[ITEM]],#REF!,4,0)</f>
        <v>#REF!</v>
      </c>
    </row>
    <row r="993" spans="1:6" x14ac:dyDescent="0.25">
      <c r="A993" s="54">
        <v>33070763443</v>
      </c>
      <c r="B993" s="143" t="s">
        <v>3017</v>
      </c>
      <c r="C993" s="158">
        <v>46</v>
      </c>
      <c r="F993" s="175" t="e">
        <f>VLOOKUP(Saldo[[#This Row],[ITEM]],#REF!,4,0)</f>
        <v>#REF!</v>
      </c>
    </row>
    <row r="994" spans="1:6" x14ac:dyDescent="0.25">
      <c r="A994" s="54">
        <v>33070763444</v>
      </c>
      <c r="B994" s="143" t="s">
        <v>3018</v>
      </c>
      <c r="C994" s="158">
        <v>45</v>
      </c>
      <c r="F994" s="175" t="e">
        <f>VLOOKUP(Saldo[[#This Row],[ITEM]],#REF!,4,0)</f>
        <v>#REF!</v>
      </c>
    </row>
    <row r="995" spans="1:6" x14ac:dyDescent="0.25">
      <c r="A995" s="54">
        <v>33070763445</v>
      </c>
      <c r="B995" s="143" t="s">
        <v>3019</v>
      </c>
      <c r="C995" s="158">
        <v>45</v>
      </c>
      <c r="F995" s="175" t="e">
        <f>VLOOKUP(Saldo[[#This Row],[ITEM]],#REF!,4,0)</f>
        <v>#REF!</v>
      </c>
    </row>
    <row r="996" spans="1:6" x14ac:dyDescent="0.25">
      <c r="A996" s="54">
        <v>33070763446</v>
      </c>
      <c r="B996" s="143" t="s">
        <v>3020</v>
      </c>
      <c r="C996" s="158">
        <v>46</v>
      </c>
      <c r="F996" s="175" t="e">
        <f>VLOOKUP(Saldo[[#This Row],[ITEM]],#REF!,4,0)</f>
        <v>#REF!</v>
      </c>
    </row>
    <row r="997" spans="1:6" x14ac:dyDescent="0.25">
      <c r="A997" s="54">
        <v>33070763447</v>
      </c>
      <c r="B997" s="143" t="s">
        <v>3021</v>
      </c>
      <c r="C997" s="158">
        <v>47</v>
      </c>
      <c r="F997" s="175" t="e">
        <f>VLOOKUP(Saldo[[#This Row],[ITEM]],#REF!,4,0)</f>
        <v>#REF!</v>
      </c>
    </row>
    <row r="998" spans="1:6" x14ac:dyDescent="0.25">
      <c r="A998" s="54">
        <v>33070763448</v>
      </c>
      <c r="B998" s="143" t="s">
        <v>3022</v>
      </c>
      <c r="C998" s="158">
        <v>47</v>
      </c>
      <c r="F998" s="175" t="e">
        <f>VLOOKUP(Saldo[[#This Row],[ITEM]],#REF!,4,0)</f>
        <v>#REF!</v>
      </c>
    </row>
    <row r="999" spans="1:6" x14ac:dyDescent="0.25">
      <c r="A999" s="54">
        <v>33070763449</v>
      </c>
      <c r="B999" s="143" t="s">
        <v>3023</v>
      </c>
      <c r="C999" s="158">
        <v>47</v>
      </c>
      <c r="F999" s="175" t="e">
        <f>VLOOKUP(Saldo[[#This Row],[ITEM]],#REF!,4,0)</f>
        <v>#REF!</v>
      </c>
    </row>
    <row r="1000" spans="1:6" x14ac:dyDescent="0.25">
      <c r="A1000" s="54">
        <v>33070763450</v>
      </c>
      <c r="B1000" s="143" t="s">
        <v>3024</v>
      </c>
      <c r="C1000" s="158">
        <v>46</v>
      </c>
      <c r="F1000" s="175" t="e">
        <f>VLOOKUP(Saldo[[#This Row],[ITEM]],#REF!,4,0)</f>
        <v>#REF!</v>
      </c>
    </row>
    <row r="1001" spans="1:6" x14ac:dyDescent="0.25">
      <c r="A1001" s="54">
        <v>33070763451</v>
      </c>
      <c r="B1001" s="143" t="s">
        <v>3025</v>
      </c>
      <c r="C1001" s="158">
        <v>96</v>
      </c>
      <c r="F1001" s="175" t="e">
        <f>VLOOKUP(Saldo[[#This Row],[ITEM]],#REF!,4,0)</f>
        <v>#REF!</v>
      </c>
    </row>
    <row r="1002" spans="1:6" x14ac:dyDescent="0.25">
      <c r="A1002" s="54">
        <v>33070763452</v>
      </c>
      <c r="B1002" s="143" t="s">
        <v>3026</v>
      </c>
      <c r="C1002" s="158">
        <v>95</v>
      </c>
      <c r="F1002" s="175" t="e">
        <f>VLOOKUP(Saldo[[#This Row],[ITEM]],#REF!,4,0)</f>
        <v>#REF!</v>
      </c>
    </row>
    <row r="1003" spans="1:6" x14ac:dyDescent="0.25">
      <c r="A1003" s="54">
        <v>33070763453</v>
      </c>
      <c r="B1003" s="143" t="s">
        <v>3027</v>
      </c>
      <c r="C1003" s="158">
        <v>91</v>
      </c>
      <c r="F1003" s="175" t="e">
        <f>VLOOKUP(Saldo[[#This Row],[ITEM]],#REF!,4,0)</f>
        <v>#REF!</v>
      </c>
    </row>
    <row r="1004" spans="1:6" x14ac:dyDescent="0.25">
      <c r="A1004" s="54">
        <v>33070763454</v>
      </c>
      <c r="B1004" s="143" t="s">
        <v>3028</v>
      </c>
      <c r="C1004" s="158">
        <v>96</v>
      </c>
      <c r="F1004" s="175" t="e">
        <f>VLOOKUP(Saldo[[#This Row],[ITEM]],#REF!,4,0)</f>
        <v>#REF!</v>
      </c>
    </row>
    <row r="1005" spans="1:6" x14ac:dyDescent="0.25">
      <c r="A1005" s="54">
        <v>33070763455</v>
      </c>
      <c r="B1005" s="143" t="s">
        <v>3029</v>
      </c>
      <c r="C1005" s="158">
        <v>96</v>
      </c>
      <c r="F1005" s="175" t="e">
        <f>VLOOKUP(Saldo[[#This Row],[ITEM]],#REF!,4,0)</f>
        <v>#REF!</v>
      </c>
    </row>
    <row r="1006" spans="1:6" x14ac:dyDescent="0.25">
      <c r="A1006" s="54">
        <v>33070763456</v>
      </c>
      <c r="B1006" s="143" t="s">
        <v>795</v>
      </c>
      <c r="C1006" s="158">
        <v>27</v>
      </c>
      <c r="F1006" s="175" t="e">
        <f>VLOOKUP(Saldo[[#This Row],[ITEM]],#REF!,4,0)</f>
        <v>#REF!</v>
      </c>
    </row>
    <row r="1007" spans="1:6" x14ac:dyDescent="0.25">
      <c r="A1007" s="54">
        <v>33102163123</v>
      </c>
      <c r="B1007" s="143" t="s">
        <v>796</v>
      </c>
      <c r="C1007" s="158"/>
      <c r="F1007" s="175"/>
    </row>
    <row r="1008" spans="1:6" x14ac:dyDescent="0.25">
      <c r="A1008" s="54">
        <v>33102163124</v>
      </c>
      <c r="B1008" s="143" t="s">
        <v>797</v>
      </c>
      <c r="C1008" s="158"/>
      <c r="F1008" s="175"/>
    </row>
    <row r="1009" spans="1:6" x14ac:dyDescent="0.25">
      <c r="A1009" s="54">
        <v>33102163125</v>
      </c>
      <c r="B1009" s="143" t="s">
        <v>798</v>
      </c>
      <c r="C1009" s="158"/>
      <c r="F1009" s="175"/>
    </row>
    <row r="1010" spans="1:6" x14ac:dyDescent="0.25">
      <c r="A1010" s="54">
        <v>33102163126</v>
      </c>
      <c r="B1010" s="143" t="s">
        <v>799</v>
      </c>
      <c r="C1010" s="158"/>
      <c r="F1010" s="175"/>
    </row>
    <row r="1011" spans="1:6" x14ac:dyDescent="0.25">
      <c r="A1011" s="54">
        <v>33102163127</v>
      </c>
      <c r="B1011" s="143" t="s">
        <v>800</v>
      </c>
      <c r="C1011" s="158"/>
      <c r="F1011" s="175"/>
    </row>
    <row r="1012" spans="1:6" x14ac:dyDescent="0.25">
      <c r="A1012" s="54">
        <v>33102163130</v>
      </c>
      <c r="B1012" s="143" t="s">
        <v>801</v>
      </c>
      <c r="C1012" s="158"/>
      <c r="F1012" s="175"/>
    </row>
    <row r="1013" spans="1:6" x14ac:dyDescent="0.25">
      <c r="A1013" s="54">
        <v>33102163131</v>
      </c>
      <c r="B1013" s="143" t="s">
        <v>802</v>
      </c>
      <c r="C1013" s="158"/>
      <c r="F1013" s="175"/>
    </row>
    <row r="1014" spans="1:6" x14ac:dyDescent="0.25">
      <c r="A1014" s="54">
        <v>33102163132</v>
      </c>
      <c r="B1014" s="143" t="s">
        <v>803</v>
      </c>
      <c r="C1014" s="158"/>
      <c r="F1014" s="175"/>
    </row>
    <row r="1015" spans="1:6" x14ac:dyDescent="0.25">
      <c r="A1015" s="54">
        <v>33102164050</v>
      </c>
      <c r="B1015" s="143" t="s">
        <v>804</v>
      </c>
      <c r="C1015" s="158"/>
      <c r="F1015" s="175"/>
    </row>
    <row r="1016" spans="1:6" x14ac:dyDescent="0.25">
      <c r="A1016" s="54">
        <v>33102263133</v>
      </c>
      <c r="B1016" s="143" t="s">
        <v>805</v>
      </c>
      <c r="C1016" s="158"/>
      <c r="F1016" s="175"/>
    </row>
    <row r="1017" spans="1:6" x14ac:dyDescent="0.25">
      <c r="A1017" s="54">
        <v>33102263134</v>
      </c>
      <c r="B1017" s="143" t="s">
        <v>806</v>
      </c>
      <c r="C1017" s="158"/>
      <c r="F1017" s="175"/>
    </row>
    <row r="1018" spans="1:6" x14ac:dyDescent="0.25">
      <c r="A1018" s="54">
        <v>33102263135</v>
      </c>
      <c r="B1018" s="143" t="s">
        <v>807</v>
      </c>
      <c r="C1018" s="158"/>
      <c r="F1018" s="175"/>
    </row>
    <row r="1019" spans="1:6" x14ac:dyDescent="0.25">
      <c r="A1019" s="54">
        <v>33102263136</v>
      </c>
      <c r="B1019" s="143" t="s">
        <v>808</v>
      </c>
      <c r="C1019" s="158"/>
      <c r="F1019" s="175"/>
    </row>
    <row r="1020" spans="1:6" x14ac:dyDescent="0.25">
      <c r="A1020" s="54">
        <v>33102263137</v>
      </c>
      <c r="B1020" s="143" t="s">
        <v>809</v>
      </c>
      <c r="C1020" s="158"/>
      <c r="F1020" s="175"/>
    </row>
    <row r="1021" spans="1:6" x14ac:dyDescent="0.25">
      <c r="A1021" s="54">
        <v>33105063084</v>
      </c>
      <c r="B1021" s="143" t="s">
        <v>810</v>
      </c>
      <c r="C1021" s="158"/>
      <c r="F1021" s="175"/>
    </row>
    <row r="1022" spans="1:6" x14ac:dyDescent="0.25">
      <c r="A1022" s="54">
        <v>33105063085</v>
      </c>
      <c r="B1022" s="143" t="s">
        <v>811</v>
      </c>
      <c r="C1022" s="158"/>
      <c r="F1022" s="175"/>
    </row>
    <row r="1023" spans="1:6" x14ac:dyDescent="0.25">
      <c r="A1023" s="54">
        <v>33105063086</v>
      </c>
      <c r="B1023" s="143" t="s">
        <v>812</v>
      </c>
      <c r="C1023" s="158"/>
      <c r="F1023" s="175"/>
    </row>
    <row r="1024" spans="1:6" x14ac:dyDescent="0.25">
      <c r="A1024" s="54">
        <v>33105063088</v>
      </c>
      <c r="B1024" s="143" t="s">
        <v>3030</v>
      </c>
      <c r="C1024" s="158"/>
      <c r="F1024" s="175"/>
    </row>
    <row r="1025" spans="1:6" x14ac:dyDescent="0.25">
      <c r="A1025" s="54">
        <v>33105063089</v>
      </c>
      <c r="B1025" s="143" t="s">
        <v>813</v>
      </c>
      <c r="C1025" s="158"/>
      <c r="F1025" s="175"/>
    </row>
    <row r="1026" spans="1:6" x14ac:dyDescent="0.25">
      <c r="A1026" s="54">
        <v>33105063090</v>
      </c>
      <c r="B1026" s="143" t="s">
        <v>814</v>
      </c>
      <c r="C1026" s="158"/>
      <c r="F1026" s="175"/>
    </row>
    <row r="1027" spans="1:6" x14ac:dyDescent="0.25">
      <c r="A1027" s="54">
        <v>33105063091</v>
      </c>
      <c r="B1027" s="143" t="s">
        <v>815</v>
      </c>
      <c r="C1027" s="158"/>
      <c r="F1027" s="175"/>
    </row>
    <row r="1028" spans="1:6" x14ac:dyDescent="0.25">
      <c r="A1028" s="54">
        <v>33105063092</v>
      </c>
      <c r="B1028" s="143" t="s">
        <v>816</v>
      </c>
      <c r="C1028" s="158"/>
      <c r="F1028" s="175"/>
    </row>
    <row r="1029" spans="1:6" x14ac:dyDescent="0.25">
      <c r="A1029" s="54">
        <v>33105063093</v>
      </c>
      <c r="B1029" s="143" t="s">
        <v>817</v>
      </c>
      <c r="C1029" s="158"/>
      <c r="D1029" s="7"/>
      <c r="F1029" s="175"/>
    </row>
    <row r="1030" spans="1:6" x14ac:dyDescent="0.25">
      <c r="A1030" s="54">
        <v>33105063094</v>
      </c>
      <c r="B1030" s="143" t="s">
        <v>818</v>
      </c>
      <c r="C1030" s="158"/>
      <c r="D1030" s="7"/>
      <c r="F1030" s="175"/>
    </row>
    <row r="1031" spans="1:6" x14ac:dyDescent="0.25">
      <c r="A1031" s="54">
        <v>33105063095</v>
      </c>
      <c r="B1031" s="143" t="s">
        <v>819</v>
      </c>
      <c r="C1031" s="158"/>
      <c r="D1031" s="7"/>
      <c r="F1031" s="175"/>
    </row>
    <row r="1032" spans="1:6" x14ac:dyDescent="0.25">
      <c r="A1032" s="54">
        <v>33105063096</v>
      </c>
      <c r="B1032" s="143" t="s">
        <v>820</v>
      </c>
      <c r="C1032" s="158"/>
      <c r="D1032" s="7"/>
      <c r="F1032" s="175"/>
    </row>
    <row r="1033" spans="1:6" x14ac:dyDescent="0.25">
      <c r="A1033" s="54">
        <v>33105063097</v>
      </c>
      <c r="B1033" s="143" t="s">
        <v>821</v>
      </c>
      <c r="C1033" s="158"/>
      <c r="D1033" s="7"/>
      <c r="F1033" s="175"/>
    </row>
    <row r="1034" spans="1:6" x14ac:dyDescent="0.25">
      <c r="A1034" s="54">
        <v>33105063098</v>
      </c>
      <c r="B1034" s="143" t="s">
        <v>822</v>
      </c>
      <c r="C1034" s="158"/>
      <c r="D1034" s="7"/>
      <c r="F1034" s="175"/>
    </row>
    <row r="1035" spans="1:6" x14ac:dyDescent="0.25">
      <c r="A1035" s="54">
        <v>33105063099</v>
      </c>
      <c r="B1035" s="143" t="s">
        <v>823</v>
      </c>
      <c r="C1035" s="158"/>
      <c r="D1035" s="7"/>
      <c r="F1035" s="175"/>
    </row>
    <row r="1036" spans="1:6" x14ac:dyDescent="0.25">
      <c r="A1036" s="54">
        <v>33105063100</v>
      </c>
      <c r="B1036" s="143" t="s">
        <v>824</v>
      </c>
      <c r="C1036" s="158"/>
      <c r="D1036" s="7"/>
      <c r="F1036" s="175"/>
    </row>
    <row r="1037" spans="1:6" x14ac:dyDescent="0.25">
      <c r="A1037" s="54">
        <v>33105063101</v>
      </c>
      <c r="B1037" s="143" t="s">
        <v>825</v>
      </c>
      <c r="C1037" s="158"/>
      <c r="D1037" s="7"/>
      <c r="F1037" s="175"/>
    </row>
    <row r="1038" spans="1:6" x14ac:dyDescent="0.25">
      <c r="A1038" s="54">
        <v>33105063102</v>
      </c>
      <c r="B1038" s="143" t="s">
        <v>826</v>
      </c>
      <c r="C1038" s="158"/>
      <c r="D1038" s="7"/>
      <c r="F1038" s="175"/>
    </row>
    <row r="1039" spans="1:6" x14ac:dyDescent="0.25">
      <c r="A1039" s="54">
        <v>33105063103</v>
      </c>
      <c r="B1039" s="143" t="s">
        <v>827</v>
      </c>
      <c r="C1039" s="158"/>
      <c r="D1039" s="7"/>
      <c r="F1039" s="175"/>
    </row>
    <row r="1040" spans="1:6" x14ac:dyDescent="0.25">
      <c r="A1040" s="54">
        <v>33105063104</v>
      </c>
      <c r="B1040" s="143" t="s">
        <v>828</v>
      </c>
      <c r="C1040" s="158"/>
      <c r="D1040" s="7"/>
      <c r="F1040" s="175"/>
    </row>
    <row r="1041" spans="1:6" x14ac:dyDescent="0.25">
      <c r="A1041" s="54">
        <v>33105063105</v>
      </c>
      <c r="B1041" s="143" t="s">
        <v>829</v>
      </c>
      <c r="C1041" s="158"/>
      <c r="D1041" s="7"/>
      <c r="F1041" s="175"/>
    </row>
    <row r="1042" spans="1:6" x14ac:dyDescent="0.25">
      <c r="A1042" s="54">
        <v>33105063106</v>
      </c>
      <c r="B1042" s="143" t="s">
        <v>830</v>
      </c>
      <c r="C1042" s="158"/>
      <c r="D1042" s="7"/>
      <c r="F1042" s="175"/>
    </row>
    <row r="1043" spans="1:6" x14ac:dyDescent="0.25">
      <c r="A1043" s="54">
        <v>33105063107</v>
      </c>
      <c r="B1043" s="143" t="s">
        <v>831</v>
      </c>
      <c r="C1043" s="158"/>
      <c r="D1043" s="7"/>
      <c r="F1043" s="175"/>
    </row>
    <row r="1044" spans="1:6" x14ac:dyDescent="0.25">
      <c r="A1044" s="54">
        <v>33105063108</v>
      </c>
      <c r="B1044" s="143" t="s">
        <v>832</v>
      </c>
      <c r="C1044" s="158"/>
      <c r="D1044" s="7"/>
      <c r="F1044" s="175"/>
    </row>
    <row r="1045" spans="1:6" x14ac:dyDescent="0.25">
      <c r="A1045" s="54">
        <v>33105063109</v>
      </c>
      <c r="B1045" s="143" t="s">
        <v>833</v>
      </c>
      <c r="C1045" s="158"/>
      <c r="D1045" s="7"/>
      <c r="F1045" s="175"/>
    </row>
    <row r="1046" spans="1:6" x14ac:dyDescent="0.25">
      <c r="A1046" s="54">
        <v>33105063115</v>
      </c>
      <c r="B1046" s="143" t="s">
        <v>834</v>
      </c>
      <c r="C1046" s="158"/>
      <c r="D1046" s="7"/>
      <c r="F1046" s="175"/>
    </row>
    <row r="1047" spans="1:6" x14ac:dyDescent="0.25">
      <c r="A1047" s="54">
        <v>33105063116</v>
      </c>
      <c r="B1047" s="143" t="s">
        <v>835</v>
      </c>
      <c r="C1047" s="158"/>
      <c r="D1047" s="7"/>
      <c r="F1047" s="175"/>
    </row>
    <row r="1048" spans="1:6" x14ac:dyDescent="0.25">
      <c r="A1048" s="54">
        <v>33105063117</v>
      </c>
      <c r="B1048" s="143" t="s">
        <v>836</v>
      </c>
      <c r="C1048" s="158"/>
      <c r="D1048" s="7"/>
      <c r="F1048" s="175"/>
    </row>
    <row r="1049" spans="1:6" x14ac:dyDescent="0.25">
      <c r="A1049" s="54">
        <v>33105063118</v>
      </c>
      <c r="B1049" s="143" t="s">
        <v>837</v>
      </c>
      <c r="C1049" s="158"/>
      <c r="D1049" s="7"/>
      <c r="F1049" s="175"/>
    </row>
    <row r="1050" spans="1:6" x14ac:dyDescent="0.25">
      <c r="A1050" s="54">
        <v>33105063119</v>
      </c>
      <c r="B1050" s="143" t="s">
        <v>838</v>
      </c>
      <c r="C1050" s="158"/>
      <c r="D1050" s="7"/>
      <c r="F1050" s="175"/>
    </row>
    <row r="1051" spans="1:6" x14ac:dyDescent="0.25">
      <c r="A1051" s="54">
        <v>33105063120</v>
      </c>
      <c r="B1051" s="143" t="s">
        <v>839</v>
      </c>
      <c r="C1051" s="158"/>
      <c r="D1051" s="7"/>
      <c r="F1051" s="175"/>
    </row>
    <row r="1052" spans="1:6" x14ac:dyDescent="0.25">
      <c r="A1052" s="54">
        <v>33105063121</v>
      </c>
      <c r="B1052" s="143" t="s">
        <v>840</v>
      </c>
      <c r="C1052" s="158"/>
      <c r="D1052" s="7"/>
      <c r="F1052" s="175"/>
    </row>
    <row r="1053" spans="1:6" x14ac:dyDescent="0.25">
      <c r="A1053" s="54">
        <v>33105063122</v>
      </c>
      <c r="B1053" s="143" t="s">
        <v>841</v>
      </c>
      <c r="C1053" s="158"/>
      <c r="D1053" s="7"/>
      <c r="F1053" s="175"/>
    </row>
    <row r="1054" spans="1:6" x14ac:dyDescent="0.25">
      <c r="A1054" s="54">
        <v>33105063138</v>
      </c>
      <c r="B1054" s="143" t="s">
        <v>842</v>
      </c>
      <c r="C1054" s="158"/>
      <c r="D1054" s="7"/>
      <c r="F1054" s="175"/>
    </row>
    <row r="1055" spans="1:6" x14ac:dyDescent="0.25">
      <c r="A1055" s="54">
        <v>33105063941</v>
      </c>
      <c r="B1055" s="143" t="s">
        <v>843</v>
      </c>
      <c r="C1055" s="158"/>
      <c r="D1055" s="7"/>
      <c r="F1055" s="175"/>
    </row>
    <row r="1056" spans="1:6" x14ac:dyDescent="0.25">
      <c r="A1056" s="54">
        <v>33105063942</v>
      </c>
      <c r="B1056" s="143" t="s">
        <v>844</v>
      </c>
      <c r="C1056" s="158"/>
      <c r="D1056" s="7"/>
      <c r="F1056" s="175"/>
    </row>
    <row r="1057" spans="1:6" x14ac:dyDescent="0.25">
      <c r="A1057" s="54">
        <v>33105063943</v>
      </c>
      <c r="B1057" s="143" t="s">
        <v>845</v>
      </c>
      <c r="C1057" s="158"/>
      <c r="D1057" s="7"/>
      <c r="F1057" s="175"/>
    </row>
    <row r="1058" spans="1:6" x14ac:dyDescent="0.25">
      <c r="A1058" s="54">
        <v>33105063944</v>
      </c>
      <c r="B1058" s="143" t="s">
        <v>845</v>
      </c>
      <c r="C1058" s="158"/>
      <c r="D1058" s="7"/>
      <c r="F1058" s="175"/>
    </row>
    <row r="1059" spans="1:6" x14ac:dyDescent="0.25">
      <c r="A1059" s="54">
        <v>33105063945</v>
      </c>
      <c r="B1059" s="143" t="s">
        <v>844</v>
      </c>
      <c r="C1059" s="158"/>
      <c r="D1059" s="7"/>
      <c r="F1059" s="175"/>
    </row>
    <row r="1060" spans="1:6" x14ac:dyDescent="0.25">
      <c r="A1060" s="54">
        <v>33105063946</v>
      </c>
      <c r="B1060" s="143" t="s">
        <v>846</v>
      </c>
      <c r="C1060" s="158"/>
      <c r="D1060" s="7"/>
      <c r="F1060" s="175"/>
    </row>
    <row r="1061" spans="1:6" x14ac:dyDescent="0.25">
      <c r="A1061" s="54">
        <v>33105063947</v>
      </c>
      <c r="B1061" s="143" t="s">
        <v>846</v>
      </c>
      <c r="C1061" s="158"/>
      <c r="D1061" s="7"/>
      <c r="F1061" s="175"/>
    </row>
    <row r="1062" spans="1:6" x14ac:dyDescent="0.25">
      <c r="A1062" s="54">
        <v>33105063948</v>
      </c>
      <c r="B1062" s="143" t="s">
        <v>846</v>
      </c>
      <c r="C1062" s="158"/>
      <c r="D1062" s="7"/>
      <c r="F1062" s="175"/>
    </row>
    <row r="1063" spans="1:6" x14ac:dyDescent="0.25">
      <c r="A1063" s="54">
        <v>33105063990</v>
      </c>
      <c r="B1063" s="143" t="s">
        <v>847</v>
      </c>
      <c r="C1063" s="158"/>
      <c r="D1063" s="7"/>
      <c r="F1063" s="175"/>
    </row>
    <row r="1064" spans="1:6" x14ac:dyDescent="0.25">
      <c r="A1064" s="54">
        <v>33105063991</v>
      </c>
      <c r="B1064" s="143" t="s">
        <v>847</v>
      </c>
      <c r="C1064" s="158"/>
      <c r="D1064" s="7"/>
      <c r="F1064" s="175"/>
    </row>
    <row r="1065" spans="1:6" x14ac:dyDescent="0.25">
      <c r="A1065" s="54">
        <v>33105163075</v>
      </c>
      <c r="B1065" s="143" t="s">
        <v>3031</v>
      </c>
      <c r="C1065" s="158">
        <v>824</v>
      </c>
      <c r="D1065" s="7"/>
      <c r="F1065" s="175" t="e">
        <f>VLOOKUP(Saldo[[#This Row],[ITEM]],#REF!,4,0)</f>
        <v>#REF!</v>
      </c>
    </row>
    <row r="1066" spans="1:6" x14ac:dyDescent="0.25">
      <c r="A1066" s="54">
        <v>33105163079</v>
      </c>
      <c r="B1066" s="143" t="s">
        <v>3032</v>
      </c>
      <c r="C1066" s="158">
        <v>805</v>
      </c>
      <c r="D1066" s="7"/>
      <c r="F1066" s="175" t="e">
        <f>VLOOKUP(Saldo[[#This Row],[ITEM]],#REF!,4,0)</f>
        <v>#REF!</v>
      </c>
    </row>
    <row r="1067" spans="1:6" x14ac:dyDescent="0.25">
      <c r="A1067" s="54">
        <v>33105163080</v>
      </c>
      <c r="B1067" s="143" t="s">
        <v>3033</v>
      </c>
      <c r="C1067" s="158">
        <v>939</v>
      </c>
      <c r="D1067" s="7"/>
      <c r="F1067" s="175" t="e">
        <f>VLOOKUP(Saldo[[#This Row],[ITEM]],#REF!,4,0)</f>
        <v>#REF!</v>
      </c>
    </row>
    <row r="1068" spans="1:6" x14ac:dyDescent="0.25">
      <c r="A1068" s="54">
        <v>33105263888</v>
      </c>
      <c r="B1068" s="143" t="s">
        <v>3034</v>
      </c>
      <c r="C1068" s="158">
        <v>623</v>
      </c>
      <c r="D1068" s="7"/>
      <c r="F1068" s="175" t="e">
        <f>VLOOKUP(Saldo[[#This Row],[ITEM]],#REF!,4,0)</f>
        <v>#REF!</v>
      </c>
    </row>
    <row r="1069" spans="1:6" x14ac:dyDescent="0.25">
      <c r="A1069" s="54">
        <v>41070814031</v>
      </c>
      <c r="B1069" s="143" t="s">
        <v>2832</v>
      </c>
      <c r="C1069" s="158">
        <v>0</v>
      </c>
      <c r="D1069" s="7"/>
      <c r="F1069" s="175" t="e">
        <f>VLOOKUP(Saldo[[#This Row],[ITEM]],#REF!,4,0)</f>
        <v>#REF!</v>
      </c>
    </row>
    <row r="1070" spans="1:6" x14ac:dyDescent="0.25">
      <c r="A1070" s="54">
        <v>41070814033</v>
      </c>
      <c r="B1070" s="143" t="s">
        <v>2833</v>
      </c>
      <c r="C1070" s="158">
        <v>0</v>
      </c>
      <c r="D1070" s="7"/>
      <c r="F1070" s="175" t="e">
        <f>VLOOKUP(Saldo[[#This Row],[ITEM]],#REF!,4,0)</f>
        <v>#REF!</v>
      </c>
    </row>
    <row r="1071" spans="1:6" x14ac:dyDescent="0.25">
      <c r="A1071" s="54">
        <v>33062065250</v>
      </c>
      <c r="B1071" s="143" t="s">
        <v>3045</v>
      </c>
      <c r="C1071" s="158">
        <v>5</v>
      </c>
      <c r="D1071" s="7"/>
      <c r="F1071" s="175" t="e">
        <f>VLOOKUP(Saldo[[#This Row],[ITEM]],#REF!,4,0)</f>
        <v>#REF!</v>
      </c>
    </row>
    <row r="1072" spans="1:6" x14ac:dyDescent="0.25">
      <c r="A1072" s="54">
        <v>33062065251</v>
      </c>
      <c r="B1072" s="143" t="s">
        <v>3046</v>
      </c>
      <c r="C1072" s="158">
        <v>5</v>
      </c>
      <c r="D1072" s="7"/>
      <c r="F1072" s="175" t="e">
        <f>VLOOKUP(Saldo[[#This Row],[ITEM]],#REF!,4,0)</f>
        <v>#REF!</v>
      </c>
    </row>
    <row r="1073" spans="1:6" x14ac:dyDescent="0.25">
      <c r="A1073" s="54">
        <v>33062065317</v>
      </c>
      <c r="B1073" s="143" t="s">
        <v>3070</v>
      </c>
      <c r="C1073" s="158">
        <v>3</v>
      </c>
      <c r="D1073" s="7"/>
      <c r="F1073" s="175" t="e">
        <f>VLOOKUP(Saldo[[#This Row],[ITEM]],#REF!,4,0)</f>
        <v>#REF!</v>
      </c>
    </row>
    <row r="1074" spans="1:6" x14ac:dyDescent="0.25">
      <c r="A1074" s="54">
        <v>33062065252</v>
      </c>
      <c r="B1074" s="143" t="s">
        <v>3047</v>
      </c>
      <c r="C1074" s="158">
        <v>5</v>
      </c>
      <c r="D1074" s="7"/>
      <c r="F1074" s="175" t="e">
        <f>VLOOKUP(Saldo[[#This Row],[ITEM]],#REF!,4,0)</f>
        <v>#REF!</v>
      </c>
    </row>
    <row r="1075" spans="1:6" x14ac:dyDescent="0.25">
      <c r="A1075" s="54">
        <v>33062065253</v>
      </c>
      <c r="B1075" s="143" t="s">
        <v>3036</v>
      </c>
      <c r="C1075" s="158">
        <v>5</v>
      </c>
      <c r="D1075" s="7"/>
      <c r="F1075" s="175" t="e">
        <f>VLOOKUP(Saldo[[#This Row],[ITEM]],#REF!,4,0)</f>
        <v>#REF!</v>
      </c>
    </row>
    <row r="1076" spans="1:6" x14ac:dyDescent="0.25">
      <c r="A1076" s="54">
        <v>33062065318</v>
      </c>
      <c r="B1076" s="143" t="s">
        <v>3071</v>
      </c>
      <c r="C1076" s="158">
        <v>3</v>
      </c>
      <c r="D1076" s="7"/>
      <c r="F1076" s="175" t="e">
        <f>VLOOKUP(Saldo[[#This Row],[ITEM]],#REF!,4,0)</f>
        <v>#REF!</v>
      </c>
    </row>
    <row r="1077" spans="1:6" x14ac:dyDescent="0.25">
      <c r="A1077" s="54">
        <v>33062065339</v>
      </c>
      <c r="B1077" s="143" t="s">
        <v>3088</v>
      </c>
      <c r="C1077" s="158">
        <v>3</v>
      </c>
      <c r="D1077" s="7"/>
      <c r="F1077" s="175" t="e">
        <f>VLOOKUP(Saldo[[#This Row],[ITEM]],#REF!,4,0)</f>
        <v>#REF!</v>
      </c>
    </row>
    <row r="1078" spans="1:6" x14ac:dyDescent="0.25">
      <c r="A1078" s="54">
        <v>33062065340</v>
      </c>
      <c r="B1078" s="143" t="s">
        <v>3089</v>
      </c>
      <c r="C1078" s="158">
        <v>3</v>
      </c>
      <c r="D1078" s="7"/>
      <c r="F1078" s="175" t="e">
        <f>VLOOKUP(Saldo[[#This Row],[ITEM]],#REF!,4,0)</f>
        <v>#REF!</v>
      </c>
    </row>
    <row r="1079" spans="1:6" x14ac:dyDescent="0.25">
      <c r="A1079" s="54">
        <v>33062065341</v>
      </c>
      <c r="B1079" s="143" t="s">
        <v>3088</v>
      </c>
      <c r="C1079" s="158">
        <v>2</v>
      </c>
      <c r="D1079" s="7"/>
      <c r="F1079" s="175" t="e">
        <f>VLOOKUP(Saldo[[#This Row],[ITEM]],#REF!,4,0)</f>
        <v>#REF!</v>
      </c>
    </row>
    <row r="1080" spans="1:6" x14ac:dyDescent="0.25">
      <c r="A1080" s="54">
        <v>33062065342</v>
      </c>
      <c r="B1080" s="143" t="s">
        <v>3090</v>
      </c>
      <c r="C1080" s="158">
        <v>2</v>
      </c>
      <c r="D1080" s="7"/>
      <c r="F1080" s="175" t="e">
        <f>VLOOKUP(Saldo[[#This Row],[ITEM]],#REF!,4,0)</f>
        <v>#REF!</v>
      </c>
    </row>
    <row r="1081" spans="1:6" x14ac:dyDescent="0.25">
      <c r="A1081" s="54">
        <v>33062065167</v>
      </c>
      <c r="B1081" s="143" t="s">
        <v>3091</v>
      </c>
      <c r="C1081" s="158">
        <v>1</v>
      </c>
      <c r="D1081" s="7"/>
      <c r="F1081" s="175" t="e">
        <f>VLOOKUP(Saldo[[#This Row],[ITEM]],#REF!,4,0)</f>
        <v>#REF!</v>
      </c>
    </row>
    <row r="1082" spans="1:6" x14ac:dyDescent="0.25">
      <c r="A1082" s="172">
        <v>33070665293</v>
      </c>
      <c r="B1082" s="173" t="s">
        <v>3094</v>
      </c>
      <c r="C1082" s="169">
        <v>2110</v>
      </c>
      <c r="D1082" s="7"/>
      <c r="F1082" s="175" t="e">
        <f>VLOOKUP(Saldo[[#This Row],[ITEM]],#REF!,4,0)</f>
        <v>#REF!</v>
      </c>
    </row>
    <row r="1083" spans="1:6" x14ac:dyDescent="0.25">
      <c r="A1083" s="172">
        <v>33070665295</v>
      </c>
      <c r="B1083" s="173" t="s">
        <v>3060</v>
      </c>
      <c r="C1083" s="169">
        <v>122</v>
      </c>
      <c r="D1083" s="7"/>
      <c r="F1083" s="175" t="e">
        <f>VLOOKUP(Saldo[[#This Row],[ITEM]],#REF!,4,0)</f>
        <v>#REF!</v>
      </c>
    </row>
    <row r="1084" spans="1:6" x14ac:dyDescent="0.25">
      <c r="A1084" s="172">
        <v>33070665296</v>
      </c>
      <c r="B1084" s="174" t="s">
        <v>3061</v>
      </c>
      <c r="C1084" s="169">
        <v>0</v>
      </c>
      <c r="D1084" s="7"/>
      <c r="F1084" s="175" t="e">
        <f>VLOOKUP(Saldo[[#This Row],[ITEM]],#REF!,4,0)</f>
        <v>#REF!</v>
      </c>
    </row>
    <row r="1085" spans="1:6" x14ac:dyDescent="0.25">
      <c r="A1085" s="172">
        <v>33070665297</v>
      </c>
      <c r="B1085" s="174" t="s">
        <v>3062</v>
      </c>
      <c r="C1085" s="169">
        <v>0</v>
      </c>
      <c r="D1085" s="7"/>
      <c r="F1085" s="175" t="e">
        <f>VLOOKUP(Saldo[[#This Row],[ITEM]],#REF!,4,0)</f>
        <v>#REF!</v>
      </c>
    </row>
    <row r="1086" spans="1:6" x14ac:dyDescent="0.25">
      <c r="A1086" s="172">
        <v>33070665298</v>
      </c>
      <c r="B1086" s="174" t="s">
        <v>3063</v>
      </c>
      <c r="C1086" s="169">
        <v>594</v>
      </c>
      <c r="D1086" s="7"/>
      <c r="F1086" s="175" t="e">
        <f>VLOOKUP(Saldo[[#This Row],[ITEM]],#REF!,4,0)</f>
        <v>#REF!</v>
      </c>
    </row>
    <row r="1087" spans="1:6" x14ac:dyDescent="0.25">
      <c r="A1087" s="172">
        <v>33070665319</v>
      </c>
      <c r="B1087" s="174" t="s">
        <v>3095</v>
      </c>
      <c r="C1087" s="169">
        <v>120</v>
      </c>
      <c r="D1087" s="7"/>
      <c r="F1087" s="175" t="e">
        <f>VLOOKUP(Saldo[[#This Row],[ITEM]],#REF!,4,0)</f>
        <v>#REF!</v>
      </c>
    </row>
    <row r="1088" spans="1:6" x14ac:dyDescent="0.25">
      <c r="A1088" s="172">
        <v>33070665320</v>
      </c>
      <c r="B1088" s="174" t="s">
        <v>3077</v>
      </c>
      <c r="C1088" s="169">
        <v>144</v>
      </c>
      <c r="D1088" s="7"/>
      <c r="F1088" s="175" t="e">
        <f>VLOOKUP(Saldo[[#This Row],[ITEM]],#REF!,4,0)</f>
        <v>#REF!</v>
      </c>
    </row>
    <row r="1089" spans="1:6" x14ac:dyDescent="0.25">
      <c r="A1089" s="172">
        <v>33070665326</v>
      </c>
      <c r="B1089" s="174" t="s">
        <v>3096</v>
      </c>
      <c r="C1089" s="169">
        <v>94</v>
      </c>
      <c r="D1089" s="7"/>
      <c r="F1089" s="175" t="e">
        <f>VLOOKUP(Saldo[[#This Row],[ITEM]],#REF!,4,0)</f>
        <v>#REF!</v>
      </c>
    </row>
    <row r="1090" spans="1:6" x14ac:dyDescent="0.25">
      <c r="A1090" s="172">
        <v>33070665327</v>
      </c>
      <c r="B1090" s="174" t="s">
        <v>3097</v>
      </c>
      <c r="C1090" s="169">
        <v>240</v>
      </c>
      <c r="D1090" s="7"/>
      <c r="F1090" s="175" t="e">
        <f>VLOOKUP(Saldo[[#This Row],[ITEM]],#REF!,4,0)</f>
        <v>#REF!</v>
      </c>
    </row>
  </sheetData>
  <pageMargins left="0.75" right="0.75" top="1" bottom="1" header="0.49212598499999999" footer="0.49212598499999999"/>
  <pageSetup paperSize="9" scale="77" fitToHeight="0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P1325"/>
  <sheetViews>
    <sheetView workbookViewId="0">
      <selection activeCell="B38" sqref="B38"/>
    </sheetView>
  </sheetViews>
  <sheetFormatPr defaultColWidth="9.140625" defaultRowHeight="15" x14ac:dyDescent="0.25"/>
  <cols>
    <col min="1" max="1" width="12.5703125" bestFit="1" customWidth="1"/>
    <col min="2" max="2" width="86.140625" style="8" customWidth="1"/>
    <col min="3" max="5" width="9.5703125" style="8" bestFit="1" customWidth="1"/>
    <col min="6" max="14" width="8.5703125" style="8" bestFit="1" customWidth="1"/>
    <col min="15" max="15" width="18.28515625" style="8" customWidth="1"/>
    <col min="16" max="16384" width="9.140625" style="8"/>
  </cols>
  <sheetData>
    <row r="1" spans="1:16" ht="12.75" x14ac:dyDescent="0.2">
      <c r="A1" s="15"/>
      <c r="C1" s="198" t="s">
        <v>3100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00"/>
      <c r="O1" s="88" t="s">
        <v>2877</v>
      </c>
    </row>
    <row r="2" spans="1:16" ht="20.25" thickBot="1" x14ac:dyDescent="0.25">
      <c r="A2" s="15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7" t="s">
        <v>2835</v>
      </c>
      <c r="O2" s="89" t="s">
        <v>3101</v>
      </c>
    </row>
    <row r="3" spans="1:16" x14ac:dyDescent="0.25">
      <c r="A3" s="15" t="s">
        <v>0</v>
      </c>
      <c r="B3" s="14" t="s">
        <v>2</v>
      </c>
      <c r="C3" s="14" t="s">
        <v>852</v>
      </c>
      <c r="D3" s="14" t="s">
        <v>853</v>
      </c>
      <c r="E3" s="14" t="s">
        <v>854</v>
      </c>
      <c r="F3" s="14" t="s">
        <v>855</v>
      </c>
      <c r="G3" s="14" t="s">
        <v>856</v>
      </c>
      <c r="H3" s="14" t="s">
        <v>857</v>
      </c>
      <c r="I3" s="14" t="s">
        <v>858</v>
      </c>
      <c r="J3" s="14" t="s">
        <v>859</v>
      </c>
      <c r="K3" s="14" t="s">
        <v>860</v>
      </c>
      <c r="L3" s="14" t="s">
        <v>861</v>
      </c>
      <c r="M3" s="14" t="s">
        <v>862</v>
      </c>
      <c r="N3" s="14" t="s">
        <v>863</v>
      </c>
      <c r="O3" s="14" t="s">
        <v>864</v>
      </c>
    </row>
    <row r="4" spans="1:16" x14ac:dyDescent="0.25">
      <c r="A4" s="15">
        <v>33105063095</v>
      </c>
      <c r="B4" s="16" t="str">
        <f>VLOOKUP(Projeção[[#This Row],[Código]],BD_Produto[#All],6,FALSE)</f>
        <v>ARMOUR ILLUSTRATOR COLLECTION JL05 - CASE DE PC PARA IPHONE 4 - YOUTS</v>
      </c>
      <c r="C4" s="130">
        <v>6.6666666666666666E-2</v>
      </c>
      <c r="D4" s="130">
        <v>6.6666666666666666E-2</v>
      </c>
      <c r="E4" s="130">
        <v>0</v>
      </c>
      <c r="F4" s="130">
        <v>0</v>
      </c>
      <c r="G4" s="130">
        <v>0</v>
      </c>
      <c r="H4" s="130">
        <v>0</v>
      </c>
      <c r="I4" s="130">
        <v>0</v>
      </c>
      <c r="J4" s="130">
        <v>0</v>
      </c>
      <c r="K4" s="130">
        <v>0</v>
      </c>
      <c r="L4" s="130">
        <v>0</v>
      </c>
      <c r="M4" s="130">
        <v>0</v>
      </c>
      <c r="N4" s="130">
        <v>0</v>
      </c>
      <c r="O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" spans="1:16" x14ac:dyDescent="0.25">
      <c r="A5" s="15">
        <v>33105063096</v>
      </c>
      <c r="B5" s="16" t="str">
        <f>VLOOKUP(Projeção[[#This Row],[Código]],BD_Produto[#All],6,FALSE)</f>
        <v>ARMOUR ILLUSTRATOR COLLECTION JL06 - CASE DE PC PARA IPHONE 4 - YOUTS</v>
      </c>
      <c r="C5" s="130">
        <v>6.6666666666666666E-2</v>
      </c>
      <c r="D5" s="130">
        <v>6.6666666666666666E-2</v>
      </c>
      <c r="E5" s="130">
        <v>3.3333333333333333E-2</v>
      </c>
      <c r="F5" s="130">
        <v>3.3333333333333333E-2</v>
      </c>
      <c r="G5" s="130">
        <v>3.3333333333333333E-2</v>
      </c>
      <c r="H5" s="130">
        <v>3.3333333333333333E-2</v>
      </c>
      <c r="I5" s="130">
        <v>0</v>
      </c>
      <c r="J5" s="130">
        <v>3.3333333333333333E-2</v>
      </c>
      <c r="K5" s="130">
        <v>3.3333333333333333E-2</v>
      </c>
      <c r="L5" s="130">
        <v>0</v>
      </c>
      <c r="M5" s="130">
        <v>0</v>
      </c>
      <c r="N5" s="130">
        <v>0</v>
      </c>
      <c r="O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" spans="1:16" x14ac:dyDescent="0.25">
      <c r="A6" s="15">
        <v>33105063097</v>
      </c>
      <c r="B6" s="16" t="str">
        <f>VLOOKUP(Projeção[[#This Row],[Código]],BD_Produto[#All],6,FALSE)</f>
        <v>ARMOUR ILLUSTRATOR COLLECTION MR11 - CASE DE PC PARA IPHONE 4 - YOUTS</v>
      </c>
      <c r="C6" s="130">
        <v>0.13333333333333333</v>
      </c>
      <c r="D6" s="130">
        <v>0.13333333333333333</v>
      </c>
      <c r="E6" s="130">
        <v>3.3333333333333333E-2</v>
      </c>
      <c r="F6" s="130">
        <v>3.3333333333333333E-2</v>
      </c>
      <c r="G6" s="130">
        <v>3.3333333333333333E-2</v>
      </c>
      <c r="H6" s="130">
        <v>3.3333333333333333E-2</v>
      </c>
      <c r="I6" s="130">
        <v>3.3333333333333333E-2</v>
      </c>
      <c r="J6" s="130">
        <v>3.3333333333333333E-2</v>
      </c>
      <c r="K6" s="130">
        <v>3.3333333333333333E-2</v>
      </c>
      <c r="L6" s="130">
        <v>0</v>
      </c>
      <c r="M6" s="130">
        <v>0</v>
      </c>
      <c r="N6" s="130">
        <v>0</v>
      </c>
      <c r="O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" spans="1:16" x14ac:dyDescent="0.25">
      <c r="A7" s="15">
        <v>33105063094</v>
      </c>
      <c r="B7" s="16" t="str">
        <f>VLOOKUP(Projeção[[#This Row],[Código]],BD_Produto[#All],6,FALSE)</f>
        <v>ARMOUR ILLUSTRATOR COLLECTION MR20 - CASE DE PC PARA IPHONE 4 - YOUTS</v>
      </c>
      <c r="C7" s="130">
        <v>0.13333333333333333</v>
      </c>
      <c r="D7" s="130">
        <v>0.13333333333333333</v>
      </c>
      <c r="E7" s="130">
        <v>3.3333333333333333E-2</v>
      </c>
      <c r="F7" s="130">
        <v>3.3333333333333333E-2</v>
      </c>
      <c r="G7" s="130">
        <v>3.3333333333333333E-2</v>
      </c>
      <c r="H7" s="130">
        <v>3.3333333333333333E-2</v>
      </c>
      <c r="I7" s="130">
        <v>3.3333333333333333E-2</v>
      </c>
      <c r="J7" s="130">
        <v>0</v>
      </c>
      <c r="K7" s="130">
        <v>3.3333333333333333E-2</v>
      </c>
      <c r="L7" s="130">
        <v>0</v>
      </c>
      <c r="M7" s="130">
        <v>0</v>
      </c>
      <c r="N7" s="130">
        <v>0</v>
      </c>
      <c r="O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" spans="1:16" x14ac:dyDescent="0.25">
      <c r="A8" s="15">
        <v>33105063108</v>
      </c>
      <c r="B8" s="16" t="str">
        <f>VLOOKUP(Projeção[[#This Row],[Código]],BD_Produto[#All],6,FALSE)</f>
        <v>ARMOUR LOVE SERIES - CASE DE PC PARA IPHONE 4 (KIT) - YOUTS</v>
      </c>
      <c r="C8" s="130">
        <v>0.39999999999999997</v>
      </c>
      <c r="D8" s="130">
        <v>0.39999999999999997</v>
      </c>
      <c r="E8" s="130">
        <v>0.3</v>
      </c>
      <c r="F8" s="130">
        <v>0.3</v>
      </c>
      <c r="G8" s="130">
        <v>0.3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" spans="1:16" x14ac:dyDescent="0.25">
      <c r="A9" s="15">
        <v>33063163751</v>
      </c>
      <c r="B9" s="16" t="str">
        <f>VLOOKUP(Projeção[[#This Row],[Código]],BD_Produto[#All],6,FALSE)</f>
        <v>Bandeja para Papeis Plus, WOW - PN:5226-30-01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0">
        <v>0</v>
      </c>
      <c r="N9" s="130">
        <v>0</v>
      </c>
      <c r="O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" spans="1:16" x14ac:dyDescent="0.25">
      <c r="A10" s="15">
        <v>33063163750</v>
      </c>
      <c r="B10" s="16" t="str">
        <f>VLOOKUP(Projeção[[#This Row],[Código]],BD_Produto[#All],6,FALSE)</f>
        <v>Bandeja para Papeis Standard , WOW - PN:5227-00-95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0</v>
      </c>
      <c r="O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" spans="1:16" x14ac:dyDescent="0.25">
      <c r="A11" s="15">
        <v>33062562844</v>
      </c>
      <c r="B11" s="16" t="str">
        <f>VLOOKUP(Projeção[[#This Row],[Código]],BD_Produto[#All],6,FALSE)</f>
        <v>Base de corte Fellowes A3 para refiladora - Conj 3 - PN:5411601</v>
      </c>
      <c r="C11" s="130">
        <v>0.6</v>
      </c>
      <c r="D11" s="130">
        <v>0.19999999999999998</v>
      </c>
      <c r="E11" s="130">
        <v>0.19999999999999998</v>
      </c>
      <c r="F11" s="130">
        <v>0.76666666666666661</v>
      </c>
      <c r="G11" s="130">
        <v>1.5</v>
      </c>
      <c r="H11" s="130">
        <v>0.70000000000000007</v>
      </c>
      <c r="I11" s="130">
        <v>0.70000000000000007</v>
      </c>
      <c r="J11" s="130">
        <v>0.5</v>
      </c>
      <c r="K11" s="130">
        <v>0.70000000000000007</v>
      </c>
      <c r="L11" s="130">
        <v>0.19999999999999998</v>
      </c>
      <c r="M11" s="130">
        <v>0.33333333333333326</v>
      </c>
      <c r="N11" s="130">
        <v>9.9999999999999992E-2</v>
      </c>
      <c r="O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6.6666666666666666E-2</v>
      </c>
    </row>
    <row r="12" spans="1:16" x14ac:dyDescent="0.25">
      <c r="A12" s="15">
        <v>33062562843</v>
      </c>
      <c r="B12" s="16" t="str">
        <f>VLOOKUP(Projeção[[#This Row],[Código]],BD_Produto[#All],6,FALSE)</f>
        <v>Base de corte Fellowes A4 para refiladora - Conj 3 - PN:5411501</v>
      </c>
      <c r="C12" s="130">
        <v>6.6666666666666666E-2</v>
      </c>
      <c r="D12" s="130">
        <v>6.6666666666666666E-2</v>
      </c>
      <c r="E12" s="130">
        <v>1.7666666666666668</v>
      </c>
      <c r="F12" s="130">
        <v>1.1333333333333331</v>
      </c>
      <c r="G12" s="130">
        <v>0.73333333333333328</v>
      </c>
      <c r="H12" s="130">
        <v>0.3</v>
      </c>
      <c r="I12" s="130">
        <v>0.3</v>
      </c>
      <c r="J12" s="130">
        <v>0.16666666666666666</v>
      </c>
      <c r="K12" s="130">
        <v>0.3</v>
      </c>
      <c r="L12" s="130">
        <v>0.13333333333333333</v>
      </c>
      <c r="M12" s="130">
        <v>0.13333333333333333</v>
      </c>
      <c r="N12" s="130">
        <v>0.3666666666666667</v>
      </c>
      <c r="O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6.6666666666666666E-2</v>
      </c>
    </row>
    <row r="13" spans="1:16" x14ac:dyDescent="0.25">
      <c r="A13" s="15">
        <v>30100062083</v>
      </c>
      <c r="B13" s="16" t="str">
        <f>VLOOKUP(Projeção[[#This Row],[Código]],BD_Produto[#All],6,FALSE)</f>
        <v>BD-R Youts 4x 25GB - Estojo Amaray</v>
      </c>
      <c r="C13" s="130">
        <v>0</v>
      </c>
      <c r="D13" s="130">
        <v>0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0</v>
      </c>
      <c r="K13" s="130">
        <v>0</v>
      </c>
      <c r="L13" s="130">
        <v>0</v>
      </c>
      <c r="M13" s="130">
        <v>0</v>
      </c>
      <c r="N13" s="130">
        <v>0</v>
      </c>
      <c r="O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" spans="1:16" x14ac:dyDescent="0.25">
      <c r="A14" s="15">
        <v>33100062759</v>
      </c>
      <c r="B14" s="16" t="str">
        <f>VLOOKUP(Projeção[[#This Row],[Código]],BD_Produto[#All],6,FALSE)</f>
        <v>BD-R Youts 4x25 GB - Estojo Amaray - Ed.Rock in Rio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" spans="1:16" x14ac:dyDescent="0.25">
      <c r="A15" s="15">
        <v>33063063746</v>
      </c>
      <c r="B15" s="16" t="str">
        <f>VLOOKUP(Projeção[[#This Row],[Código]],BD_Produto[#All],6,FALSE)</f>
        <v>Bebop ColorClip, A4 - PN:4183-00-01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" spans="1:16" x14ac:dyDescent="0.25">
      <c r="A16" s="15">
        <v>33063063747</v>
      </c>
      <c r="B16" s="16" t="str">
        <f>VLOOKUP(Projeção[[#This Row],[Código]],BD_Produto[#All],6,FALSE)</f>
        <v>Bebop ColorClip, A4 - PN:4183-00-95</v>
      </c>
      <c r="C16" s="130">
        <v>0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" spans="1:15" x14ac:dyDescent="0.25">
      <c r="A17" s="15">
        <v>41063863527</v>
      </c>
      <c r="B17" s="16" t="str">
        <f>VLOOKUP(Projeção[[#This Row],[Código]],BD_Produto[#All],6,FALSE)</f>
        <v>Bebop display de balcão - PN:92710000</v>
      </c>
      <c r="C17" s="130">
        <v>0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" spans="1:15" x14ac:dyDescent="0.25">
      <c r="A18" s="15">
        <v>41063863528</v>
      </c>
      <c r="B18" s="16" t="str">
        <f>VLOOKUP(Projeção[[#This Row],[Código]],BD_Produto[#All],6,FALSE)</f>
        <v>Bebop display de chão - PN:92670000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0</v>
      </c>
      <c r="K18" s="130">
        <v>0</v>
      </c>
      <c r="L18" s="130">
        <v>0</v>
      </c>
      <c r="M18" s="130">
        <v>0</v>
      </c>
      <c r="N18" s="130">
        <v>0</v>
      </c>
      <c r="O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" spans="1:15" x14ac:dyDescent="0.25">
      <c r="A19" s="15">
        <v>41063863529</v>
      </c>
      <c r="B19" s="16" t="str">
        <f>VLOOKUP(Projeção[[#This Row],[Código]],BD_Produto[#All],6,FALSE)</f>
        <v>Bebop display de chão 2 - PN:92740000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" spans="1:15" x14ac:dyDescent="0.25">
      <c r="A20" s="15">
        <v>41063863530</v>
      </c>
      <c r="B20" s="16" t="str">
        <f>VLOOKUP(Projeção[[#This Row],[Código]],BD_Produto[#All],6,FALSE)</f>
        <v>Bebop mecanismo 180 display de Chão - PN:92660000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0">
        <v>0</v>
      </c>
      <c r="K20" s="130">
        <v>0</v>
      </c>
      <c r="L20" s="130">
        <v>0</v>
      </c>
      <c r="M20" s="130">
        <v>0</v>
      </c>
      <c r="N20" s="130">
        <v>0</v>
      </c>
      <c r="O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" spans="1:15" x14ac:dyDescent="0.25">
      <c r="A21" s="15">
        <v>33063063748</v>
      </c>
      <c r="B21" s="16" t="str">
        <f>VLOOKUP(Projeção[[#This Row],[Código]],BD_Produto[#All],6,FALSE)</f>
        <v>Bebop Ring Binder, PP, 2R - PN:4566-00-01</v>
      </c>
      <c r="C21" s="130">
        <v>0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" spans="1:15" x14ac:dyDescent="0.25">
      <c r="A22" s="15">
        <v>33063063749</v>
      </c>
      <c r="B22" s="16" t="str">
        <f>VLOOKUP(Projeção[[#This Row],[Código]],BD_Produto[#All],6,FALSE)</f>
        <v>Bebop Ring Binder, PP, 2R - PN:4566-00-95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" spans="1:15" x14ac:dyDescent="0.25">
      <c r="A23" s="15">
        <v>41063863531</v>
      </c>
      <c r="B23" s="16" t="str">
        <f>VLOOKUP(Projeção[[#This Row],[Código]],BD_Produto[#All],6,FALSE)</f>
        <v>Bepob mecanismo 180 display de Balcão - PN:92720000</v>
      </c>
      <c r="C23" s="130">
        <v>0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" spans="1:15" x14ac:dyDescent="0.25">
      <c r="A24" s="15">
        <v>32060144125</v>
      </c>
      <c r="B24" s="16" t="str">
        <f>VLOOKUP(Projeção[[#This Row],[Código]],BD_Produto[#All],6,FALSE)</f>
        <v>BOSTON, GRAMPEADOR DE MESA 20 - PN: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1.6666666666666667</v>
      </c>
      <c r="I24" s="130">
        <v>1.6666666666666667</v>
      </c>
      <c r="J24" s="130">
        <v>1.6666666666666667</v>
      </c>
      <c r="K24" s="130">
        <v>1.6666666666666667</v>
      </c>
      <c r="L24" s="130">
        <v>0.33333333333333331</v>
      </c>
      <c r="M24" s="130">
        <v>1</v>
      </c>
      <c r="N24" s="130">
        <v>1</v>
      </c>
      <c r="O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" spans="1:15" x14ac:dyDescent="0.25">
      <c r="A25" s="15">
        <v>32060144123</v>
      </c>
      <c r="B25" s="16" t="str">
        <f>VLOOKUP(Projeção[[#This Row],[Código]],BD_Produto[#All],6,FALSE)</f>
        <v>BOSTON, GRAMPEADOR DE MESA 41 - PN:</v>
      </c>
      <c r="C25" s="130">
        <v>0</v>
      </c>
      <c r="D25" s="130">
        <v>0</v>
      </c>
      <c r="E25" s="130">
        <v>0</v>
      </c>
      <c r="F25" s="130">
        <v>0</v>
      </c>
      <c r="G25" s="130">
        <v>0</v>
      </c>
      <c r="H25" s="130">
        <v>0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" spans="1:15" x14ac:dyDescent="0.25">
      <c r="A26" s="15">
        <v>33063063525</v>
      </c>
      <c r="B26" s="16" t="str">
        <f>VLOOKUP(Projeção[[#This Row],[Código]],BD_Produto[#All],6,FALSE)</f>
        <v>Caderno Prestige A5 Mogno - PN:4615-00-76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7" spans="1:15" x14ac:dyDescent="0.25">
      <c r="A27" s="15">
        <v>33063063526</v>
      </c>
      <c r="B27" s="16" t="str">
        <f>VLOOKUP(Projeção[[#This Row],[Código]],BD_Produto[#All],6,FALSE)</f>
        <v>Caderno Prestige A5 Preto - PN:4615-00-95</v>
      </c>
      <c r="C27" s="130">
        <v>0</v>
      </c>
      <c r="D27" s="130">
        <v>0</v>
      </c>
      <c r="E27" s="130">
        <v>0</v>
      </c>
      <c r="F27" s="130">
        <v>0</v>
      </c>
      <c r="G27" s="130">
        <v>0</v>
      </c>
      <c r="H27" s="130">
        <v>0</v>
      </c>
      <c r="I27" s="130">
        <v>0</v>
      </c>
      <c r="J27" s="130">
        <v>0</v>
      </c>
      <c r="K27" s="130">
        <v>0</v>
      </c>
      <c r="L27" s="130">
        <v>0</v>
      </c>
      <c r="M27" s="130">
        <v>0</v>
      </c>
      <c r="N27" s="130">
        <v>0</v>
      </c>
      <c r="O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" spans="1:15" x14ac:dyDescent="0.25">
      <c r="A28" s="15">
        <v>33102163123</v>
      </c>
      <c r="B28" s="16" t="str">
        <f>VLOOKUP(Projeção[[#This Row],[Código]],BD_Produto[#All],6,FALSE)</f>
        <v>CANDY COLORS - FONE DE OUVIDO IN-EAR / AMARELO - YOUTS</v>
      </c>
      <c r="C28" s="130">
        <v>8.6999999999999993</v>
      </c>
      <c r="D28" s="130">
        <v>48.36666666666666</v>
      </c>
      <c r="E28" s="130">
        <v>14.766666666666666</v>
      </c>
      <c r="F28" s="130">
        <v>14.5</v>
      </c>
      <c r="G28" s="130">
        <v>4.333333333333333</v>
      </c>
      <c r="H28" s="130">
        <v>8.3333333333333339</v>
      </c>
      <c r="I28" s="130">
        <v>8.3000000000000007</v>
      </c>
      <c r="J28" s="130">
        <v>8.3333333333333339</v>
      </c>
      <c r="K28" s="130">
        <v>8.3333333333333339</v>
      </c>
      <c r="L28" s="130">
        <v>9.6</v>
      </c>
      <c r="M28" s="130">
        <v>13.133333333333333</v>
      </c>
      <c r="N28" s="130">
        <v>17.899999999999999</v>
      </c>
      <c r="O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19.5</v>
      </c>
    </row>
    <row r="29" spans="1:15" ht="15" customHeight="1" x14ac:dyDescent="0.25">
      <c r="A29" s="15">
        <v>33102163124</v>
      </c>
      <c r="B29" s="16" t="str">
        <f>VLOOKUP(Projeção[[#This Row],[Código]],BD_Produto[#All],6,FALSE)</f>
        <v>CANDY COLORS - FONE DE OUVIDO IN-EAR / AZUL - YOUTS</v>
      </c>
      <c r="C29" s="130">
        <v>21.533333333333331</v>
      </c>
      <c r="D29" s="130">
        <v>105.23333333333333</v>
      </c>
      <c r="E29" s="130">
        <v>36.6</v>
      </c>
      <c r="F29" s="130">
        <v>36.200000000000003</v>
      </c>
      <c r="G29" s="130">
        <v>14.933333333333334</v>
      </c>
      <c r="H29" s="130">
        <v>23.333333333333332</v>
      </c>
      <c r="I29" s="130">
        <v>23.333333333333332</v>
      </c>
      <c r="J29" s="130">
        <v>23.4</v>
      </c>
      <c r="K29" s="130">
        <v>23.333333333333332</v>
      </c>
      <c r="L29" s="130">
        <v>24.3</v>
      </c>
      <c r="M29" s="130">
        <v>30.166666666666661</v>
      </c>
      <c r="N29" s="130">
        <v>34.033333333333331</v>
      </c>
      <c r="O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39.966666666666661</v>
      </c>
    </row>
    <row r="30" spans="1:15" ht="15" customHeight="1" x14ac:dyDescent="0.25">
      <c r="A30" s="15">
        <v>33102163125</v>
      </c>
      <c r="B30" s="16" t="str">
        <f>VLOOKUP(Projeção[[#This Row],[Código]],BD_Produto[#All],6,FALSE)</f>
        <v>CANDY COLORS - FONE DE OUVIDO IN-EAR / LARANJA - YOUTS</v>
      </c>
      <c r="C30" s="130">
        <v>8.4666666666666668</v>
      </c>
      <c r="D30" s="130">
        <v>61.933333333333337</v>
      </c>
      <c r="E30" s="130">
        <v>19.099999999999998</v>
      </c>
      <c r="F30" s="130">
        <v>19.099999999999998</v>
      </c>
      <c r="G30" s="130">
        <v>6.2333333333333334</v>
      </c>
      <c r="H30" s="130">
        <v>11.533333333333335</v>
      </c>
      <c r="I30" s="130">
        <v>11.533333333333335</v>
      </c>
      <c r="J30" s="130">
        <v>11.466666666666667</v>
      </c>
      <c r="K30" s="130">
        <v>11.533333333333335</v>
      </c>
      <c r="L30" s="130">
        <v>14.299999999999999</v>
      </c>
      <c r="M30" s="130">
        <v>19.299999999999997</v>
      </c>
      <c r="N30" s="130">
        <v>17</v>
      </c>
      <c r="O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15.7</v>
      </c>
    </row>
    <row r="31" spans="1:15" x14ac:dyDescent="0.25">
      <c r="A31" s="15">
        <v>33102163126</v>
      </c>
      <c r="B31" s="16" t="str">
        <f>VLOOKUP(Projeção[[#This Row],[Código]],BD_Produto[#All],6,FALSE)</f>
        <v>CANDY COLORS - FONE DE OUVIDO IN-EAR / ROSA - YOUTS</v>
      </c>
      <c r="C31" s="130">
        <v>27.233333333333331</v>
      </c>
      <c r="D31" s="130">
        <v>68.73333333333332</v>
      </c>
      <c r="E31" s="130">
        <v>25.166666666666668</v>
      </c>
      <c r="F31" s="130">
        <v>24.633333333333329</v>
      </c>
      <c r="G31" s="130">
        <v>12.066666666666666</v>
      </c>
      <c r="H31" s="130">
        <v>17.833333333333336</v>
      </c>
      <c r="I31" s="130">
        <v>17.833333333333336</v>
      </c>
      <c r="J31" s="130">
        <v>17.833333333333336</v>
      </c>
      <c r="K31" s="130">
        <v>17.833333333333336</v>
      </c>
      <c r="L31" s="130">
        <v>18.799999999999997</v>
      </c>
      <c r="M31" s="130">
        <v>23.766666666666662</v>
      </c>
      <c r="N31" s="130">
        <v>25.766666666666669</v>
      </c>
      <c r="O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23.36666666666666</v>
      </c>
    </row>
    <row r="32" spans="1:15" x14ac:dyDescent="0.25">
      <c r="A32" s="15">
        <v>33102163127</v>
      </c>
      <c r="B32" s="16" t="str">
        <f>VLOOKUP(Projeção[[#This Row],[Código]],BD_Produto[#All],6,FALSE)</f>
        <v>CANDY COLORS - FONE DE OUVIDO IN-EAR / VERDE - YOUTS</v>
      </c>
      <c r="C32" s="130">
        <v>7.9666666666666668</v>
      </c>
      <c r="D32" s="130">
        <v>62.166666666666671</v>
      </c>
      <c r="E32" s="130">
        <v>18.799999999999997</v>
      </c>
      <c r="F32" s="130">
        <v>18.799999999999997</v>
      </c>
      <c r="G32" s="130">
        <v>5.8</v>
      </c>
      <c r="H32" s="130">
        <v>9.6</v>
      </c>
      <c r="I32" s="130">
        <v>9.6</v>
      </c>
      <c r="J32" s="130">
        <v>9.5</v>
      </c>
      <c r="K32" s="130">
        <v>9.6</v>
      </c>
      <c r="L32" s="130">
        <v>12.6</v>
      </c>
      <c r="M32" s="130">
        <v>16.533333333333335</v>
      </c>
      <c r="N32" s="130">
        <v>22.466666666666669</v>
      </c>
      <c r="O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15.499999999999998</v>
      </c>
    </row>
    <row r="33" spans="1:15" x14ac:dyDescent="0.25">
      <c r="A33" s="15">
        <v>33062562847</v>
      </c>
      <c r="B33" s="16" t="str">
        <f>VLOOKUP(Projeção[[#This Row],[Código]],BD_Produto[#All],6,FALSE)</f>
        <v>Capa A3 de PVC Transparente Fellowes para encadernação - 200 microns - 100 pç - PN:53764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" spans="1:15" x14ac:dyDescent="0.25">
      <c r="A34" s="15">
        <v>33062562848</v>
      </c>
      <c r="B34" s="16" t="str">
        <f>VLOOKUP(Projeção[[#This Row],[Código]],BD_Produto[#All],6,FALSE)</f>
        <v>Capa A4 de PVC Amarelo Fellowes para encadernação - 200 microns - 100 pç - PN:5377001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" spans="1:15" x14ac:dyDescent="0.25">
      <c r="A35" s="15">
        <v>33062562849</v>
      </c>
      <c r="B35" s="16" t="str">
        <f>VLOOKUP(Projeção[[#This Row],[Código]],BD_Produto[#All],6,FALSE)</f>
        <v>Capa A4 de PVC Azul Fellowes para encadernação - 200 microns - 100 pç - PN:5377101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" spans="1:15" ht="15" customHeight="1" x14ac:dyDescent="0.25">
      <c r="A36" s="15">
        <v>33062562852</v>
      </c>
      <c r="B36" s="16" t="str">
        <f>VLOOKUP(Projeção[[#This Row],[Código]],BD_Produto[#All],6,FALSE)</f>
        <v>Capa A4 de PVC Fosco Fellowes para encadernação - 200 microns - 100 pç - PN:5377401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" spans="1:15" ht="15" customHeight="1" x14ac:dyDescent="0.25">
      <c r="A37" s="15">
        <v>33062562851</v>
      </c>
      <c r="B37" s="16" t="str">
        <f>VLOOKUP(Projeção[[#This Row],[Código]],BD_Produto[#All],6,FALSE)</f>
        <v>Capa A4 de PVC Verde Fellowes para encadernação - 200 microns - 100 pç - PN:5377301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" spans="1:15" ht="15" customHeight="1" x14ac:dyDescent="0.25">
      <c r="A38" s="15">
        <v>33062562850</v>
      </c>
      <c r="B38" s="16" t="str">
        <f>VLOOKUP(Projeção[[#This Row],[Código]],BD_Produto[#All],6,FALSE)</f>
        <v>Capa A4 de PVC Vermelho Fellowes para encadernação - 200 microns - 100 pç - PN:5377201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9" spans="1:15" ht="15" customHeight="1" x14ac:dyDescent="0.2">
      <c r="A39" s="15">
        <v>33060414929</v>
      </c>
      <c r="B39" s="68" t="str">
        <f>VLOOKUP(Projeção[[#This Row],[Código]],BD_Produto[#All],6,FALSE)</f>
        <v>CAPA DO GRAMPEADOR RAPID 49</v>
      </c>
      <c r="C39" s="132"/>
      <c r="D39" s="132"/>
      <c r="E39" s="132"/>
      <c r="F39" s="132"/>
      <c r="G39" s="132"/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3">
        <v>0</v>
      </c>
      <c r="O3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" spans="1:15" x14ac:dyDescent="0.25">
      <c r="A40" s="15">
        <v>33062562841</v>
      </c>
      <c r="B40" s="16" t="str">
        <f>VLOOKUP(Projeção[[#This Row],[Código]],BD_Produto[#All],6,FALSE)</f>
        <v>Cartucho de Lâminas de reposição Fellowes SAFECUT 3 ESTILOS  - PN:5411301</v>
      </c>
      <c r="C40" s="130">
        <v>1.333333333333333</v>
      </c>
      <c r="D40" s="130">
        <v>2.1333333333333333</v>
      </c>
      <c r="E40" s="130">
        <v>0.93333333333333335</v>
      </c>
      <c r="F40" s="130">
        <v>1.2333333333333332</v>
      </c>
      <c r="G40" s="130">
        <v>0.43333333333333329</v>
      </c>
      <c r="H40" s="130">
        <v>0.43333333333333329</v>
      </c>
      <c r="I40" s="130">
        <v>0.43333333333333329</v>
      </c>
      <c r="J40" s="130">
        <v>0.3</v>
      </c>
      <c r="K40" s="130">
        <v>0.43333333333333329</v>
      </c>
      <c r="L40" s="130">
        <v>0.19999999999999998</v>
      </c>
      <c r="M40" s="130">
        <v>0.19999999999999998</v>
      </c>
      <c r="N40" s="130">
        <v>0.19999999999999998</v>
      </c>
      <c r="O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41" spans="1:15" x14ac:dyDescent="0.25">
      <c r="A41" s="15">
        <v>33062562842</v>
      </c>
      <c r="B41" s="16" t="str">
        <f>VLOOKUP(Projeção[[#This Row],[Código]],BD_Produto[#All],6,FALSE)</f>
        <v>Cartucho de Lâminas de reposição Fellowes SAFECUT reta  - PN:5411401</v>
      </c>
      <c r="C41" s="130">
        <v>9.9999999999999992E-2</v>
      </c>
      <c r="D41" s="130">
        <v>9.9999999999999992E-2</v>
      </c>
      <c r="E41" s="130">
        <v>9.9999999999999992E-2</v>
      </c>
      <c r="F41" s="130">
        <v>9.9999999999999992E-2</v>
      </c>
      <c r="G41" s="130">
        <v>9.9999999999999992E-2</v>
      </c>
      <c r="H41" s="130">
        <v>9.9999999999999992E-2</v>
      </c>
      <c r="I41" s="130">
        <v>9.9999999999999992E-2</v>
      </c>
      <c r="J41" s="130">
        <v>0.53333333333333333</v>
      </c>
      <c r="K41" s="130">
        <v>9.9999999999999992E-2</v>
      </c>
      <c r="L41" s="130">
        <v>0.5</v>
      </c>
      <c r="M41" s="130">
        <v>0.3</v>
      </c>
      <c r="N41" s="130">
        <v>0.3</v>
      </c>
      <c r="O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0.5</v>
      </c>
    </row>
    <row r="42" spans="1:15" ht="15" customHeight="1" x14ac:dyDescent="0.25">
      <c r="A42" s="15">
        <v>30100061431</v>
      </c>
      <c r="B42" s="16" t="str">
        <f>VLOOKUP(Projeção[[#This Row],[Código]],BD_Produto[#All],6,FALSE)</f>
        <v>CD-R Slim Color Label Blue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" spans="1:15" ht="15" customHeight="1" x14ac:dyDescent="0.25">
      <c r="A43" s="15">
        <v>30100061433</v>
      </c>
      <c r="B43" s="16" t="str">
        <f>VLOOKUP(Projeção[[#This Row],[Código]],BD_Produto[#All],6,FALSE)</f>
        <v>CD-R Slim Color Label Green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" spans="1:15" x14ac:dyDescent="0.25">
      <c r="A44" s="15">
        <v>30100061434</v>
      </c>
      <c r="B44" s="16" t="str">
        <f>VLOOKUP(Projeção[[#This Row],[Código]],BD_Produto[#All],6,FALSE)</f>
        <v>CD-R Slim Color Label Orange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0</v>
      </c>
      <c r="K44" s="130">
        <v>0</v>
      </c>
      <c r="L44" s="130">
        <v>0</v>
      </c>
      <c r="M44" s="130">
        <v>0</v>
      </c>
      <c r="N44" s="130">
        <v>0</v>
      </c>
      <c r="O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" spans="1:15" x14ac:dyDescent="0.25">
      <c r="A45" s="15">
        <v>30100061435</v>
      </c>
      <c r="B45" s="16" t="str">
        <f>VLOOKUP(Projeção[[#This Row],[Código]],BD_Produto[#All],6,FALSE)</f>
        <v>CD-R Slim Color Label Pink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" spans="1:15" x14ac:dyDescent="0.25">
      <c r="A46" s="15">
        <v>30100061432</v>
      </c>
      <c r="B46" s="16" t="str">
        <f>VLOOKUP(Projeção[[#This Row],[Código]],BD_Produto[#All],6,FALSE)</f>
        <v>CD-R Slim Color Label Yellow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130">
        <v>0</v>
      </c>
      <c r="J46" s="130">
        <v>0</v>
      </c>
      <c r="K46" s="130">
        <v>0</v>
      </c>
      <c r="L46" s="130">
        <v>0</v>
      </c>
      <c r="M46" s="130">
        <v>0</v>
      </c>
      <c r="N46" s="130">
        <v>0</v>
      </c>
      <c r="O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" spans="1:15" x14ac:dyDescent="0.25">
      <c r="A47" s="15">
        <v>30100061441</v>
      </c>
      <c r="B47" s="16" t="str">
        <f>VLOOKUP(Projeção[[#This Row],[Código]],BD_Produto[#All],6,FALSE)</f>
        <v>CD-R Youts Cake com 10 discos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8" spans="1:15" x14ac:dyDescent="0.25">
      <c r="A48" s="15">
        <v>30100061443</v>
      </c>
      <c r="B48" s="16" t="str">
        <f>VLOOKUP(Projeção[[#This Row],[Código]],BD_Produto[#All],6,FALSE)</f>
        <v>CD-R Youts Cake com 100 discos</v>
      </c>
      <c r="C48" s="130">
        <v>0</v>
      </c>
      <c r="D48" s="130">
        <v>0</v>
      </c>
      <c r="E48" s="130">
        <v>0</v>
      </c>
      <c r="F48" s="130">
        <v>0</v>
      </c>
      <c r="G48" s="130">
        <v>0</v>
      </c>
      <c r="H48" s="130">
        <v>0</v>
      </c>
      <c r="I48" s="130">
        <v>0</v>
      </c>
      <c r="J48" s="130">
        <v>0</v>
      </c>
      <c r="K48" s="130">
        <v>0</v>
      </c>
      <c r="L48" s="130">
        <v>0</v>
      </c>
      <c r="M48" s="130">
        <v>0</v>
      </c>
      <c r="N48" s="130">
        <v>0</v>
      </c>
      <c r="O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9" spans="1:15" x14ac:dyDescent="0.25">
      <c r="A49" s="15">
        <v>30100061442</v>
      </c>
      <c r="B49" s="16" t="str">
        <f>VLOOKUP(Projeção[[#This Row],[Código]],BD_Produto[#All],6,FALSE)</f>
        <v>CD-R Youts Cake com 50 discos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0" spans="1:15" x14ac:dyDescent="0.25">
      <c r="A50" s="15">
        <v>30100061445</v>
      </c>
      <c r="B50" s="16" t="str">
        <f>VLOOKUP(Projeção[[#This Row],[Código]],BD_Produto[#All],6,FALSE)</f>
        <v>CD-R Youts Color Label Cake com 10 discos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32.666666666666657</v>
      </c>
      <c r="K50" s="130">
        <v>0</v>
      </c>
      <c r="L50" s="130">
        <v>32.666666666666657</v>
      </c>
      <c r="M50" s="130">
        <v>19.599999999999998</v>
      </c>
      <c r="N50" s="130">
        <v>19.599999999999998</v>
      </c>
      <c r="O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1" spans="1:15" x14ac:dyDescent="0.25">
      <c r="A51" s="15">
        <v>30100061426</v>
      </c>
      <c r="B51" s="16" t="str">
        <f>VLOOKUP(Projeção[[#This Row],[Código]],BD_Produto[#All],6,FALSE)</f>
        <v>CD-R Youts Envelope Colorful Blue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2" spans="1:15" x14ac:dyDescent="0.25">
      <c r="A52" s="15">
        <v>30100062760</v>
      </c>
      <c r="B52" s="16" t="str">
        <f>VLOOKUP(Projeção[[#This Row],[Código]],BD_Produto[#All],6,FALSE)</f>
        <v>CD-R Youts Envelope Colorful Blue - Ed.Rock in Rio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0</v>
      </c>
      <c r="K52" s="130">
        <v>0</v>
      </c>
      <c r="L52" s="130">
        <v>0</v>
      </c>
      <c r="M52" s="130">
        <v>0</v>
      </c>
      <c r="N52" s="130">
        <v>0</v>
      </c>
      <c r="O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3" spans="1:15" x14ac:dyDescent="0.25">
      <c r="A53" s="15">
        <v>30100061428</v>
      </c>
      <c r="B53" s="16" t="str">
        <f>VLOOKUP(Projeção[[#This Row],[Código]],BD_Produto[#All],6,FALSE)</f>
        <v>CD-R Youts Envelope Colorful Green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4" spans="1:15" x14ac:dyDescent="0.25">
      <c r="A54" s="15">
        <v>30100062762</v>
      </c>
      <c r="B54" s="16" t="str">
        <f>VLOOKUP(Projeção[[#This Row],[Código]],BD_Produto[#All],6,FALSE)</f>
        <v>CD-R Youts Envelope Colorful Green - Ed.Rock in Rio</v>
      </c>
      <c r="C54" s="130">
        <v>0</v>
      </c>
      <c r="D54" s="130">
        <v>0</v>
      </c>
      <c r="E54" s="130">
        <v>0</v>
      </c>
      <c r="F54" s="130">
        <v>0</v>
      </c>
      <c r="G54" s="130">
        <v>11.333333333333334</v>
      </c>
      <c r="H54" s="130">
        <v>3.3333333333333335</v>
      </c>
      <c r="I54" s="130">
        <v>3.3333333333333335</v>
      </c>
      <c r="J54" s="130">
        <v>3.3333333333333335</v>
      </c>
      <c r="K54" s="130">
        <v>3.3333333333333335</v>
      </c>
      <c r="L54" s="130">
        <v>0.66666666666666663</v>
      </c>
      <c r="M54" s="130">
        <v>2</v>
      </c>
      <c r="N54" s="130">
        <v>0.66666666666666663</v>
      </c>
      <c r="O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" spans="1:15" x14ac:dyDescent="0.25">
      <c r="A55" s="15">
        <v>30100061429</v>
      </c>
      <c r="B55" s="16" t="str">
        <f>VLOOKUP(Projeção[[#This Row],[Código]],BD_Produto[#All],6,FALSE)</f>
        <v>CD-R Youts Envelope Colorful Orange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" spans="1:15" x14ac:dyDescent="0.25">
      <c r="A56" s="15">
        <v>30100062763</v>
      </c>
      <c r="B56" s="16" t="str">
        <f>VLOOKUP(Projeção[[#This Row],[Código]],BD_Produto[#All],6,FALSE)</f>
        <v>CD-R Youts Envelope Colorful Orange - Ed.Rock in Rio</v>
      </c>
      <c r="C56" s="130">
        <v>0</v>
      </c>
      <c r="D56" s="130">
        <v>0</v>
      </c>
      <c r="E56" s="130">
        <v>0</v>
      </c>
      <c r="F56" s="130">
        <v>0</v>
      </c>
      <c r="G56" s="130">
        <v>11.333333333333334</v>
      </c>
      <c r="H56" s="130">
        <v>3.3333333333333335</v>
      </c>
      <c r="I56" s="130">
        <v>3.3333333333333335</v>
      </c>
      <c r="J56" s="130">
        <v>3.3333333333333335</v>
      </c>
      <c r="K56" s="130">
        <v>3.3333333333333335</v>
      </c>
      <c r="L56" s="130">
        <v>0.66666666666666663</v>
      </c>
      <c r="M56" s="130">
        <v>2</v>
      </c>
      <c r="N56" s="130">
        <v>0.66666666666666663</v>
      </c>
      <c r="O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" spans="1:15" x14ac:dyDescent="0.25">
      <c r="A57" s="15">
        <v>30100061430</v>
      </c>
      <c r="B57" s="16" t="str">
        <f>VLOOKUP(Projeção[[#This Row],[Código]],BD_Produto[#All],6,FALSE)</f>
        <v>CD-R Youts Envelope Colorful Pink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8" spans="1:15" x14ac:dyDescent="0.25">
      <c r="A58" s="15">
        <v>30100062764</v>
      </c>
      <c r="B58" s="16" t="str">
        <f>VLOOKUP(Projeção[[#This Row],[Código]],BD_Produto[#All],6,FALSE)</f>
        <v>CD-R Youts Envelope Colorful Pink - Ed.Rock in Rio</v>
      </c>
      <c r="C58" s="130">
        <v>0</v>
      </c>
      <c r="D58" s="130">
        <v>0</v>
      </c>
      <c r="E58" s="130">
        <v>0</v>
      </c>
      <c r="F58" s="130">
        <v>0</v>
      </c>
      <c r="G58" s="130">
        <v>11.333333333333334</v>
      </c>
      <c r="H58" s="130">
        <v>3.3333333333333335</v>
      </c>
      <c r="I58" s="130">
        <v>3.3333333333333335</v>
      </c>
      <c r="J58" s="130">
        <v>3.3333333333333335</v>
      </c>
      <c r="K58" s="130">
        <v>3.3333333333333335</v>
      </c>
      <c r="L58" s="130">
        <v>0.66666666666666663</v>
      </c>
      <c r="M58" s="130">
        <v>2</v>
      </c>
      <c r="N58" s="130">
        <v>0.66666666666666663</v>
      </c>
      <c r="O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" spans="1:15" x14ac:dyDescent="0.25">
      <c r="A59" s="15">
        <v>30100061427</v>
      </c>
      <c r="B59" s="16" t="str">
        <f>VLOOKUP(Projeção[[#This Row],[Código]],BD_Produto[#All],6,FALSE)</f>
        <v>CD-R Youts Envelope Colorful Yellow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0" spans="1:15" x14ac:dyDescent="0.25">
      <c r="A60" s="15">
        <v>30100062761</v>
      </c>
      <c r="B60" s="16" t="str">
        <f>VLOOKUP(Projeção[[#This Row],[Código]],BD_Produto[#All],6,FALSE)</f>
        <v>CD-R Youts Envelope Colorful Yellow - Ed.Rock in Rio</v>
      </c>
      <c r="C60" s="130">
        <v>0</v>
      </c>
      <c r="D60" s="130">
        <v>0</v>
      </c>
      <c r="E60" s="130">
        <v>0</v>
      </c>
      <c r="F60" s="130">
        <v>0</v>
      </c>
      <c r="G60" s="130">
        <v>11.333333333333334</v>
      </c>
      <c r="H60" s="130">
        <v>3.3333333333333335</v>
      </c>
      <c r="I60" s="130">
        <v>3.3333333333333335</v>
      </c>
      <c r="J60" s="130">
        <v>3.3333333333333335</v>
      </c>
      <c r="K60" s="130">
        <v>3.3333333333333335</v>
      </c>
      <c r="L60" s="130">
        <v>0.66666666666666663</v>
      </c>
      <c r="M60" s="130">
        <v>2</v>
      </c>
      <c r="N60" s="130">
        <v>0.66666666666666663</v>
      </c>
      <c r="O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1" spans="1:15" x14ac:dyDescent="0.25">
      <c r="A61" s="15">
        <v>30100062073</v>
      </c>
      <c r="B61" s="16" t="str">
        <f>VLOOKUP(Projeção[[#This Row],[Código]],BD_Produto[#All],6,FALSE)</f>
        <v>CD-R Youts Envelope Lacrado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2" spans="1:15" x14ac:dyDescent="0.25">
      <c r="A62" s="15">
        <v>30100062070</v>
      </c>
      <c r="B62" s="16" t="str">
        <f>VLOOKUP(Projeção[[#This Row],[Código]],BD_Produto[#All],6,FALSE)</f>
        <v>CD-R Youts Printable White Cake com 10 discos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3" spans="1:15" x14ac:dyDescent="0.25">
      <c r="A63" s="15">
        <v>30100062071</v>
      </c>
      <c r="B63" s="16" t="str">
        <f>VLOOKUP(Projeção[[#This Row],[Código]],BD_Produto[#All],6,FALSE)</f>
        <v>CD-R Youts Printable White Cake com 50 discos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4" spans="1:15" x14ac:dyDescent="0.25">
      <c r="A64" s="15">
        <v>30100061444</v>
      </c>
      <c r="B64" s="16" t="str">
        <f>VLOOKUP(Projeção[[#This Row],[Código]],BD_Produto[#All],6,FALSE)</f>
        <v>CD-R Youts Slim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30">
        <v>0</v>
      </c>
      <c r="I64" s="130">
        <v>0</v>
      </c>
      <c r="J64" s="130">
        <v>0</v>
      </c>
      <c r="K64" s="130">
        <v>0</v>
      </c>
      <c r="L64" s="130">
        <v>0</v>
      </c>
      <c r="M64" s="130">
        <v>0</v>
      </c>
      <c r="N64" s="130">
        <v>0</v>
      </c>
      <c r="O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5" spans="1:15" x14ac:dyDescent="0.25">
      <c r="A65" s="15">
        <v>30100062818</v>
      </c>
      <c r="B65" s="16" t="str">
        <f>VLOOKUP(Projeção[[#This Row],[Código]],BD_Produto[#All],6,FALSE)</f>
        <v>CD-R Youts Slim Colorful - Pack com 5 - Ed.Rock in Rio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6" spans="1:15" x14ac:dyDescent="0.25">
      <c r="A66" s="15">
        <v>30100061436</v>
      </c>
      <c r="B66" s="16" t="str">
        <f>VLOOKUP(Projeção[[#This Row],[Código]],BD_Produto[#All],6,FALSE)</f>
        <v>CD-R Youts Slim Colorful Blue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0</v>
      </c>
      <c r="K66" s="130">
        <v>0</v>
      </c>
      <c r="L66" s="130">
        <v>0</v>
      </c>
      <c r="M66" s="130">
        <v>0</v>
      </c>
      <c r="N66" s="130">
        <v>0</v>
      </c>
      <c r="O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7" spans="1:15" x14ac:dyDescent="0.25">
      <c r="A67" s="15">
        <v>30100061438</v>
      </c>
      <c r="B67" s="16" t="str">
        <f>VLOOKUP(Projeção[[#This Row],[Código]],BD_Produto[#All],6,FALSE)</f>
        <v>CD-R Youts Slim Colorful Green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30">
        <v>0</v>
      </c>
      <c r="I67" s="130">
        <v>0</v>
      </c>
      <c r="J67" s="130">
        <v>0</v>
      </c>
      <c r="K67" s="130">
        <v>0</v>
      </c>
      <c r="L67" s="130">
        <v>0</v>
      </c>
      <c r="M67" s="130">
        <v>0</v>
      </c>
      <c r="N67" s="130">
        <v>0</v>
      </c>
      <c r="O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8" spans="1:15" x14ac:dyDescent="0.25">
      <c r="A68" s="15">
        <v>30100061439</v>
      </c>
      <c r="B68" s="16" t="str">
        <f>VLOOKUP(Projeção[[#This Row],[Código]],BD_Produto[#All],6,FALSE)</f>
        <v>CD-R Youts Slim Colorful Orange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0</v>
      </c>
      <c r="K68" s="130">
        <v>0</v>
      </c>
      <c r="L68" s="130">
        <v>0</v>
      </c>
      <c r="M68" s="130">
        <v>0</v>
      </c>
      <c r="N68" s="130">
        <v>0</v>
      </c>
      <c r="O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9" spans="1:15" x14ac:dyDescent="0.25">
      <c r="A69" s="15">
        <v>30100061440</v>
      </c>
      <c r="B69" s="16" t="str">
        <f>VLOOKUP(Projeção[[#This Row],[Código]],BD_Produto[#All],6,FALSE)</f>
        <v>CD-R Youts Slim Colorful Pink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0" spans="1:15" x14ac:dyDescent="0.25">
      <c r="A70" s="15">
        <v>30100061437</v>
      </c>
      <c r="B70" s="16" t="str">
        <f>VLOOKUP(Projeção[[#This Row],[Código]],BD_Produto[#All],6,FALSE)</f>
        <v>CD-R Youts Slim Colorful Yellow</v>
      </c>
      <c r="C70" s="130">
        <v>0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130">
        <v>0</v>
      </c>
      <c r="N70" s="130">
        <v>0</v>
      </c>
      <c r="O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1" spans="1:15" x14ac:dyDescent="0.25">
      <c r="A71" s="15">
        <v>30100062072</v>
      </c>
      <c r="B71" s="16" t="str">
        <f>VLOOKUP(Projeção[[#This Row],[Código]],BD_Produto[#All],6,FALSE)</f>
        <v>CD-R Youts Slim Printable White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2" spans="1:15" x14ac:dyDescent="0.25">
      <c r="A72" s="15">
        <v>33070514957</v>
      </c>
      <c r="B72" s="16" t="str">
        <f>VLOOKUP(Projeção[[#This Row],[Código]],BD_Produto[#All],6,FALSE)</f>
        <v xml:space="preserve">COLA MULTIUSO DE 125 GR PARA PISTOLA DE COLA QUENTE . 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0</v>
      </c>
      <c r="O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3" spans="1:15" x14ac:dyDescent="0.25">
      <c r="A73" s="15">
        <v>41063063752</v>
      </c>
      <c r="B73" s="16" t="str">
        <f>VLOOKUP(Projeção[[#This Row],[Código]],BD_Produto[#All],6,FALSE)</f>
        <v>Display Metaldisplay iLAM - PN:98251264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0</v>
      </c>
      <c r="O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4" spans="1:15" x14ac:dyDescent="0.25">
      <c r="A74" s="15">
        <v>41063063753</v>
      </c>
      <c r="B74" s="16" t="str">
        <f>VLOOKUP(Projeção[[#This Row],[Código]],BD_Produto[#All],6,FALSE)</f>
        <v>Display Screen Arm i - PN:98251266</v>
      </c>
      <c r="C74" s="130">
        <v>0</v>
      </c>
      <c r="D74" s="130">
        <v>0</v>
      </c>
      <c r="E74" s="130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30">
        <v>0</v>
      </c>
      <c r="O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5" spans="1:15" x14ac:dyDescent="0.25">
      <c r="A75" s="15">
        <v>30100061452</v>
      </c>
      <c r="B75" s="16" t="str">
        <f>VLOOKUP(Projeção[[#This Row],[Código]],BD_Produto[#All],6,FALSE)</f>
        <v>DVD-R S Color Label Blue</v>
      </c>
      <c r="C75" s="130">
        <v>83</v>
      </c>
      <c r="D75" s="130">
        <v>0</v>
      </c>
      <c r="E75" s="130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30">
        <v>0</v>
      </c>
      <c r="O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" spans="1:15" x14ac:dyDescent="0.25">
      <c r="A76" s="15">
        <v>30100061454</v>
      </c>
      <c r="B76" s="16" t="str">
        <f>VLOOKUP(Projeção[[#This Row],[Código]],BD_Produto[#All],6,FALSE)</f>
        <v>DVD-R S Color Label green</v>
      </c>
      <c r="C76" s="130">
        <v>361.33333333333331</v>
      </c>
      <c r="D76" s="130">
        <v>277.66666666666663</v>
      </c>
      <c r="E76" s="130">
        <v>135.53333333333333</v>
      </c>
      <c r="F76" s="130">
        <v>135.53333333333333</v>
      </c>
      <c r="G76" s="130">
        <v>135.53333333333333</v>
      </c>
      <c r="H76" s="130">
        <v>135.53333333333333</v>
      </c>
      <c r="I76" s="130">
        <v>135.53333333333333</v>
      </c>
      <c r="J76" s="130">
        <v>135.53333333333333</v>
      </c>
      <c r="K76" s="130">
        <v>135.53333333333333</v>
      </c>
      <c r="L76" s="130">
        <v>35.533333333333331</v>
      </c>
      <c r="M76" s="130">
        <v>35.533333333333331</v>
      </c>
      <c r="N76" s="130">
        <v>35.533333333333331</v>
      </c>
      <c r="O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7" spans="1:15" x14ac:dyDescent="0.25">
      <c r="A77" s="15">
        <v>30100061455</v>
      </c>
      <c r="B77" s="16" t="str">
        <f>VLOOKUP(Projeção[[#This Row],[Código]],BD_Produto[#All],6,FALSE)</f>
        <v>DVD-R S Color Label orange</v>
      </c>
      <c r="C77" s="130">
        <v>338.16666666666663</v>
      </c>
      <c r="D77" s="130">
        <v>338.16666666666663</v>
      </c>
      <c r="E77" s="130">
        <v>280.96666666666664</v>
      </c>
      <c r="F77" s="130">
        <v>280.96666666666664</v>
      </c>
      <c r="G77" s="130">
        <v>14.299999999999999</v>
      </c>
      <c r="H77" s="130">
        <v>14.299999999999999</v>
      </c>
      <c r="I77" s="130">
        <v>14.299999999999999</v>
      </c>
      <c r="J77" s="130">
        <v>14.299999999999999</v>
      </c>
      <c r="K77" s="130">
        <v>14.299999999999999</v>
      </c>
      <c r="L77" s="130">
        <v>14.299999999999999</v>
      </c>
      <c r="M77" s="130">
        <v>14.299999999999999</v>
      </c>
      <c r="N77" s="130">
        <v>14.299999999999999</v>
      </c>
      <c r="O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8" spans="1:15" x14ac:dyDescent="0.25">
      <c r="A78" s="15">
        <v>30100061456</v>
      </c>
      <c r="B78" s="16" t="str">
        <f>VLOOKUP(Projeção[[#This Row],[Código]],BD_Produto[#All],6,FALSE)</f>
        <v>DVD-R S Color Label Pink</v>
      </c>
      <c r="C78" s="130">
        <v>1121.3333333333333</v>
      </c>
      <c r="D78" s="130">
        <v>721.33333333333337</v>
      </c>
      <c r="E78" s="130">
        <v>437.6</v>
      </c>
      <c r="F78" s="130">
        <v>437.6</v>
      </c>
      <c r="G78" s="130">
        <v>437.6</v>
      </c>
      <c r="H78" s="130">
        <v>437.6</v>
      </c>
      <c r="I78" s="130">
        <v>437.6</v>
      </c>
      <c r="J78" s="130">
        <v>437.6</v>
      </c>
      <c r="K78" s="130">
        <v>437.6</v>
      </c>
      <c r="L78" s="130">
        <v>170.93333333333331</v>
      </c>
      <c r="M78" s="130">
        <v>170.93333333333331</v>
      </c>
      <c r="N78" s="130">
        <v>70.933333333333337</v>
      </c>
      <c r="O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9" spans="1:15" x14ac:dyDescent="0.25">
      <c r="A79" s="15">
        <v>30100061453</v>
      </c>
      <c r="B79" s="16" t="str">
        <f>VLOOKUP(Projeção[[#This Row],[Código]],BD_Produto[#All],6,FALSE)</f>
        <v>DVD-R S Color Label yellow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0</v>
      </c>
      <c r="K79" s="130">
        <v>0</v>
      </c>
      <c r="L79" s="130">
        <v>0</v>
      </c>
      <c r="M79" s="130">
        <v>0</v>
      </c>
      <c r="N79" s="130">
        <v>0</v>
      </c>
      <c r="O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0" spans="1:15" x14ac:dyDescent="0.25">
      <c r="A80" s="15">
        <v>30100061457</v>
      </c>
      <c r="B80" s="16" t="str">
        <f>VLOOKUP(Projeção[[#This Row],[Código]],BD_Produto[#All],6,FALSE)</f>
        <v>DVD-R Youts Cake com 10 discos</v>
      </c>
      <c r="C80" s="130">
        <v>0</v>
      </c>
      <c r="D80" s="130">
        <v>0</v>
      </c>
      <c r="E80" s="130">
        <v>0</v>
      </c>
      <c r="F80" s="130">
        <v>0</v>
      </c>
      <c r="G80" s="130">
        <v>169.99999999999997</v>
      </c>
      <c r="H80" s="130">
        <v>49.999999999999993</v>
      </c>
      <c r="I80" s="130">
        <v>49.999999999999993</v>
      </c>
      <c r="J80" s="130">
        <v>653.33333333333337</v>
      </c>
      <c r="K80" s="130">
        <v>49.999999999999993</v>
      </c>
      <c r="L80" s="130">
        <v>613.33333333333337</v>
      </c>
      <c r="M80" s="130">
        <v>392</v>
      </c>
      <c r="N80" s="130">
        <v>372</v>
      </c>
      <c r="O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1" spans="1:15" x14ac:dyDescent="0.25">
      <c r="A81" s="15">
        <v>30100061458</v>
      </c>
      <c r="B81" s="16" t="str">
        <f>VLOOKUP(Projeção[[#This Row],[Código]],BD_Produto[#All],6,FALSE)</f>
        <v>DVD-R Youts Cake com 50 discos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  <c r="N81" s="130">
        <v>0</v>
      </c>
      <c r="O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" spans="1:15" x14ac:dyDescent="0.25">
      <c r="A82" s="15">
        <v>30100061459</v>
      </c>
      <c r="B82" s="16" t="str">
        <f>VLOOKUP(Projeção[[#This Row],[Código]],BD_Produto[#All],6,FALSE)</f>
        <v>DVD-R Youts Color Label Cake com 10 discos</v>
      </c>
      <c r="C82" s="130">
        <v>0</v>
      </c>
      <c r="D82" s="130">
        <v>0</v>
      </c>
      <c r="E82" s="130">
        <v>0</v>
      </c>
      <c r="F82" s="130">
        <v>0</v>
      </c>
      <c r="G82" s="130">
        <v>0</v>
      </c>
      <c r="H82" s="130">
        <v>0</v>
      </c>
      <c r="I82" s="130">
        <v>0</v>
      </c>
      <c r="J82" s="130">
        <v>333.66666666666669</v>
      </c>
      <c r="K82" s="130">
        <v>0</v>
      </c>
      <c r="L82" s="130">
        <v>333.66666666666669</v>
      </c>
      <c r="M82" s="130">
        <v>200.20000000000002</v>
      </c>
      <c r="N82" s="130">
        <v>200.20000000000002</v>
      </c>
      <c r="O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" spans="1:15" x14ac:dyDescent="0.25">
      <c r="A83" s="15">
        <v>30100062075</v>
      </c>
      <c r="B83" s="16" t="str">
        <f>VLOOKUP(Projeção[[#This Row],[Código]],BD_Produto[#All],6,FALSE)</f>
        <v>DVD-R Youts Envelope Colorful Blue</v>
      </c>
      <c r="C83" s="130">
        <v>0</v>
      </c>
      <c r="D83" s="130">
        <v>0</v>
      </c>
      <c r="E83" s="130">
        <v>0</v>
      </c>
      <c r="F83" s="130">
        <v>0</v>
      </c>
      <c r="G83" s="130">
        <v>0</v>
      </c>
      <c r="H83" s="130">
        <v>0</v>
      </c>
      <c r="I83" s="130">
        <v>0</v>
      </c>
      <c r="J83" s="130">
        <v>0</v>
      </c>
      <c r="K83" s="130">
        <v>0</v>
      </c>
      <c r="L83" s="130">
        <v>0</v>
      </c>
      <c r="M83" s="130">
        <v>0</v>
      </c>
      <c r="N83" s="130">
        <v>0</v>
      </c>
      <c r="O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4" spans="1:15" x14ac:dyDescent="0.25">
      <c r="A84" s="15">
        <v>30100062770</v>
      </c>
      <c r="B84" s="16" t="str">
        <f>VLOOKUP(Projeção[[#This Row],[Código]],BD_Produto[#All],6,FALSE)</f>
        <v>DVD-R Youts Envelope Colorful Blue - Ed.Rock in Rio</v>
      </c>
      <c r="C84" s="130">
        <v>0</v>
      </c>
      <c r="D84" s="130">
        <v>0</v>
      </c>
      <c r="E84" s="130">
        <v>0</v>
      </c>
      <c r="F84" s="130">
        <v>0</v>
      </c>
      <c r="G84" s="130">
        <v>11.333333333333334</v>
      </c>
      <c r="H84" s="130">
        <v>3.3333333333333335</v>
      </c>
      <c r="I84" s="130">
        <v>3.3333333333333335</v>
      </c>
      <c r="J84" s="130">
        <v>3.3333333333333335</v>
      </c>
      <c r="K84" s="130">
        <v>3.3333333333333335</v>
      </c>
      <c r="L84" s="130">
        <v>0.66666666666666663</v>
      </c>
      <c r="M84" s="130">
        <v>2</v>
      </c>
      <c r="N84" s="130">
        <v>0.66666666666666663</v>
      </c>
      <c r="O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" spans="1:15" x14ac:dyDescent="0.25">
      <c r="A85" s="15">
        <v>30100062076</v>
      </c>
      <c r="B85" s="16" t="str">
        <f>VLOOKUP(Projeção[[#This Row],[Código]],BD_Produto[#All],6,FALSE)</f>
        <v>DVD-R Youts Envelope Colorful Green</v>
      </c>
      <c r="C85" s="130">
        <v>0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30">
        <v>0</v>
      </c>
      <c r="O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" spans="1:15" x14ac:dyDescent="0.25">
      <c r="A86" s="15">
        <v>30100062771</v>
      </c>
      <c r="B86" s="16" t="str">
        <f>VLOOKUP(Projeção[[#This Row],[Código]],BD_Produto[#All],6,FALSE)</f>
        <v>DVD-R Youts Envelope Colorful Green - Ed.Rock in Rio</v>
      </c>
      <c r="C86" s="130">
        <v>0</v>
      </c>
      <c r="D86" s="130">
        <v>0</v>
      </c>
      <c r="E86" s="130">
        <v>0</v>
      </c>
      <c r="F86" s="130">
        <v>0</v>
      </c>
      <c r="G86" s="130">
        <v>11.333333333333334</v>
      </c>
      <c r="H86" s="130">
        <v>3.3333333333333335</v>
      </c>
      <c r="I86" s="130">
        <v>3.3333333333333335</v>
      </c>
      <c r="J86" s="130">
        <v>3.3333333333333335</v>
      </c>
      <c r="K86" s="130">
        <v>3.3333333333333335</v>
      </c>
      <c r="L86" s="130">
        <v>0.66666666666666663</v>
      </c>
      <c r="M86" s="130">
        <v>2</v>
      </c>
      <c r="N86" s="130">
        <v>0.66666666666666663</v>
      </c>
      <c r="O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" spans="1:15" x14ac:dyDescent="0.25">
      <c r="A87" s="15">
        <v>30100062079</v>
      </c>
      <c r="B87" s="16" t="str">
        <f>VLOOKUP(Projeção[[#This Row],[Código]],BD_Produto[#All],6,FALSE)</f>
        <v>DVD-R Youts Envelope Colorful Orange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" spans="1:15" x14ac:dyDescent="0.25">
      <c r="A88" s="15">
        <v>30100062774</v>
      </c>
      <c r="B88" s="16" t="str">
        <f>VLOOKUP(Projeção[[#This Row],[Código]],BD_Produto[#All],6,FALSE)</f>
        <v>DVD-R Youts Envelope Colorful Orange - Ed.Rock in Rio</v>
      </c>
      <c r="C88" s="130">
        <v>0</v>
      </c>
      <c r="D88" s="130">
        <v>0</v>
      </c>
      <c r="E88" s="130">
        <v>0</v>
      </c>
      <c r="F88" s="130">
        <v>0</v>
      </c>
      <c r="G88" s="130">
        <v>11.333333333333334</v>
      </c>
      <c r="H88" s="130">
        <v>3.3333333333333335</v>
      </c>
      <c r="I88" s="130">
        <v>3.3333333333333335</v>
      </c>
      <c r="J88" s="130">
        <v>3.3333333333333335</v>
      </c>
      <c r="K88" s="130">
        <v>3.3333333333333335</v>
      </c>
      <c r="L88" s="130">
        <v>0.66666666666666663</v>
      </c>
      <c r="M88" s="130">
        <v>2</v>
      </c>
      <c r="N88" s="130">
        <v>0.66666666666666663</v>
      </c>
      <c r="O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" spans="1:15" x14ac:dyDescent="0.25">
      <c r="A89" s="15">
        <v>30100062078</v>
      </c>
      <c r="B89" s="16" t="str">
        <f>VLOOKUP(Projeção[[#This Row],[Código]],BD_Produto[#All],6,FALSE)</f>
        <v>DVD-R Youts Envelope Colorful Pink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" spans="1:15" x14ac:dyDescent="0.25">
      <c r="A90" s="15">
        <v>30100062773</v>
      </c>
      <c r="B90" s="16" t="str">
        <f>VLOOKUP(Projeção[[#This Row],[Código]],BD_Produto[#All],6,FALSE)</f>
        <v>DVD-R Youts Envelope Colorful Pink - Ed.Rock in Rio</v>
      </c>
      <c r="C90" s="130">
        <v>0</v>
      </c>
      <c r="D90" s="130">
        <v>0</v>
      </c>
      <c r="E90" s="130">
        <v>0</v>
      </c>
      <c r="F90" s="130">
        <v>0</v>
      </c>
      <c r="G90" s="130">
        <v>11.333333333333334</v>
      </c>
      <c r="H90" s="130">
        <v>3.3333333333333335</v>
      </c>
      <c r="I90" s="130">
        <v>3.3333333333333335</v>
      </c>
      <c r="J90" s="130">
        <v>3.3333333333333335</v>
      </c>
      <c r="K90" s="130">
        <v>3.3333333333333335</v>
      </c>
      <c r="L90" s="130">
        <v>0.66666666666666663</v>
      </c>
      <c r="M90" s="130">
        <v>2</v>
      </c>
      <c r="N90" s="130">
        <v>0.66666666666666663</v>
      </c>
      <c r="O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" spans="1:15" x14ac:dyDescent="0.25">
      <c r="A91" s="15">
        <v>30100062077</v>
      </c>
      <c r="B91" s="16" t="str">
        <f>VLOOKUP(Projeção[[#This Row],[Código]],BD_Produto[#All],6,FALSE)</f>
        <v>DVD-R Youts Envelope Colorful Yellow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" spans="1:15" x14ac:dyDescent="0.25">
      <c r="A92" s="15">
        <v>30100062772</v>
      </c>
      <c r="B92" s="16" t="str">
        <f>VLOOKUP(Projeção[[#This Row],[Código]],BD_Produto[#All],6,FALSE)</f>
        <v>DVD-R Youts Envelope Colorful Yellow - Ed.Rock in Rio</v>
      </c>
      <c r="C92" s="130">
        <v>0</v>
      </c>
      <c r="D92" s="130">
        <v>0</v>
      </c>
      <c r="E92" s="130">
        <v>0</v>
      </c>
      <c r="F92" s="130">
        <v>0</v>
      </c>
      <c r="G92" s="130">
        <v>11.333333333333334</v>
      </c>
      <c r="H92" s="130">
        <v>3.3333333333333335</v>
      </c>
      <c r="I92" s="130">
        <v>3.3333333333333335</v>
      </c>
      <c r="J92" s="130">
        <v>3.3333333333333335</v>
      </c>
      <c r="K92" s="130">
        <v>3.3333333333333335</v>
      </c>
      <c r="L92" s="130">
        <v>0.66666666666666663</v>
      </c>
      <c r="M92" s="130">
        <v>2</v>
      </c>
      <c r="N92" s="130">
        <v>0.66666666666666663</v>
      </c>
      <c r="O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" spans="1:15" x14ac:dyDescent="0.25">
      <c r="A93" s="15">
        <v>30100062074</v>
      </c>
      <c r="B93" s="16" t="str">
        <f>VLOOKUP(Projeção[[#This Row],[Código]],BD_Produto[#All],6,FALSE)</f>
        <v>DVD-R Youts Envelope Lacrado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130">
        <v>0</v>
      </c>
      <c r="N93" s="130">
        <v>0</v>
      </c>
      <c r="O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" spans="1:15" x14ac:dyDescent="0.25">
      <c r="A94" s="15">
        <v>30100062780</v>
      </c>
      <c r="B94" s="16" t="str">
        <f>VLOOKUP(Projeção[[#This Row],[Código]],BD_Produto[#All],6,FALSE)</f>
        <v>DVD-R Youts Multidisc 4 X Color Label - Ed.Rock in Rio</v>
      </c>
      <c r="C94" s="130">
        <v>0</v>
      </c>
      <c r="D94" s="130">
        <v>0</v>
      </c>
      <c r="E94" s="130">
        <v>0</v>
      </c>
      <c r="F94" s="130">
        <v>0</v>
      </c>
      <c r="G94" s="130">
        <v>0</v>
      </c>
      <c r="H94" s="130">
        <v>0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30">
        <v>0</v>
      </c>
      <c r="O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5" spans="1:15" x14ac:dyDescent="0.25">
      <c r="A95" s="15">
        <v>30100061460</v>
      </c>
      <c r="B95" s="16" t="str">
        <f>VLOOKUP(Projeção[[#This Row],[Código]],BD_Produto[#All],6,FALSE)</f>
        <v xml:space="preserve">DVD-R Youts Multidisc 4X Color Label </v>
      </c>
      <c r="C95" s="130">
        <v>13.033333333333335</v>
      </c>
      <c r="D95" s="130">
        <v>0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130">
        <v>0</v>
      </c>
      <c r="N95" s="130">
        <v>0</v>
      </c>
      <c r="O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6" spans="1:15" x14ac:dyDescent="0.25">
      <c r="A96" s="15">
        <v>30100062082</v>
      </c>
      <c r="B96" s="16" t="str">
        <f>VLOOKUP(Projeção[[#This Row],[Código]],BD_Produto[#All],6,FALSE)</f>
        <v>DVD-R Youts Printable Cake White com 10 discos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30">
        <v>0</v>
      </c>
      <c r="N96" s="130">
        <v>0</v>
      </c>
      <c r="O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7" spans="1:15" x14ac:dyDescent="0.25">
      <c r="A97" s="15">
        <v>30100062081</v>
      </c>
      <c r="B97" s="16" t="str">
        <f>VLOOKUP(Projeção[[#This Row],[Código]],BD_Produto[#All],6,FALSE)</f>
        <v>DVD-R Youts Printable White Cake com 50 discos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30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0</v>
      </c>
      <c r="N97" s="130">
        <v>0</v>
      </c>
      <c r="O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8" spans="1:15" x14ac:dyDescent="0.25">
      <c r="A98" s="15">
        <v>30100061446</v>
      </c>
      <c r="B98" s="16" t="str">
        <f>VLOOKUP(Projeção[[#This Row],[Código]],BD_Produto[#All],6,FALSE)</f>
        <v>DVD-R Youts Slim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0</v>
      </c>
      <c r="N98" s="130">
        <v>0</v>
      </c>
      <c r="O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" spans="1:15" x14ac:dyDescent="0.25">
      <c r="A99" s="15">
        <v>30100062817</v>
      </c>
      <c r="B99" s="16" t="str">
        <f>VLOOKUP(Projeção[[#This Row],[Código]],BD_Produto[#All],6,FALSE)</f>
        <v>DVD-R Youts Slim Colorful - Pack com 5 - Ed.Rock in Rio</v>
      </c>
      <c r="C99" s="130">
        <v>0</v>
      </c>
      <c r="D99" s="130">
        <v>0</v>
      </c>
      <c r="E99" s="130">
        <v>0</v>
      </c>
      <c r="F99" s="130">
        <v>0</v>
      </c>
      <c r="G99" s="130">
        <v>14.166666666666668</v>
      </c>
      <c r="H99" s="130">
        <v>4.166666666666667</v>
      </c>
      <c r="I99" s="130">
        <v>4.166666666666667</v>
      </c>
      <c r="J99" s="130">
        <v>4.166666666666667</v>
      </c>
      <c r="K99" s="130">
        <v>4.166666666666667</v>
      </c>
      <c r="L99" s="130">
        <v>0.83333333333333337</v>
      </c>
      <c r="M99" s="130">
        <v>2.5</v>
      </c>
      <c r="N99" s="130">
        <v>0.83333333333333337</v>
      </c>
      <c r="O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" spans="1:15" x14ac:dyDescent="0.25">
      <c r="A100" s="15">
        <v>30100061447</v>
      </c>
      <c r="B100" s="16" t="str">
        <f>VLOOKUP(Projeção[[#This Row],[Código]],BD_Produto[#All],6,FALSE)</f>
        <v>DVD-R Youts Slim Colorful Blue</v>
      </c>
      <c r="C100" s="130">
        <v>236.66666666666663</v>
      </c>
      <c r="D100" s="130">
        <v>236.66666666666663</v>
      </c>
      <c r="E100" s="130">
        <v>233.33333333333334</v>
      </c>
      <c r="F100" s="130">
        <v>233.33333333333334</v>
      </c>
      <c r="G100" s="130">
        <v>516.43333333333339</v>
      </c>
      <c r="H100" s="130">
        <v>304.83333333333337</v>
      </c>
      <c r="I100" s="130">
        <v>304.83333333333337</v>
      </c>
      <c r="J100" s="130">
        <v>304.83333333333337</v>
      </c>
      <c r="K100" s="130">
        <v>304.83333333333337</v>
      </c>
      <c r="L100" s="130">
        <v>17.633333333333333</v>
      </c>
      <c r="M100" s="130">
        <v>52.9</v>
      </c>
      <c r="N100" s="130">
        <v>17.633333333333333</v>
      </c>
      <c r="O1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1" spans="1:15" x14ac:dyDescent="0.25">
      <c r="A101" s="15">
        <v>30100061449</v>
      </c>
      <c r="B101" s="16" t="str">
        <f>VLOOKUP(Projeção[[#This Row],[Código]],BD_Produto[#All],6,FALSE)</f>
        <v>DVD-R Youts Slim Colorful Green</v>
      </c>
      <c r="C101" s="130">
        <v>0</v>
      </c>
      <c r="D101" s="130">
        <v>0</v>
      </c>
      <c r="E101" s="130">
        <v>0</v>
      </c>
      <c r="F101" s="130">
        <v>0</v>
      </c>
      <c r="G101" s="130">
        <v>581.96666666666658</v>
      </c>
      <c r="H101" s="130">
        <v>671.16666666666663</v>
      </c>
      <c r="I101" s="130">
        <v>671.16666666666663</v>
      </c>
      <c r="J101" s="130">
        <v>1004.5</v>
      </c>
      <c r="K101" s="130">
        <v>671.16666666666663</v>
      </c>
      <c r="L101" s="130">
        <v>800.9</v>
      </c>
      <c r="M101" s="130">
        <v>1069.3666666666666</v>
      </c>
      <c r="N101" s="130">
        <v>734.23333333333346</v>
      </c>
      <c r="O1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66.666666666666657</v>
      </c>
    </row>
    <row r="102" spans="1:15" x14ac:dyDescent="0.25">
      <c r="A102" s="15">
        <v>30100061450</v>
      </c>
      <c r="B102" s="16" t="str">
        <f>VLOOKUP(Projeção[[#This Row],[Código]],BD_Produto[#All],6,FALSE)</f>
        <v>DVD-R Youts Slim Colorful Orange</v>
      </c>
      <c r="C102" s="130">
        <v>838.83333333333337</v>
      </c>
      <c r="D102" s="130">
        <v>838.83333333333337</v>
      </c>
      <c r="E102" s="130">
        <v>167.76666666666668</v>
      </c>
      <c r="F102" s="130">
        <v>167.76666666666668</v>
      </c>
      <c r="G102" s="130">
        <v>167.76666666666668</v>
      </c>
      <c r="H102" s="130">
        <v>167.76666666666668</v>
      </c>
      <c r="I102" s="130">
        <v>167.76666666666668</v>
      </c>
      <c r="J102" s="130">
        <v>167.76666666666668</v>
      </c>
      <c r="K102" s="130">
        <v>167.76666666666668</v>
      </c>
      <c r="L102" s="130">
        <v>167.76666666666668</v>
      </c>
      <c r="M102" s="130">
        <v>167.76666666666668</v>
      </c>
      <c r="N102" s="130">
        <v>167.76666666666668</v>
      </c>
      <c r="O1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3" spans="1:15" x14ac:dyDescent="0.25">
      <c r="A103" s="15">
        <v>30100061451</v>
      </c>
      <c r="B103" s="16" t="str">
        <f>VLOOKUP(Projeção[[#This Row],[Código]],BD_Produto[#All],6,FALSE)</f>
        <v>DVD-R Youts Slim Colorful Pink</v>
      </c>
      <c r="C103" s="130">
        <v>6.666666666666667</v>
      </c>
      <c r="D103" s="130">
        <v>6.666666666666667</v>
      </c>
      <c r="E103" s="130">
        <v>0</v>
      </c>
      <c r="F103" s="130">
        <v>0</v>
      </c>
      <c r="G103" s="130">
        <v>332.06666666666666</v>
      </c>
      <c r="H103" s="130">
        <v>97.666666666666671</v>
      </c>
      <c r="I103" s="130">
        <v>97.666666666666671</v>
      </c>
      <c r="J103" s="130">
        <v>1014.3333333333334</v>
      </c>
      <c r="K103" s="130">
        <v>97.666666666666671</v>
      </c>
      <c r="L103" s="130">
        <v>1852.8666666666663</v>
      </c>
      <c r="M103" s="130">
        <v>1891.9333333333332</v>
      </c>
      <c r="N103" s="130">
        <v>1119.5333333333331</v>
      </c>
      <c r="O1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183.33333333333331</v>
      </c>
    </row>
    <row r="104" spans="1:15" x14ac:dyDescent="0.25">
      <c r="A104" s="15">
        <v>30100061448</v>
      </c>
      <c r="B104" s="16" t="str">
        <f>VLOOKUP(Projeção[[#This Row],[Código]],BD_Produto[#All],6,FALSE)</f>
        <v>DVD-R Youts Slim Colorful Yellow</v>
      </c>
      <c r="C104" s="130">
        <v>676</v>
      </c>
      <c r="D104" s="130">
        <v>676</v>
      </c>
      <c r="E104" s="130">
        <v>135.19999999999999</v>
      </c>
      <c r="F104" s="130">
        <v>135.19999999999999</v>
      </c>
      <c r="G104" s="130">
        <v>135.19999999999999</v>
      </c>
      <c r="H104" s="130">
        <v>135.19999999999999</v>
      </c>
      <c r="I104" s="130">
        <v>135.19999999999999</v>
      </c>
      <c r="J104" s="130">
        <v>135.19999999999999</v>
      </c>
      <c r="K104" s="130">
        <v>135.19999999999999</v>
      </c>
      <c r="L104" s="130">
        <v>135.19999999999999</v>
      </c>
      <c r="M104" s="130">
        <v>135.19999999999999</v>
      </c>
      <c r="N104" s="130">
        <v>135.19999999999999</v>
      </c>
      <c r="O1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5" spans="1:15" x14ac:dyDescent="0.25">
      <c r="A105" s="15">
        <v>30100062080</v>
      </c>
      <c r="B105" s="16" t="str">
        <f>VLOOKUP(Projeção[[#This Row],[Código]],BD_Produto[#All],6,FALSE)</f>
        <v>DVD-R Youts Slim Printable White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  <c r="I105" s="130">
        <v>0</v>
      </c>
      <c r="J105" s="130">
        <v>0</v>
      </c>
      <c r="K105" s="130">
        <v>0</v>
      </c>
      <c r="L105" s="130">
        <v>0</v>
      </c>
      <c r="M105" s="130">
        <v>0</v>
      </c>
      <c r="N105" s="130">
        <v>0</v>
      </c>
      <c r="O1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" spans="1:15" x14ac:dyDescent="0.25">
      <c r="A106" s="15">
        <v>33062262835</v>
      </c>
      <c r="B106" s="16" t="str">
        <f>VLOOKUP(Projeção[[#This Row],[Código]],BD_Produto[#All],6,FALSE)</f>
        <v>Encadernadora Fellowes GALAXY - Wire-o - MANUAL  - PN:5622401</v>
      </c>
      <c r="C106" s="130">
        <v>0.56666666666666654</v>
      </c>
      <c r="D106" s="130">
        <v>0.16666666666666663</v>
      </c>
      <c r="E106" s="130">
        <v>0.16666666666666663</v>
      </c>
      <c r="F106" s="130">
        <v>3.3333333333333333E-2</v>
      </c>
      <c r="G106" s="130">
        <v>3.3333333333333333E-2</v>
      </c>
      <c r="H106" s="130">
        <v>3.3333333333333333E-2</v>
      </c>
      <c r="I106" s="130">
        <v>3.3333333333333333E-2</v>
      </c>
      <c r="J106" s="130">
        <v>3.3333333333333333E-2</v>
      </c>
      <c r="K106" s="130">
        <v>3.3333333333333333E-2</v>
      </c>
      <c r="L106" s="130">
        <v>3.3333333333333333E-2</v>
      </c>
      <c r="M106" s="130">
        <v>3.3333333333333333E-2</v>
      </c>
      <c r="N106" s="130">
        <v>3.3333333333333333E-2</v>
      </c>
      <c r="O1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" spans="1:15" x14ac:dyDescent="0.25">
      <c r="A107" s="15">
        <v>33062262833</v>
      </c>
      <c r="B107" s="16" t="str">
        <f>VLOOKUP(Projeção[[#This Row],[Código]],BD_Produto[#All],6,FALSE)</f>
        <v>Encadernadora Fellowes PULSAR - Garras plásticas A4 - Manual - PN:5620001</v>
      </c>
      <c r="C107" s="130">
        <v>0.43333333333333329</v>
      </c>
      <c r="D107" s="130">
        <v>1</v>
      </c>
      <c r="E107" s="130">
        <v>0.33333333333333326</v>
      </c>
      <c r="F107" s="130">
        <v>0.33333333333333326</v>
      </c>
      <c r="G107" s="130">
        <v>0.16666666666666666</v>
      </c>
      <c r="H107" s="130">
        <v>0.16666666666666666</v>
      </c>
      <c r="I107" s="130">
        <v>0.16666666666666666</v>
      </c>
      <c r="J107" s="130">
        <v>0.16666666666666666</v>
      </c>
      <c r="K107" s="130">
        <v>0.16666666666666666</v>
      </c>
      <c r="L107" s="130">
        <v>0.13333333333333333</v>
      </c>
      <c r="M107" s="130">
        <v>9.9999999999999992E-2</v>
      </c>
      <c r="N107" s="130">
        <v>9.9999999999999992E-2</v>
      </c>
      <c r="O1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</v>
      </c>
    </row>
    <row r="108" spans="1:15" x14ac:dyDescent="0.25">
      <c r="A108" s="15">
        <v>33062262834</v>
      </c>
      <c r="B108" s="16" t="str">
        <f>VLOOKUP(Projeção[[#This Row],[Código]],BD_Produto[#All],6,FALSE)</f>
        <v>Encadernadora Fellowes QUASAR - Garras plásticas - Manual  - PN:5620801</v>
      </c>
      <c r="C108" s="130">
        <v>3.3333333333333333E-2</v>
      </c>
      <c r="D108" s="130">
        <v>3.3333333333333333E-2</v>
      </c>
      <c r="E108" s="130">
        <v>3.3333333333333333E-2</v>
      </c>
      <c r="F108" s="130">
        <v>3.3333333333333333E-2</v>
      </c>
      <c r="G108" s="130">
        <v>3.3333333333333333E-2</v>
      </c>
      <c r="H108" s="130">
        <v>3.3333333333333333E-2</v>
      </c>
      <c r="I108" s="130">
        <v>3.3333333333333333E-2</v>
      </c>
      <c r="J108" s="130">
        <v>3.3333333333333333E-2</v>
      </c>
      <c r="K108" s="130">
        <v>3.3333333333333333E-2</v>
      </c>
      <c r="L108" s="130">
        <v>3.3333333333333333E-2</v>
      </c>
      <c r="M108" s="130">
        <v>0</v>
      </c>
      <c r="N108" s="130">
        <v>0</v>
      </c>
      <c r="O1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109" spans="1:15" x14ac:dyDescent="0.25">
      <c r="A109" s="15">
        <v>33062262832</v>
      </c>
      <c r="B109" s="16" t="str">
        <f>VLOOKUP(Projeção[[#This Row],[Código]],BD_Produto[#All],6,FALSE)</f>
        <v>Encadernadora Fellowes QUASAR - WIRE-O - Manual  - PN:5224101</v>
      </c>
      <c r="C109" s="130">
        <v>0.76666666666666661</v>
      </c>
      <c r="D109" s="130">
        <v>0.23333333333333328</v>
      </c>
      <c r="E109" s="130">
        <v>0.23333333333333328</v>
      </c>
      <c r="F109" s="130">
        <v>9.9999999999999992E-2</v>
      </c>
      <c r="G109" s="130">
        <v>6.6666666666666666E-2</v>
      </c>
      <c r="H109" s="130">
        <v>6.6666666666666666E-2</v>
      </c>
      <c r="I109" s="130">
        <v>6.6666666666666666E-2</v>
      </c>
      <c r="J109" s="130">
        <v>6.6666666666666666E-2</v>
      </c>
      <c r="K109" s="130">
        <v>6.6666666666666666E-2</v>
      </c>
      <c r="L109" s="130">
        <v>6.6666666666666666E-2</v>
      </c>
      <c r="M109" s="130">
        <v>0.3</v>
      </c>
      <c r="N109" s="130">
        <v>0.26666666666666666</v>
      </c>
      <c r="O1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10" spans="1:15" x14ac:dyDescent="0.25">
      <c r="A110" s="15">
        <v>33062262836</v>
      </c>
      <c r="B110" s="16" t="str">
        <f>VLOOKUP(Projeção[[#This Row],[Código]],BD_Produto[#All],6,FALSE)</f>
        <v>Encadernadora Fellowes STAR - Garras plásticas A4 - MANUAL  - PN:5630501</v>
      </c>
      <c r="C110" s="130">
        <v>2.7999999999999994</v>
      </c>
      <c r="D110" s="130">
        <v>1.4666666666666668</v>
      </c>
      <c r="E110" s="130">
        <v>2.0333333333333337</v>
      </c>
      <c r="F110" s="130">
        <v>0.76666666666666661</v>
      </c>
      <c r="G110" s="130">
        <v>1.333333333333333</v>
      </c>
      <c r="H110" s="130">
        <v>0.83333333333333337</v>
      </c>
      <c r="I110" s="130">
        <v>0.83333333333333337</v>
      </c>
      <c r="J110" s="130">
        <v>0.79999999999999993</v>
      </c>
      <c r="K110" s="130">
        <v>0.83333333333333337</v>
      </c>
      <c r="L110" s="130">
        <v>0.76666666666666661</v>
      </c>
      <c r="M110" s="130">
        <v>1.2333333333333334</v>
      </c>
      <c r="N110" s="130">
        <v>0.86666666666666681</v>
      </c>
      <c r="O1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0.43333333333333329</v>
      </c>
    </row>
    <row r="111" spans="1:15" x14ac:dyDescent="0.25">
      <c r="A111" s="15">
        <v>30103063141</v>
      </c>
      <c r="B111" s="16" t="str">
        <f>VLOOKUP(Projeção[[#This Row],[Código]],BD_Produto[#All],6,FALSE)</f>
        <v>Equipamento Automatizado para gravação e reprodução de discos ópticos (CD/DVD)-Discloader DVD ( AM)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30">
        <v>0</v>
      </c>
      <c r="I111" s="130">
        <v>0</v>
      </c>
      <c r="J111" s="130">
        <v>0</v>
      </c>
      <c r="K111" s="130">
        <v>0</v>
      </c>
      <c r="L111" s="130">
        <v>0</v>
      </c>
      <c r="M111" s="130">
        <v>0</v>
      </c>
      <c r="N111" s="130">
        <v>0</v>
      </c>
      <c r="O1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2" spans="1:15" x14ac:dyDescent="0.25">
      <c r="A112" s="15">
        <v>30103062251</v>
      </c>
      <c r="B112" s="16" t="str">
        <f>VLOOKUP(Projeção[[#This Row],[Código]],BD_Produto[#All],6,FALSE)</f>
        <v>Equipamento Automatizado para gravação e reprodução de discos ópticos (CD/DVD)-Discloader DVD ( SP)</v>
      </c>
      <c r="C112" s="130">
        <v>0.19999999999999998</v>
      </c>
      <c r="D112" s="130">
        <v>6.6666666666666666E-2</v>
      </c>
      <c r="E112" s="130">
        <v>6.6666666666666666E-2</v>
      </c>
      <c r="F112" s="130">
        <v>6.6666666666666666E-2</v>
      </c>
      <c r="G112" s="130">
        <v>6.6666666666666666E-2</v>
      </c>
      <c r="H112" s="130">
        <v>6.6666666666666666E-2</v>
      </c>
      <c r="I112" s="130">
        <v>6.6666666666666666E-2</v>
      </c>
      <c r="J112" s="130">
        <v>6.6666666666666666E-2</v>
      </c>
      <c r="K112" s="130">
        <v>6.6666666666666666E-2</v>
      </c>
      <c r="L112" s="130">
        <v>3.3333333333333333E-2</v>
      </c>
      <c r="M112" s="130">
        <v>3.3333333333333333E-2</v>
      </c>
      <c r="N112" s="130">
        <v>0</v>
      </c>
      <c r="O1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11.200000000000001</v>
      </c>
    </row>
    <row r="113" spans="1:15" x14ac:dyDescent="0.25">
      <c r="A113" s="15">
        <v>33063063637</v>
      </c>
      <c r="B113" s="16" t="str">
        <f>VLOOKUP(Projeção[[#This Row],[Código]],BD_Produto[#All],6,FALSE)</f>
        <v>Esselte Intense, Pasta com Elástico - A4 - Azul Marinho transparente - PN:177413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  <c r="I113" s="130">
        <v>0</v>
      </c>
      <c r="J113" s="130">
        <v>0</v>
      </c>
      <c r="K113" s="130">
        <v>0</v>
      </c>
      <c r="L113" s="130">
        <v>0</v>
      </c>
      <c r="M113" s="130">
        <v>0</v>
      </c>
      <c r="N113" s="130">
        <v>0</v>
      </c>
      <c r="O1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" spans="1:15" x14ac:dyDescent="0.25">
      <c r="A114" s="15">
        <v>33063063640</v>
      </c>
      <c r="B114" s="16" t="str">
        <f>VLOOKUP(Projeção[[#This Row],[Código]],BD_Produto[#All],6,FALSE)</f>
        <v>Esselte Intense, Pasta com Elástico - A4 - Branca Transparente - PN:21804</v>
      </c>
      <c r="C114" s="130">
        <v>0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  <c r="I114" s="130">
        <v>0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" spans="1:15" x14ac:dyDescent="0.25">
      <c r="A115" s="15">
        <v>33063063639</v>
      </c>
      <c r="B115" s="16" t="str">
        <f>VLOOKUP(Projeção[[#This Row],[Código]],BD_Produto[#All],6,FALSE)</f>
        <v>Esselte Intense, Pasta com Elástico - A4 - Preta - PN:177416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  <c r="I115" s="130">
        <v>0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" spans="1:15" x14ac:dyDescent="0.25">
      <c r="A116" s="15">
        <v>33063063638</v>
      </c>
      <c r="B116" s="16" t="str">
        <f>VLOOKUP(Projeção[[#This Row],[Código]],BD_Produto[#All],6,FALSE)</f>
        <v>Esselte Intense, Pasta com Elástico - A4 - Vermelho Transparente - PN:177415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30">
        <v>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0</v>
      </c>
      <c r="O1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" spans="1:15" x14ac:dyDescent="0.25">
      <c r="A117" s="15">
        <v>33063063631</v>
      </c>
      <c r="B117" s="16" t="str">
        <f>VLOOKUP(Projeção[[#This Row],[Código]],BD_Produto[#All],6,FALSE)</f>
        <v>Esselte Intense, Pasta com Plásticos p/ 20 folhas - A4 - Capa dura - PN:177425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0</v>
      </c>
      <c r="O1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" spans="1:15" x14ac:dyDescent="0.25">
      <c r="A118" s="15">
        <v>33063063630</v>
      </c>
      <c r="B118" s="16" t="str">
        <f>VLOOKUP(Projeção[[#This Row],[Código]],BD_Produto[#All],6,FALSE)</f>
        <v>Esselte Intense, Pasta com Plásticos p/ 20 folhas - A4 - Preta - PN:177434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  <c r="I118" s="130">
        <v>0</v>
      </c>
      <c r="J118" s="130">
        <v>0</v>
      </c>
      <c r="K118" s="130">
        <v>0</v>
      </c>
      <c r="L118" s="130">
        <v>0</v>
      </c>
      <c r="M118" s="130">
        <v>0</v>
      </c>
      <c r="N118" s="130">
        <v>0</v>
      </c>
      <c r="O1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" spans="1:15" x14ac:dyDescent="0.25">
      <c r="A119" s="15">
        <v>33063063632</v>
      </c>
      <c r="B119" s="16" t="str">
        <f>VLOOKUP(Projeção[[#This Row],[Código]],BD_Produto[#All],6,FALSE)</f>
        <v>Esselte Intense, Pasta com Plásticos p/ 40 folhas - A4 - Capa dura - PN:177443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30">
        <v>0</v>
      </c>
      <c r="I119" s="130">
        <v>0</v>
      </c>
      <c r="J119" s="130">
        <v>0</v>
      </c>
      <c r="K119" s="130">
        <v>0</v>
      </c>
      <c r="L119" s="130">
        <v>0</v>
      </c>
      <c r="M119" s="130">
        <v>0</v>
      </c>
      <c r="N119" s="130">
        <v>0</v>
      </c>
      <c r="O1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" spans="1:15" x14ac:dyDescent="0.25">
      <c r="A120" s="15">
        <v>33063063626</v>
      </c>
      <c r="B120" s="16" t="str">
        <f>VLOOKUP(Projeção[[#This Row],[Código]],BD_Produto[#All],6,FALSE)</f>
        <v>Esselte Intense, Pasta Larga - A4 - Azul Marinho Transparente - PN:177485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30">
        <v>0</v>
      </c>
      <c r="I120" s="130">
        <v>0</v>
      </c>
      <c r="J120" s="130">
        <v>0</v>
      </c>
      <c r="K120" s="130">
        <v>0</v>
      </c>
      <c r="L120" s="130">
        <v>0</v>
      </c>
      <c r="M120" s="130">
        <v>0</v>
      </c>
      <c r="N120" s="130">
        <v>0</v>
      </c>
      <c r="O1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" spans="1:15" x14ac:dyDescent="0.25">
      <c r="A121" s="15">
        <v>33063063628</v>
      </c>
      <c r="B121" s="16" t="str">
        <f>VLOOKUP(Projeção[[#This Row],[Código]],BD_Produto[#All],6,FALSE)</f>
        <v>Esselte Intense, Pasta Larga - A4 - Preta Transparente - PN:177488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30">
        <v>0</v>
      </c>
      <c r="I121" s="130">
        <v>0</v>
      </c>
      <c r="J121" s="130">
        <v>0</v>
      </c>
      <c r="K121" s="130">
        <v>0</v>
      </c>
      <c r="L121" s="130">
        <v>0</v>
      </c>
      <c r="M121" s="130">
        <v>0</v>
      </c>
      <c r="N121" s="130">
        <v>0</v>
      </c>
      <c r="O1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" spans="1:15" x14ac:dyDescent="0.25">
      <c r="A122" s="15">
        <v>33063063629</v>
      </c>
      <c r="B122" s="16" t="str">
        <f>VLOOKUP(Projeção[[#This Row],[Código]],BD_Produto[#All],6,FALSE)</f>
        <v>Esselte Intense, Pasta Larga - A4 - Preta Transparente - PN:21807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30">
        <v>0</v>
      </c>
      <c r="I122" s="130">
        <v>0</v>
      </c>
      <c r="J122" s="130">
        <v>0</v>
      </c>
      <c r="K122" s="130">
        <v>0</v>
      </c>
      <c r="L122" s="130">
        <v>0</v>
      </c>
      <c r="M122" s="130">
        <v>0</v>
      </c>
      <c r="N122" s="130">
        <v>0</v>
      </c>
      <c r="O1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" spans="1:15" x14ac:dyDescent="0.25">
      <c r="A123" s="15">
        <v>33063063627</v>
      </c>
      <c r="B123" s="16" t="str">
        <f>VLOOKUP(Projeção[[#This Row],[Código]],BD_Produto[#All],6,FALSE)</f>
        <v>Esselte Intense, Pasta Larga - A4 - Vermelho Transparente - PN:177487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30">
        <v>0</v>
      </c>
      <c r="I123" s="130">
        <v>0</v>
      </c>
      <c r="J123" s="130">
        <v>0</v>
      </c>
      <c r="K123" s="130">
        <v>0</v>
      </c>
      <c r="L123" s="130">
        <v>0</v>
      </c>
      <c r="M123" s="130">
        <v>0</v>
      </c>
      <c r="N123" s="130">
        <v>0</v>
      </c>
      <c r="O1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" spans="1:15" x14ac:dyDescent="0.25">
      <c r="A124" s="15">
        <v>33063063633</v>
      </c>
      <c r="B124" s="16" t="str">
        <f>VLOOKUP(Projeção[[#This Row],[Código]],BD_Produto[#All],6,FALSE)</f>
        <v>Esselte Intense, Pasta Sanfonada - A4 - Azul marinho transparente - PN:177521</v>
      </c>
      <c r="C124" s="130">
        <v>0</v>
      </c>
      <c r="D124" s="130">
        <v>0</v>
      </c>
      <c r="E124" s="130">
        <v>0</v>
      </c>
      <c r="F124" s="130">
        <v>0</v>
      </c>
      <c r="G124" s="130">
        <v>0</v>
      </c>
      <c r="H124" s="130">
        <v>0</v>
      </c>
      <c r="I124" s="130">
        <v>0</v>
      </c>
      <c r="J124" s="130">
        <v>0</v>
      </c>
      <c r="K124" s="130">
        <v>0</v>
      </c>
      <c r="L124" s="130">
        <v>0</v>
      </c>
      <c r="M124" s="130">
        <v>0</v>
      </c>
      <c r="N124" s="130">
        <v>0</v>
      </c>
      <c r="O1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" spans="1:15" x14ac:dyDescent="0.25">
      <c r="A125" s="15">
        <v>33063063636</v>
      </c>
      <c r="B125" s="16" t="str">
        <f>VLOOKUP(Projeção[[#This Row],[Código]],BD_Produto[#All],6,FALSE)</f>
        <v>Esselte Intense, Pasta Sanfonada - A4 - Branca Transparente - PN:21811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30">
        <v>0</v>
      </c>
      <c r="I125" s="130">
        <v>0</v>
      </c>
      <c r="J125" s="130">
        <v>0</v>
      </c>
      <c r="K125" s="130">
        <v>0</v>
      </c>
      <c r="L125" s="130">
        <v>0</v>
      </c>
      <c r="M125" s="130">
        <v>0</v>
      </c>
      <c r="N125" s="130">
        <v>0</v>
      </c>
      <c r="O1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6" spans="1:15" x14ac:dyDescent="0.25">
      <c r="A126" s="15">
        <v>33063063634</v>
      </c>
      <c r="B126" s="16" t="str">
        <f>VLOOKUP(Projeção[[#This Row],[Código]],BD_Produto[#All],6,FALSE)</f>
        <v>Esselte Intense, Pasta Sanfonada - A4 - vermelho transparente - PN:177523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30">
        <v>0</v>
      </c>
      <c r="I126" s="130">
        <v>0</v>
      </c>
      <c r="J126" s="130">
        <v>0</v>
      </c>
      <c r="K126" s="130">
        <v>0</v>
      </c>
      <c r="L126" s="130">
        <v>0</v>
      </c>
      <c r="M126" s="130">
        <v>0</v>
      </c>
      <c r="N126" s="130">
        <v>0</v>
      </c>
      <c r="O1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" spans="1:15" x14ac:dyDescent="0.25">
      <c r="A127" s="15">
        <v>33063063635</v>
      </c>
      <c r="B127" s="16" t="str">
        <f>VLOOKUP(Projeção[[#This Row],[Código]],BD_Produto[#All],6,FALSE)</f>
        <v>Esselte Intense, Pasta Sanfonada - A4 -Preto - PN:177524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30">
        <v>0</v>
      </c>
      <c r="I127" s="130">
        <v>0</v>
      </c>
      <c r="J127" s="130">
        <v>0</v>
      </c>
      <c r="K127" s="130">
        <v>0</v>
      </c>
      <c r="L127" s="130">
        <v>0</v>
      </c>
      <c r="M127" s="130">
        <v>0</v>
      </c>
      <c r="N127" s="130">
        <v>0</v>
      </c>
      <c r="O1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8" spans="1:15" x14ac:dyDescent="0.25">
      <c r="A128" s="15">
        <v>33062563656</v>
      </c>
      <c r="B128" s="16" t="str">
        <f>VLOOKUP(Projeção[[#This Row],[Código]],BD_Produto[#All],6,FALSE)</f>
        <v>Esselte, Bolsa para plastificação EVA (Standard) 100 mic com 100 - PN: 33826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30">
        <v>0</v>
      </c>
      <c r="I128" s="130">
        <v>0</v>
      </c>
      <c r="J128" s="130">
        <v>0</v>
      </c>
      <c r="K128" s="130">
        <v>0</v>
      </c>
      <c r="L128" s="130">
        <v>0</v>
      </c>
      <c r="M128" s="130">
        <v>0</v>
      </c>
      <c r="N128" s="130">
        <v>0</v>
      </c>
      <c r="O1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" spans="1:15" x14ac:dyDescent="0.25">
      <c r="A129" s="15">
        <v>33062563654</v>
      </c>
      <c r="B129" s="16" t="str">
        <f>VLOOKUP(Projeção[[#This Row],[Código]],BD_Produto[#All],6,FALSE)</f>
        <v>Esselte, Bolsa para plastificação EVA (Standard) 125 mic com 100 - PN: 33808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30">
        <v>0</v>
      </c>
      <c r="I129" s="130">
        <v>0</v>
      </c>
      <c r="J129" s="130">
        <v>0</v>
      </c>
      <c r="K129" s="130">
        <v>0</v>
      </c>
      <c r="L129" s="130">
        <v>0</v>
      </c>
      <c r="M129" s="130">
        <v>0</v>
      </c>
      <c r="N129" s="130">
        <v>0</v>
      </c>
      <c r="O1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0" spans="1:15" x14ac:dyDescent="0.25">
      <c r="A130" s="15">
        <v>33062563655</v>
      </c>
      <c r="B130" s="16" t="str">
        <f>VLOOKUP(Projeção[[#This Row],[Código]],BD_Produto[#All],6,FALSE)</f>
        <v>Esselte, Bolsa para plastificação EVA (Standard) 80 mic com 100 - PN: 33818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30">
        <v>0</v>
      </c>
      <c r="I130" s="130">
        <v>0</v>
      </c>
      <c r="J130" s="130">
        <v>0</v>
      </c>
      <c r="K130" s="130">
        <v>0</v>
      </c>
      <c r="L130" s="130">
        <v>0</v>
      </c>
      <c r="M130" s="130">
        <v>0</v>
      </c>
      <c r="N130" s="130">
        <v>0</v>
      </c>
      <c r="O1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" spans="1:15" x14ac:dyDescent="0.25">
      <c r="A131" s="15">
        <v>33063063657</v>
      </c>
      <c r="B131" s="16" t="str">
        <f>VLOOKUP(Projeção[[#This Row],[Código]],BD_Produto[#All],6,FALSE)</f>
        <v>Esselte, Pasta Organizadora Standard Foolscap - Amarela - PN:48081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30">
        <v>0</v>
      </c>
      <c r="I131" s="130">
        <v>0</v>
      </c>
      <c r="J131" s="130">
        <v>0</v>
      </c>
      <c r="K131" s="130">
        <v>0</v>
      </c>
      <c r="L131" s="130">
        <v>0</v>
      </c>
      <c r="M131" s="130">
        <v>0</v>
      </c>
      <c r="N131" s="130">
        <v>0</v>
      </c>
      <c r="O1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2" spans="1:15" x14ac:dyDescent="0.25">
      <c r="A132" s="15">
        <v>33063063659</v>
      </c>
      <c r="B132" s="16" t="str">
        <f>VLOOKUP(Projeção[[#This Row],[Código]],BD_Produto[#All],6,FALSE)</f>
        <v>Esselte, Pasta Organizadora Standard Foolscap - Azul - PN:48085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30">
        <v>0</v>
      </c>
      <c r="I132" s="130">
        <v>0</v>
      </c>
      <c r="J132" s="130">
        <v>0</v>
      </c>
      <c r="K132" s="130">
        <v>0</v>
      </c>
      <c r="L132" s="130">
        <v>0</v>
      </c>
      <c r="M132" s="130">
        <v>0</v>
      </c>
      <c r="N132" s="130">
        <v>0</v>
      </c>
      <c r="O1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3" spans="1:15" x14ac:dyDescent="0.25">
      <c r="A133" s="15">
        <v>33063063665</v>
      </c>
      <c r="B133" s="16" t="str">
        <f>VLOOKUP(Projeção[[#This Row],[Código]],BD_Produto[#All],6,FALSE)</f>
        <v>Esselte, Pasta Organizadora Standard Foolscap - Bordô - PN:623714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30">
        <v>0</v>
      </c>
      <c r="I133" s="130">
        <v>0</v>
      </c>
      <c r="J133" s="130">
        <v>0</v>
      </c>
      <c r="K133" s="130">
        <v>0</v>
      </c>
      <c r="L133" s="130">
        <v>0</v>
      </c>
      <c r="M133" s="130">
        <v>0</v>
      </c>
      <c r="N133" s="130">
        <v>0</v>
      </c>
      <c r="O1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4" spans="1:15" x14ac:dyDescent="0.25">
      <c r="A134" s="15">
        <v>33063063662</v>
      </c>
      <c r="B134" s="16" t="str">
        <f>VLOOKUP(Projeção[[#This Row],[Código]],BD_Produto[#All],6,FALSE)</f>
        <v>Esselte, Pasta Organizadora Standard Foolscap - Cinza - PN:48088</v>
      </c>
      <c r="C134" s="130">
        <v>0</v>
      </c>
      <c r="D134" s="130">
        <v>0</v>
      </c>
      <c r="E134" s="130">
        <v>0</v>
      </c>
      <c r="F134" s="130">
        <v>0</v>
      </c>
      <c r="G134" s="130">
        <v>0</v>
      </c>
      <c r="H134" s="130">
        <v>0</v>
      </c>
      <c r="I134" s="130">
        <v>0</v>
      </c>
      <c r="J134" s="130">
        <v>0</v>
      </c>
      <c r="K134" s="130">
        <v>0</v>
      </c>
      <c r="L134" s="130">
        <v>0</v>
      </c>
      <c r="M134" s="130">
        <v>0</v>
      </c>
      <c r="N134" s="130">
        <v>0</v>
      </c>
      <c r="O1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5" spans="1:15" x14ac:dyDescent="0.25">
      <c r="A135" s="15">
        <v>33063063667</v>
      </c>
      <c r="B135" s="16" t="str">
        <f>VLOOKUP(Projeção[[#This Row],[Código]],BD_Produto[#All],6,FALSE)</f>
        <v>Esselte, Pasta Organizadora Standard Foolscap - Fúcsia - PN:623716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30">
        <v>0</v>
      </c>
      <c r="I135" s="130">
        <v>0</v>
      </c>
      <c r="J135" s="130">
        <v>0</v>
      </c>
      <c r="K135" s="130">
        <v>0</v>
      </c>
      <c r="L135" s="130">
        <v>0</v>
      </c>
      <c r="M135" s="130">
        <v>0</v>
      </c>
      <c r="N135" s="130">
        <v>0</v>
      </c>
      <c r="O1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6" spans="1:15" x14ac:dyDescent="0.25">
      <c r="A136" s="15">
        <v>33063063663</v>
      </c>
      <c r="B136" s="16" t="str">
        <f>VLOOKUP(Projeção[[#This Row],[Código]],BD_Produto[#All],6,FALSE)</f>
        <v>Esselte, Pasta Organizadora Standard Foolscap - Laranja - PN:623712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30">
        <v>0</v>
      </c>
      <c r="I136" s="130">
        <v>0</v>
      </c>
      <c r="J136" s="130">
        <v>0</v>
      </c>
      <c r="K136" s="130">
        <v>0</v>
      </c>
      <c r="L136" s="130">
        <v>0</v>
      </c>
      <c r="M136" s="130">
        <v>0</v>
      </c>
      <c r="N136" s="130">
        <v>0</v>
      </c>
      <c r="O1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7" spans="1:15" x14ac:dyDescent="0.25">
      <c r="A137" s="15">
        <v>33063063668</v>
      </c>
      <c r="B137" s="16" t="str">
        <f>VLOOKUP(Projeção[[#This Row],[Código]],BD_Produto[#All],6,FALSE)</f>
        <v>Esselte, Pasta Organizadora Standard Foolscap - Marrom - PN:623717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30">
        <v>0</v>
      </c>
      <c r="I137" s="130">
        <v>0</v>
      </c>
      <c r="J137" s="130">
        <v>0</v>
      </c>
      <c r="K137" s="130">
        <v>0</v>
      </c>
      <c r="L137" s="130">
        <v>0</v>
      </c>
      <c r="M137" s="130">
        <v>0</v>
      </c>
      <c r="N137" s="130">
        <v>0</v>
      </c>
      <c r="O1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8" spans="1:15" x14ac:dyDescent="0.25">
      <c r="A138" s="15">
        <v>33063063661</v>
      </c>
      <c r="B138" s="16" t="str">
        <f>VLOOKUP(Projeção[[#This Row],[Código]],BD_Produto[#All],6,FALSE)</f>
        <v>Esselte, Pasta Organizadora Standard Foolscap - Preta - PN:48087</v>
      </c>
      <c r="C138" s="130">
        <v>0</v>
      </c>
      <c r="D138" s="130">
        <v>0</v>
      </c>
      <c r="E138" s="130">
        <v>0</v>
      </c>
      <c r="F138" s="130">
        <v>0</v>
      </c>
      <c r="G138" s="130">
        <v>0</v>
      </c>
      <c r="H138" s="130">
        <v>0</v>
      </c>
      <c r="I138" s="130">
        <v>0</v>
      </c>
      <c r="J138" s="130">
        <v>0</v>
      </c>
      <c r="K138" s="130">
        <v>0</v>
      </c>
      <c r="L138" s="130">
        <v>0</v>
      </c>
      <c r="M138" s="130">
        <v>0</v>
      </c>
      <c r="N138" s="130">
        <v>0</v>
      </c>
      <c r="O1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9" spans="1:15" x14ac:dyDescent="0.25">
      <c r="A139" s="15">
        <v>33063063669</v>
      </c>
      <c r="B139" s="16" t="str">
        <f>VLOOKUP(Projeção[[#This Row],[Código]],BD_Produto[#All],6,FALSE)</f>
        <v>Esselte, Pasta Organizadora Standard Foolscap - Turqueza - PN:623718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30">
        <v>0</v>
      </c>
      <c r="I139" s="130">
        <v>0</v>
      </c>
      <c r="J139" s="130">
        <v>0</v>
      </c>
      <c r="K139" s="130">
        <v>0</v>
      </c>
      <c r="L139" s="130">
        <v>0</v>
      </c>
      <c r="M139" s="130">
        <v>0</v>
      </c>
      <c r="N139" s="130">
        <v>0</v>
      </c>
      <c r="O1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0" spans="1:15" x14ac:dyDescent="0.25">
      <c r="A140" s="15">
        <v>33063063660</v>
      </c>
      <c r="B140" s="16" t="str">
        <f>VLOOKUP(Projeção[[#This Row],[Código]],BD_Produto[#All],6,FALSE)</f>
        <v>Esselte, Pasta Organizadora Standard Foolscap - Verde - PN:48086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1" spans="1:15" x14ac:dyDescent="0.25">
      <c r="A141" s="15">
        <v>33063063664</v>
      </c>
      <c r="B141" s="16" t="str">
        <f>VLOOKUP(Projeção[[#This Row],[Código]],BD_Produto[#All],6,FALSE)</f>
        <v>Esselte, Pasta Organizadora Standard Foolscap - Verde Claro - PN:623713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30">
        <v>0</v>
      </c>
      <c r="I141" s="130">
        <v>0</v>
      </c>
      <c r="J141" s="130">
        <v>0</v>
      </c>
      <c r="K141" s="130">
        <v>0</v>
      </c>
      <c r="L141" s="130">
        <v>0</v>
      </c>
      <c r="M141" s="130">
        <v>0</v>
      </c>
      <c r="N141" s="130">
        <v>0</v>
      </c>
      <c r="O1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2" spans="1:15" x14ac:dyDescent="0.25">
      <c r="A142" s="15">
        <v>33063063658</v>
      </c>
      <c r="B142" s="16" t="str">
        <f>VLOOKUP(Projeção[[#This Row],[Código]],BD_Produto[#All],6,FALSE)</f>
        <v>Esselte, Pasta Organizadora Standard Foolscap - Vermelha - PN:48083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30">
        <v>0</v>
      </c>
      <c r="I142" s="130">
        <v>0</v>
      </c>
      <c r="J142" s="130">
        <v>0</v>
      </c>
      <c r="K142" s="130">
        <v>0</v>
      </c>
      <c r="L142" s="130">
        <v>0</v>
      </c>
      <c r="M142" s="130">
        <v>0</v>
      </c>
      <c r="N142" s="130">
        <v>0</v>
      </c>
      <c r="O1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3" spans="1:15" x14ac:dyDescent="0.25">
      <c r="A143" s="15">
        <v>33063063666</v>
      </c>
      <c r="B143" s="16" t="str">
        <f>VLOOKUP(Projeção[[#This Row],[Código]],BD_Produto[#All],6,FALSE)</f>
        <v>Esselte, Pasta Organizadora Standard Foolscap - Violeta - PN:623715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4" spans="1:15" x14ac:dyDescent="0.25">
      <c r="A144" s="15">
        <v>30101061791</v>
      </c>
      <c r="B144" s="16" t="str">
        <f>VLOOKUP(Projeção[[#This Row],[Código]],BD_Produto[#All],6,FALSE)</f>
        <v xml:space="preserve">Estojo Amaray Youts Colorful - Pack com 5 </v>
      </c>
      <c r="C144" s="130">
        <v>0</v>
      </c>
      <c r="D144" s="130">
        <v>0</v>
      </c>
      <c r="E144" s="130">
        <v>0</v>
      </c>
      <c r="F144" s="130">
        <v>0</v>
      </c>
      <c r="G144" s="130">
        <v>0</v>
      </c>
      <c r="H144" s="130">
        <v>0</v>
      </c>
      <c r="I144" s="130">
        <v>0</v>
      </c>
      <c r="J144" s="130">
        <v>0</v>
      </c>
      <c r="K144" s="130">
        <v>0</v>
      </c>
      <c r="L144" s="130">
        <v>0</v>
      </c>
      <c r="M144" s="130">
        <v>0</v>
      </c>
      <c r="N144" s="130">
        <v>0</v>
      </c>
      <c r="O1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5" spans="1:15" x14ac:dyDescent="0.25">
      <c r="A145" s="15">
        <v>30101061790</v>
      </c>
      <c r="B145" s="16" t="str">
        <f>VLOOKUP(Projeção[[#This Row],[Código]],BD_Produto[#All],6,FALSE)</f>
        <v>Estojo Amaray Youts Mix(2P2T1B) - Pack com 5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30">
        <v>0</v>
      </c>
      <c r="I145" s="130">
        <v>0</v>
      </c>
      <c r="J145" s="130">
        <v>0</v>
      </c>
      <c r="K145" s="130">
        <v>0</v>
      </c>
      <c r="L145" s="130">
        <v>0</v>
      </c>
      <c r="M145" s="130">
        <v>0</v>
      </c>
      <c r="N145" s="130">
        <v>0</v>
      </c>
      <c r="O1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6" spans="1:15" x14ac:dyDescent="0.25">
      <c r="A146" s="15">
        <v>30101061789</v>
      </c>
      <c r="B146" s="16" t="str">
        <f>VLOOKUP(Projeção[[#This Row],[Código]],BD_Produto[#All],6,FALSE)</f>
        <v>Estojo Amaray Youts Preto - Pack com 5</v>
      </c>
      <c r="C146" s="130">
        <v>205.1</v>
      </c>
      <c r="D146" s="130">
        <v>0</v>
      </c>
      <c r="E146" s="130">
        <v>0</v>
      </c>
      <c r="F146" s="130">
        <v>0</v>
      </c>
      <c r="G146" s="130">
        <v>0</v>
      </c>
      <c r="H146" s="130">
        <v>0</v>
      </c>
      <c r="I146" s="130">
        <v>0</v>
      </c>
      <c r="J146" s="130">
        <v>0</v>
      </c>
      <c r="K146" s="130">
        <v>0</v>
      </c>
      <c r="L146" s="130">
        <v>0</v>
      </c>
      <c r="M146" s="130">
        <v>0</v>
      </c>
      <c r="N146" s="130">
        <v>0</v>
      </c>
      <c r="O1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7" spans="1:15" x14ac:dyDescent="0.25">
      <c r="A147" s="15">
        <v>30101061420</v>
      </c>
      <c r="B147" s="16" t="str">
        <f>VLOOKUP(Projeção[[#This Row],[Código]],BD_Produto[#All],6,FALSE)</f>
        <v>Estojo Amaray Youts Translúcido - Pack com 5</v>
      </c>
      <c r="C147" s="130">
        <v>0</v>
      </c>
      <c r="D147" s="130">
        <v>0</v>
      </c>
      <c r="E147" s="130">
        <v>0</v>
      </c>
      <c r="F147" s="130">
        <v>0</v>
      </c>
      <c r="G147" s="130">
        <v>0</v>
      </c>
      <c r="H147" s="130">
        <v>0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8" spans="1:15" x14ac:dyDescent="0.25">
      <c r="A148" s="15">
        <v>30101061788</v>
      </c>
      <c r="B148" s="16" t="str">
        <f>VLOOKUP(Projeção[[#This Row],[Código]],BD_Produto[#All],6,FALSE)</f>
        <v>Estojo Amaray Youts Translúcido - Pack com 5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30">
        <v>0</v>
      </c>
      <c r="I148" s="130">
        <v>0</v>
      </c>
      <c r="J148" s="130">
        <v>0</v>
      </c>
      <c r="K148" s="130">
        <v>0</v>
      </c>
      <c r="L148" s="130">
        <v>0</v>
      </c>
      <c r="M148" s="130">
        <v>0</v>
      </c>
      <c r="N148" s="130">
        <v>0</v>
      </c>
      <c r="O1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49" spans="1:15" x14ac:dyDescent="0.25">
      <c r="A149" s="15">
        <v>30101061425</v>
      </c>
      <c r="B149" s="16" t="str">
        <f>VLOOKUP(Projeção[[#This Row],[Código]],BD_Produto[#All],6,FALSE)</f>
        <v>Estojo BluRay Youts Azul - Pack com 3</v>
      </c>
      <c r="C149" s="130">
        <v>33.033333333333331</v>
      </c>
      <c r="D149" s="130">
        <v>0</v>
      </c>
      <c r="E149" s="130">
        <v>0</v>
      </c>
      <c r="F149" s="130">
        <v>0</v>
      </c>
      <c r="G149" s="130">
        <v>0</v>
      </c>
      <c r="H149" s="130">
        <v>0</v>
      </c>
      <c r="I149" s="130">
        <v>0</v>
      </c>
      <c r="J149" s="130">
        <v>0</v>
      </c>
      <c r="K149" s="130">
        <v>0</v>
      </c>
      <c r="L149" s="130">
        <v>0</v>
      </c>
      <c r="M149" s="130">
        <v>0</v>
      </c>
      <c r="N149" s="130">
        <v>0</v>
      </c>
      <c r="O1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0" spans="1:15" x14ac:dyDescent="0.25">
      <c r="A150" s="15">
        <v>30101061421</v>
      </c>
      <c r="B150" s="16" t="str">
        <f>VLOOKUP(Projeção[[#This Row],[Código]],BD_Produto[#All],6,FALSE)</f>
        <v>Estojo DVD Multidisc ( 4X) Youts Translúcido pack com 3</v>
      </c>
      <c r="C150" s="130">
        <v>199.1</v>
      </c>
      <c r="D150" s="130">
        <v>0</v>
      </c>
      <c r="E150" s="130">
        <v>0</v>
      </c>
      <c r="F150" s="130">
        <v>0</v>
      </c>
      <c r="G150" s="130">
        <v>0</v>
      </c>
      <c r="H150" s="130">
        <v>0</v>
      </c>
      <c r="I150" s="130">
        <v>0</v>
      </c>
      <c r="J150" s="130">
        <v>0</v>
      </c>
      <c r="K150" s="130">
        <v>0</v>
      </c>
      <c r="L150" s="130">
        <v>0</v>
      </c>
      <c r="M150" s="130">
        <v>0</v>
      </c>
      <c r="N150" s="130">
        <v>0</v>
      </c>
      <c r="O1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1" spans="1:15" x14ac:dyDescent="0.25">
      <c r="A151" s="15">
        <v>30101061424</v>
      </c>
      <c r="B151" s="16" t="str">
        <f>VLOOKUP(Projeção[[#This Row],[Código]],BD_Produto[#All],6,FALSE)</f>
        <v>Estojo Jewel Box Youts Transparente - Pack com 5</v>
      </c>
      <c r="C151" s="130">
        <v>0</v>
      </c>
      <c r="D151" s="130">
        <v>0</v>
      </c>
      <c r="E151" s="130">
        <v>0</v>
      </c>
      <c r="F151" s="130">
        <v>0</v>
      </c>
      <c r="G151" s="130">
        <v>0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0</v>
      </c>
      <c r="O1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2" spans="1:15" x14ac:dyDescent="0.25">
      <c r="A152" s="15">
        <v>30101061795</v>
      </c>
      <c r="B152" s="16" t="str">
        <f>VLOOKUP(Projeção[[#This Row],[Código]],BD_Produto[#All],6,FALSE)</f>
        <v>Estojo Slim Amaray Youts Colorful - Pack com 5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30">
        <v>0</v>
      </c>
      <c r="I152" s="130">
        <v>0</v>
      </c>
      <c r="J152" s="130">
        <v>0</v>
      </c>
      <c r="K152" s="130">
        <v>0</v>
      </c>
      <c r="L152" s="130">
        <v>0</v>
      </c>
      <c r="M152" s="130">
        <v>0</v>
      </c>
      <c r="N152" s="130">
        <v>0</v>
      </c>
      <c r="O1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3" spans="1:15" x14ac:dyDescent="0.25">
      <c r="A153" s="15">
        <v>30101061794</v>
      </c>
      <c r="B153" s="16" t="str">
        <f>VLOOKUP(Projeção[[#This Row],[Código]],BD_Produto[#All],6,FALSE)</f>
        <v>Estojo Slim Amaray Youts Mix(2P2T1B) - Pack com 5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4" spans="1:15" x14ac:dyDescent="0.25">
      <c r="A154" s="15">
        <v>30101061793</v>
      </c>
      <c r="B154" s="16" t="str">
        <f>VLOOKUP(Projeção[[#This Row],[Código]],BD_Produto[#All],6,FALSE)</f>
        <v>Estojo Slim Amaray Youts Preto - Pack com 5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30">
        <v>0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5" spans="1:15" x14ac:dyDescent="0.25">
      <c r="A155" s="15">
        <v>30101061792</v>
      </c>
      <c r="B155" s="16" t="str">
        <f>VLOOKUP(Projeção[[#This Row],[Código]],BD_Produto[#All],6,FALSE)</f>
        <v>Estojo Slim Amaray Youts Transparente - Pack com 5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30">
        <v>0</v>
      </c>
      <c r="I155" s="130">
        <v>0</v>
      </c>
      <c r="J155" s="130">
        <v>0</v>
      </c>
      <c r="K155" s="130">
        <v>0</v>
      </c>
      <c r="L155" s="130">
        <v>0</v>
      </c>
      <c r="M155" s="130">
        <v>0</v>
      </c>
      <c r="N155" s="130">
        <v>0</v>
      </c>
      <c r="O1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6" spans="1:15" x14ac:dyDescent="0.25">
      <c r="A156" s="15">
        <v>30101061423</v>
      </c>
      <c r="B156" s="16" t="str">
        <f>VLOOKUP(Projeção[[#This Row],[Código]],BD_Produto[#All],6,FALSE)</f>
        <v>Estojo Slim Youts Colorful - Pack com 5</v>
      </c>
      <c r="C156" s="130">
        <v>114.16666666666667</v>
      </c>
      <c r="D156" s="130">
        <v>0</v>
      </c>
      <c r="E156" s="130">
        <v>0</v>
      </c>
      <c r="F156" s="130">
        <v>0</v>
      </c>
      <c r="G156" s="130">
        <v>0</v>
      </c>
      <c r="H156" s="130">
        <v>0</v>
      </c>
      <c r="I156" s="130">
        <v>0</v>
      </c>
      <c r="J156" s="130">
        <v>0</v>
      </c>
      <c r="K156" s="130">
        <v>0</v>
      </c>
      <c r="L156" s="130">
        <v>0</v>
      </c>
      <c r="M156" s="130">
        <v>0</v>
      </c>
      <c r="N156" s="130">
        <v>0</v>
      </c>
      <c r="O1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7" spans="1:15" x14ac:dyDescent="0.25">
      <c r="A157" s="15">
        <v>30101061422</v>
      </c>
      <c r="B157" s="16" t="str">
        <f>VLOOKUP(Projeção[[#This Row],[Código]],BD_Produto[#All],6,FALSE)</f>
        <v>Estojo Slim Youts Transparente - Pack com 5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30">
        <v>0</v>
      </c>
      <c r="I157" s="130">
        <v>0</v>
      </c>
      <c r="J157" s="130">
        <v>0</v>
      </c>
      <c r="K157" s="130">
        <v>0</v>
      </c>
      <c r="L157" s="130">
        <v>0</v>
      </c>
      <c r="M157" s="130">
        <v>0</v>
      </c>
      <c r="N157" s="130">
        <v>0</v>
      </c>
      <c r="O1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8" spans="1:15" x14ac:dyDescent="0.25">
      <c r="A158" s="15">
        <v>33060114989</v>
      </c>
      <c r="B158" s="16" t="str">
        <f>VLOOKUP(Projeção[[#This Row],[Código]],BD_Produto[#All],6,FALSE)</f>
        <v xml:space="preserve">EXTRATOR DE GRAMPO RAPID C2 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30">
        <v>0</v>
      </c>
      <c r="I158" s="130">
        <v>0</v>
      </c>
      <c r="J158" s="130">
        <v>0</v>
      </c>
      <c r="K158" s="130">
        <v>0</v>
      </c>
      <c r="L158" s="130">
        <v>0</v>
      </c>
      <c r="M158" s="130">
        <v>0</v>
      </c>
      <c r="N158" s="130">
        <v>0</v>
      </c>
      <c r="O1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59" spans="1:15" x14ac:dyDescent="0.25">
      <c r="A159" s="15">
        <v>33060114941</v>
      </c>
      <c r="B159" s="16" t="str">
        <f>VLOOKUP(Projeção[[#This Row],[Código]],BD_Produto[#All],6,FALSE)</f>
        <v xml:space="preserve">EXTRATOR DE GRAMPO RAPID SOON SR </v>
      </c>
      <c r="C159" s="130">
        <v>0</v>
      </c>
      <c r="D159" s="130">
        <v>0</v>
      </c>
      <c r="E159" s="130">
        <v>0</v>
      </c>
      <c r="F159" s="130">
        <v>0</v>
      </c>
      <c r="G159" s="130">
        <v>0</v>
      </c>
      <c r="H159" s="130">
        <v>0</v>
      </c>
      <c r="I159" s="130">
        <v>0</v>
      </c>
      <c r="J159" s="130">
        <v>0</v>
      </c>
      <c r="K159" s="130">
        <v>0</v>
      </c>
      <c r="L159" s="130">
        <v>0</v>
      </c>
      <c r="M159" s="130">
        <v>0</v>
      </c>
      <c r="N159" s="130">
        <v>0</v>
      </c>
      <c r="O1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0" spans="1:15" ht="15" customHeight="1" x14ac:dyDescent="0.2">
      <c r="A160" s="15">
        <v>33062065103</v>
      </c>
      <c r="B160" s="125" t="str">
        <f>VLOOKUP(Projeção[[#This Row],[Código]],BD_Produto[#All],6,FALSE)</f>
        <v>FELLOWES ,73CI , TACOMETRO  ( 207643 )</v>
      </c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>
        <v>0</v>
      </c>
      <c r="N160" s="139">
        <v>0</v>
      </c>
      <c r="O160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1" spans="1:15" ht="15" customHeight="1" x14ac:dyDescent="0.2">
      <c r="A161" s="15">
        <v>33062065163</v>
      </c>
      <c r="B161" s="125" t="str">
        <f>VLOOKUP(Projeção[[#This Row],[Código]],BD_Produto[#All],6,FALSE)</f>
        <v>Fellowes, 225Ci,  PCI Ctl/LED 100V,230V (207974)</v>
      </c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>
        <v>0</v>
      </c>
      <c r="N161" s="139">
        <v>0</v>
      </c>
      <c r="O161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2" spans="1:15" ht="15" customHeight="1" x14ac:dyDescent="0.2">
      <c r="A162" s="15">
        <v>33062065018</v>
      </c>
      <c r="B162" s="67" t="str">
        <f>VLOOKUP(Projeção[[#This Row],[Código]],BD_Produto[#All],6,FALSE)</f>
        <v>Fellowes, 225Ci, Conjunto de Corte (207338)</v>
      </c>
      <c r="C162" s="132"/>
      <c r="D162" s="132"/>
      <c r="E162" s="132"/>
      <c r="F162" s="132"/>
      <c r="G162" s="132"/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3">
        <v>0</v>
      </c>
      <c r="O16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163" spans="1:15" ht="15" customHeight="1" x14ac:dyDescent="0.2">
      <c r="A163" s="15">
        <v>33062064862</v>
      </c>
      <c r="B163" s="67" t="str">
        <f>VLOOKUP(Projeção[[#This Row],[Código]],BD_Produto[#All],6,FALSE)</f>
        <v>Fellowes, 225Ci, Engrenagem M 3o. estágio (207357)</v>
      </c>
      <c r="C163" s="132"/>
      <c r="D163" s="132"/>
      <c r="E163" s="132"/>
      <c r="F163" s="132"/>
      <c r="G163" s="132"/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3">
        <v>0</v>
      </c>
      <c r="O16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4" spans="1:15" ht="15" customHeight="1" x14ac:dyDescent="0.2">
      <c r="A164" s="15">
        <v>33062064863</v>
      </c>
      <c r="B164" s="67" t="str">
        <f>VLOOKUP(Projeção[[#This Row],[Código]],BD_Produto[#All],6,FALSE)</f>
        <v>Fellowes, 225Ci, Motor 120V, MFD 130712 ou depois (207978)</v>
      </c>
      <c r="C164" s="132"/>
      <c r="D164" s="132"/>
      <c r="E164" s="132"/>
      <c r="F164" s="132"/>
      <c r="G164" s="132"/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3">
        <v>0</v>
      </c>
      <c r="O16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5" spans="1:15" ht="15" customHeight="1" x14ac:dyDescent="0.2">
      <c r="A165" s="15">
        <v>33062064864</v>
      </c>
      <c r="B165" s="67" t="str">
        <f>VLOOKUP(Projeção[[#This Row],[Código]],BD_Produto[#All],6,FALSE)</f>
        <v>Fellowes, 225Ci, Motor 230V (207364)</v>
      </c>
      <c r="C165" s="132"/>
      <c r="D165" s="132"/>
      <c r="E165" s="132"/>
      <c r="F165" s="132"/>
      <c r="G165" s="132"/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3">
        <v>0</v>
      </c>
      <c r="O16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6" spans="1:15" ht="15" customHeight="1" x14ac:dyDescent="0.2">
      <c r="A166" s="15">
        <v>33062064865</v>
      </c>
      <c r="B166" s="67" t="str">
        <f>VLOOKUP(Projeção[[#This Row],[Código]],BD_Produto[#All],6,FALSE)</f>
        <v>Fellowes, 225Ci, PCI Ctl/LED 120V/230V (207326)</v>
      </c>
      <c r="C166" s="132"/>
      <c r="D166" s="132"/>
      <c r="E166" s="132"/>
      <c r="F166" s="132"/>
      <c r="G166" s="132"/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3">
        <v>0</v>
      </c>
      <c r="O16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7" spans="1:15" ht="15" customHeight="1" x14ac:dyDescent="0.2">
      <c r="A167" s="15">
        <v>33062064866</v>
      </c>
      <c r="B167" s="67" t="str">
        <f>VLOOKUP(Projeção[[#This Row],[Código]],BD_Produto[#All],6,FALSE)</f>
        <v>Fellowes, 225Ci, PCI Principal 120V (207393)</v>
      </c>
      <c r="C167" s="132"/>
      <c r="D167" s="132"/>
      <c r="E167" s="132"/>
      <c r="F167" s="132"/>
      <c r="G167" s="132"/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3">
        <v>0</v>
      </c>
      <c r="O16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8" spans="1:15" ht="15" customHeight="1" x14ac:dyDescent="0.2">
      <c r="A168" s="15">
        <v>33062064867</v>
      </c>
      <c r="B168" s="67" t="str">
        <f>VLOOKUP(Projeção[[#This Row],[Código]],BD_Produto[#All],6,FALSE)</f>
        <v>Fellowes, 225Ci, PCI Principal 230V, MFD 130807 ou antes (207396)</v>
      </c>
      <c r="C168" s="132"/>
      <c r="D168" s="132"/>
      <c r="E168" s="132"/>
      <c r="F168" s="132"/>
      <c r="G168" s="132"/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3">
        <v>0</v>
      </c>
      <c r="O16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69" spans="1:15" ht="15" customHeight="1" x14ac:dyDescent="0.2">
      <c r="A169" s="15">
        <v>33062065164</v>
      </c>
      <c r="B169" s="125" t="str">
        <f>VLOOKUP(Projeção[[#This Row],[Código]],BD_Produto[#All],6,FALSE)</f>
        <v>Fellowes, 225i,  PCI Ctl/LED 120V,230V (207975)</v>
      </c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>
        <v>0</v>
      </c>
      <c r="N169" s="139">
        <v>0</v>
      </c>
      <c r="O169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0" spans="1:15" ht="15" customHeight="1" x14ac:dyDescent="0.2">
      <c r="A170" s="15">
        <v>33062065165</v>
      </c>
      <c r="B170" s="125" t="str">
        <f>VLOOKUP(Projeção[[#This Row],[Código]],BD_Produto[#All],6,FALSE)</f>
        <v>Fellowes, 225i,  Sensor do cesto 120V,230V ( 207976)</v>
      </c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>
        <v>0</v>
      </c>
      <c r="N170" s="134">
        <v>0</v>
      </c>
      <c r="O170" s="134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1" spans="1:15" ht="15" customHeight="1" x14ac:dyDescent="0.2">
      <c r="A171" s="15">
        <v>33062065020</v>
      </c>
      <c r="B171" s="67" t="str">
        <f>VLOOKUP(Projeção[[#This Row],[Código]],BD_Produto[#All],6,FALSE)</f>
        <v>Fellowes, 225i, 125i, Módulo Anti Travamento (207182)</v>
      </c>
      <c r="C171" s="132"/>
      <c r="D171" s="132"/>
      <c r="E171" s="132"/>
      <c r="F171" s="132"/>
      <c r="G171" s="132"/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3">
        <v>0</v>
      </c>
      <c r="O17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2" spans="1:15" ht="15" customHeight="1" x14ac:dyDescent="0.2">
      <c r="A172" s="15">
        <v>33062065159</v>
      </c>
      <c r="B172" s="125" t="str">
        <f>VLOOKUP(Projeção[[#This Row],[Código]],BD_Produto[#All],6,FALSE)</f>
        <v>Fellowes, 225i, 225Ci, Engrenagem M de sincronismo das facas(207761)</v>
      </c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>
        <v>0</v>
      </c>
      <c r="N172" s="139">
        <v>0</v>
      </c>
      <c r="O172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173" spans="1:15" ht="15" customHeight="1" x14ac:dyDescent="0.2">
      <c r="A173" s="15">
        <v>33062064868</v>
      </c>
      <c r="B173" s="67" t="str">
        <f>VLOOKUP(Projeção[[#This Row],[Código]],BD_Produto[#All],6,FALSE)</f>
        <v>Fellowes, 225i, 225Ci, Engrenagem MP 1o./2o. estágio (207751)</v>
      </c>
      <c r="C173" s="132"/>
      <c r="D173" s="132"/>
      <c r="E173" s="132"/>
      <c r="F173" s="132"/>
      <c r="G173" s="132"/>
      <c r="H173" s="132">
        <v>0</v>
      </c>
      <c r="I173" s="132">
        <v>0</v>
      </c>
      <c r="J173" s="132">
        <v>0</v>
      </c>
      <c r="K173" s="132">
        <v>0</v>
      </c>
      <c r="L173" s="132">
        <v>0.16666666666666663</v>
      </c>
      <c r="M173" s="132">
        <v>0.23333333333333334</v>
      </c>
      <c r="N173" s="133">
        <v>9.9999999999999992E-2</v>
      </c>
      <c r="O17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0.5</v>
      </c>
    </row>
    <row r="174" spans="1:15" ht="15" customHeight="1" x14ac:dyDescent="0.2">
      <c r="A174" s="15">
        <v>33062065160</v>
      </c>
      <c r="B174" s="125" t="str">
        <f>VLOOKUP(Projeção[[#This Row],[Código]],BD_Produto[#All],6,FALSE)</f>
        <v>Fellowes, 225i, 225Ci, Engrenagem MP 3o.estagio(207762)</v>
      </c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>
        <v>0</v>
      </c>
      <c r="N174" s="139">
        <v>0</v>
      </c>
      <c r="O174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5" spans="1:15" ht="15" customHeight="1" x14ac:dyDescent="0.2">
      <c r="A175" s="15">
        <v>33062065161</v>
      </c>
      <c r="B175" s="125" t="str">
        <f>VLOOKUP(Projeção[[#This Row],[Código]],BD_Produto[#All],6,FALSE)</f>
        <v>Fellowes, 225i, 225Ci, PCI Principal 230V (207969)</v>
      </c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>
        <v>0</v>
      </c>
      <c r="N175" s="139">
        <v>0</v>
      </c>
      <c r="O175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6" spans="1:15" ht="15" customHeight="1" x14ac:dyDescent="0.2">
      <c r="A176" s="15">
        <v>33062065166</v>
      </c>
      <c r="B176" s="125" t="str">
        <f>VLOOKUP(Projeção[[#This Row],[Código]],BD_Produto[#All],6,FALSE)</f>
        <v>Fellowes, 225i, 225Ci,Chave de intertravamento 100V,120V,230V ( 207977)</v>
      </c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>
        <v>0</v>
      </c>
      <c r="N176" s="139">
        <v>0</v>
      </c>
      <c r="O176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7" spans="1:15" ht="15" customHeight="1" x14ac:dyDescent="0.2">
      <c r="A177" s="15">
        <v>33062065019</v>
      </c>
      <c r="B177" s="67" t="str">
        <f>VLOOKUP(Projeção[[#This Row],[Código]],BD_Produto[#All],6,FALSE)</f>
        <v>Fellowes, 225i, Conjunto de Corte (207354)</v>
      </c>
      <c r="C177" s="132"/>
      <c r="D177" s="132"/>
      <c r="E177" s="132"/>
      <c r="F177" s="132"/>
      <c r="G177" s="132"/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3">
        <v>0</v>
      </c>
      <c r="O17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8" spans="1:15" ht="15" customHeight="1" x14ac:dyDescent="0.2">
      <c r="A178" s="15">
        <v>33062064869</v>
      </c>
      <c r="B178" s="67" t="str">
        <f>VLOOKUP(Projeção[[#This Row],[Código]],BD_Produto[#All],6,FALSE)</f>
        <v>Fellowes, 225i, Engrenagem M de sincronismo das facas (207356)</v>
      </c>
      <c r="C178" s="132"/>
      <c r="D178" s="132"/>
      <c r="E178" s="132"/>
      <c r="F178" s="132"/>
      <c r="G178" s="132"/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3">
        <v>0</v>
      </c>
      <c r="O17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79" spans="1:15" ht="15" customHeight="1" x14ac:dyDescent="0.2">
      <c r="A179" s="15">
        <v>33062064870</v>
      </c>
      <c r="B179" s="67" t="str">
        <f>VLOOKUP(Projeção[[#This Row],[Código]],BD_Produto[#All],6,FALSE)</f>
        <v>Fellowes, 225i, Engrenagem MP 3o. estágio (207355)</v>
      </c>
      <c r="C179" s="132"/>
      <c r="D179" s="132"/>
      <c r="E179" s="132"/>
      <c r="F179" s="132"/>
      <c r="G179" s="132"/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3">
        <v>0</v>
      </c>
      <c r="O17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0" spans="1:15" ht="15" customHeight="1" x14ac:dyDescent="0.2">
      <c r="A180" s="15">
        <v>33062064871</v>
      </c>
      <c r="B180" s="67" t="str">
        <f>VLOOKUP(Projeção[[#This Row],[Código]],BD_Produto[#All],6,FALSE)</f>
        <v>Fellowes, 225i, Motor 120V (207315)</v>
      </c>
      <c r="C180" s="132"/>
      <c r="D180" s="132"/>
      <c r="E180" s="132"/>
      <c r="F180" s="132"/>
      <c r="G180" s="132"/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3">
        <v>0</v>
      </c>
      <c r="O18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1" spans="1:15" ht="15" customHeight="1" x14ac:dyDescent="0.2">
      <c r="A181" s="15">
        <v>33062064872</v>
      </c>
      <c r="B181" s="67" t="str">
        <f>VLOOKUP(Projeção[[#This Row],[Código]],BD_Produto[#All],6,FALSE)</f>
        <v>Fellowes, 225i, Motor 230V (207365)</v>
      </c>
      <c r="C181" s="132"/>
      <c r="D181" s="132"/>
      <c r="E181" s="132"/>
      <c r="F181" s="132"/>
      <c r="G181" s="132"/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3">
        <v>0</v>
      </c>
      <c r="O18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2" spans="1:15" ht="15" customHeight="1" x14ac:dyDescent="0.2">
      <c r="A182" s="15">
        <v>33062064873</v>
      </c>
      <c r="B182" s="67" t="str">
        <f>VLOOKUP(Projeção[[#This Row],[Código]],BD_Produto[#All],6,FALSE)</f>
        <v>Fellowes, 225i, PCI Ctl/LED 120V/230V (207327)</v>
      </c>
      <c r="C182" s="132"/>
      <c r="D182" s="132"/>
      <c r="E182" s="132"/>
      <c r="F182" s="132"/>
      <c r="G182" s="132"/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133">
        <v>0</v>
      </c>
      <c r="O18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3" spans="1:15" ht="15" customHeight="1" x14ac:dyDescent="0.2">
      <c r="A183" s="15">
        <v>33062064874</v>
      </c>
      <c r="B183" s="67" t="str">
        <f>VLOOKUP(Projeção[[#This Row],[Código]],BD_Produto[#All],6,FALSE)</f>
        <v>Fellowes, 225i, PCI Principal 120V (207404)</v>
      </c>
      <c r="C183" s="132"/>
      <c r="D183" s="132"/>
      <c r="E183" s="132"/>
      <c r="F183" s="132"/>
      <c r="G183" s="132"/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3">
        <v>0</v>
      </c>
      <c r="O18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4" spans="1:15" ht="15" customHeight="1" x14ac:dyDescent="0.2">
      <c r="A184" s="15">
        <v>33062064875</v>
      </c>
      <c r="B184" s="67" t="str">
        <f>VLOOKUP(Projeção[[#This Row],[Código]],BD_Produto[#All],6,FALSE)</f>
        <v>Fellowes, 225i, PCI Principal 230V, MFD 130807 ou antes (207400)</v>
      </c>
      <c r="C184" s="132"/>
      <c r="D184" s="132"/>
      <c r="E184" s="132"/>
      <c r="F184" s="132"/>
      <c r="G184" s="132"/>
      <c r="H184" s="132">
        <v>0</v>
      </c>
      <c r="I184" s="132">
        <v>0</v>
      </c>
      <c r="J184" s="132">
        <v>0</v>
      </c>
      <c r="K184" s="132">
        <v>0</v>
      </c>
      <c r="L184" s="132">
        <v>0</v>
      </c>
      <c r="M184" s="132">
        <v>0</v>
      </c>
      <c r="N184" s="133">
        <v>0</v>
      </c>
      <c r="O18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5" spans="1:15" ht="15" customHeight="1" x14ac:dyDescent="0.2">
      <c r="A185" s="15">
        <v>33062065034</v>
      </c>
      <c r="B185" s="67" t="str">
        <f>VLOOKUP(Projeção[[#This Row],[Código]],BD_Produto[#All],6,FALSE)</f>
        <v>Fellowes, 70S, Conjunto de Corte (207979)</v>
      </c>
      <c r="C185" s="132"/>
      <c r="D185" s="132"/>
      <c r="E185" s="132"/>
      <c r="F185" s="132"/>
      <c r="G185" s="132"/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>
        <v>0</v>
      </c>
      <c r="N185" s="133">
        <v>0</v>
      </c>
      <c r="O18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6" spans="1:15" ht="15" customHeight="1" x14ac:dyDescent="0.2">
      <c r="A186" s="15">
        <v>33062065035</v>
      </c>
      <c r="B186" s="67" t="str">
        <f>VLOOKUP(Projeção[[#This Row],[Código]],BD_Produto[#All],6,FALSE)</f>
        <v>Fellowes, 70S, Conjunto de Raspadores (207911)</v>
      </c>
      <c r="C186" s="132"/>
      <c r="D186" s="132"/>
      <c r="E186" s="132"/>
      <c r="F186" s="132"/>
      <c r="G186" s="132"/>
      <c r="H186" s="132">
        <v>0</v>
      </c>
      <c r="I186" s="132">
        <v>0</v>
      </c>
      <c r="J186" s="132">
        <v>0</v>
      </c>
      <c r="K186" s="132">
        <v>0</v>
      </c>
      <c r="L186" s="132">
        <v>0</v>
      </c>
      <c r="M186" s="132">
        <v>0</v>
      </c>
      <c r="N186" s="133">
        <v>0</v>
      </c>
      <c r="O18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7" spans="1:15" ht="15" customHeight="1" x14ac:dyDescent="0.2">
      <c r="A187" s="15">
        <v>33062065028</v>
      </c>
      <c r="B187" s="67" t="str">
        <f>VLOOKUP(Projeção[[#This Row],[Código]],BD_Produto[#All],6,FALSE)</f>
        <v>Fellowes, 70S, Engrenagem M de Sincronismo-eixo curto (207898)</v>
      </c>
      <c r="C187" s="132"/>
      <c r="D187" s="132"/>
      <c r="E187" s="132"/>
      <c r="F187" s="132"/>
      <c r="G187" s="132"/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3">
        <v>0</v>
      </c>
      <c r="O18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8" spans="1:15" ht="15" customHeight="1" x14ac:dyDescent="0.2">
      <c r="A188" s="15">
        <v>33062065027</v>
      </c>
      <c r="B188" s="67" t="str">
        <f>VLOOKUP(Projeção[[#This Row],[Código]],BD_Produto[#All],6,FALSE)</f>
        <v>Fellowes, 70S, Engrenagem M de Sincronismo-eixo longo (207897)</v>
      </c>
      <c r="C188" s="132"/>
      <c r="D188" s="132"/>
      <c r="E188" s="132"/>
      <c r="F188" s="132"/>
      <c r="G188" s="132"/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3">
        <v>0</v>
      </c>
      <c r="O18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89" spans="1:15" ht="15" customHeight="1" x14ac:dyDescent="0.2">
      <c r="A189" s="15">
        <v>33062065024</v>
      </c>
      <c r="B189" s="67" t="str">
        <f>VLOOKUP(Projeção[[#This Row],[Código]],BD_Produto[#All],6,FALSE)</f>
        <v>Fellowes, 70S, Engrenagem MP 1o. estágio (207894)</v>
      </c>
      <c r="C189" s="132"/>
      <c r="D189" s="132"/>
      <c r="E189" s="132"/>
      <c r="F189" s="132"/>
      <c r="G189" s="132"/>
      <c r="H189" s="132">
        <v>0</v>
      </c>
      <c r="I189" s="132">
        <v>0</v>
      </c>
      <c r="J189" s="132">
        <v>0</v>
      </c>
      <c r="K189" s="132">
        <v>0</v>
      </c>
      <c r="L189" s="132">
        <v>0</v>
      </c>
      <c r="M189" s="132">
        <v>0</v>
      </c>
      <c r="N189" s="133">
        <v>0</v>
      </c>
      <c r="O18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0" spans="1:15" ht="15" customHeight="1" x14ac:dyDescent="0.2">
      <c r="A190" s="15">
        <v>33062065025</v>
      </c>
      <c r="B190" s="67" t="str">
        <f>VLOOKUP(Projeção[[#This Row],[Código]],BD_Produto[#All],6,FALSE)</f>
        <v>Fellowes, 70S, Engrenagem MP 2o. estágio (207895)</v>
      </c>
      <c r="C190" s="132"/>
      <c r="D190" s="132"/>
      <c r="E190" s="132"/>
      <c r="F190" s="132"/>
      <c r="G190" s="132"/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2">
        <v>0</v>
      </c>
      <c r="N190" s="133">
        <v>0</v>
      </c>
      <c r="O19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1" spans="1:15" ht="15" customHeight="1" x14ac:dyDescent="0.2">
      <c r="A191" s="15">
        <v>33062065026</v>
      </c>
      <c r="B191" s="67" t="str">
        <f>VLOOKUP(Projeção[[#This Row],[Código]],BD_Produto[#All],6,FALSE)</f>
        <v>Fellowes, 70S, Engrenagem MP 3o. estágio (207896)</v>
      </c>
      <c r="C191" s="132"/>
      <c r="D191" s="132"/>
      <c r="E191" s="132"/>
      <c r="F191" s="132"/>
      <c r="G191" s="132"/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2">
        <v>0</v>
      </c>
      <c r="N191" s="133">
        <v>0</v>
      </c>
      <c r="O19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2" spans="1:15" ht="15" customHeight="1" x14ac:dyDescent="0.2">
      <c r="A192" s="15">
        <v>33062065030</v>
      </c>
      <c r="B192" s="67" t="str">
        <f>VLOOKUP(Projeção[[#This Row],[Código]],BD_Produto[#All],6,FALSE)</f>
        <v>Fellowes, 70S, Motor 120V (207899)</v>
      </c>
      <c r="C192" s="132"/>
      <c r="D192" s="132"/>
      <c r="E192" s="132"/>
      <c r="F192" s="132"/>
      <c r="G192" s="132"/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2">
        <v>0</v>
      </c>
      <c r="N192" s="133">
        <v>0</v>
      </c>
      <c r="O19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3" spans="1:15" ht="15" customHeight="1" x14ac:dyDescent="0.2">
      <c r="A193" s="15">
        <v>33062065031</v>
      </c>
      <c r="B193" s="67" t="str">
        <f>VLOOKUP(Projeção[[#This Row],[Código]],BD_Produto[#All],6,FALSE)</f>
        <v>Fellowes, 70S, Motor 230V (207900)</v>
      </c>
      <c r="C193" s="132"/>
      <c r="D193" s="132"/>
      <c r="E193" s="132"/>
      <c r="F193" s="132"/>
      <c r="G193" s="132"/>
      <c r="H193" s="132">
        <v>0</v>
      </c>
      <c r="I193" s="132">
        <v>0</v>
      </c>
      <c r="J193" s="132">
        <v>0</v>
      </c>
      <c r="K193" s="132">
        <v>0</v>
      </c>
      <c r="L193" s="132">
        <v>0</v>
      </c>
      <c r="M193" s="132">
        <v>0</v>
      </c>
      <c r="N193" s="133">
        <v>0</v>
      </c>
      <c r="O19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4" spans="1:15" ht="15" customHeight="1" x14ac:dyDescent="0.2">
      <c r="A194" s="15">
        <v>33062065032</v>
      </c>
      <c r="B194" s="67" t="str">
        <f>VLOOKUP(Projeção[[#This Row],[Código]],BD_Produto[#All],6,FALSE)</f>
        <v>Fellowes, 70S, PCI Principal 120V (207903)</v>
      </c>
      <c r="C194" s="132"/>
      <c r="D194" s="132"/>
      <c r="E194" s="132"/>
      <c r="F194" s="132"/>
      <c r="G194" s="132"/>
      <c r="H194" s="132">
        <v>0</v>
      </c>
      <c r="I194" s="132">
        <v>0</v>
      </c>
      <c r="J194" s="132">
        <v>0</v>
      </c>
      <c r="K194" s="132">
        <v>0</v>
      </c>
      <c r="L194" s="132">
        <v>0</v>
      </c>
      <c r="M194" s="132">
        <v>0</v>
      </c>
      <c r="N194" s="133">
        <v>0</v>
      </c>
      <c r="O19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5" spans="1:15" ht="15" customHeight="1" x14ac:dyDescent="0.2">
      <c r="A195" s="15">
        <v>33062065033</v>
      </c>
      <c r="B195" s="67" t="str">
        <f>VLOOKUP(Projeção[[#This Row],[Código]],BD_Produto[#All],6,FALSE)</f>
        <v>Fellowes, 70S, PCI Principal 230V (207904)</v>
      </c>
      <c r="C195" s="132"/>
      <c r="D195" s="132"/>
      <c r="E195" s="132"/>
      <c r="F195" s="132"/>
      <c r="G195" s="132"/>
      <c r="H195" s="132">
        <v>0</v>
      </c>
      <c r="I195" s="132">
        <v>0</v>
      </c>
      <c r="J195" s="132">
        <v>0</v>
      </c>
      <c r="K195" s="132">
        <v>0</v>
      </c>
      <c r="L195" s="132">
        <v>0</v>
      </c>
      <c r="M195" s="132">
        <v>0</v>
      </c>
      <c r="N195" s="133">
        <v>0</v>
      </c>
      <c r="O19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6" spans="1:15" ht="15" customHeight="1" x14ac:dyDescent="0.2">
      <c r="A196" s="15">
        <v>33062065029</v>
      </c>
      <c r="B196" s="67" t="str">
        <f>VLOOKUP(Projeção[[#This Row],[Código]],BD_Produto[#All],6,FALSE)</f>
        <v>Fellowes, 70S, Proteção da caixa de engrenagens (208086)</v>
      </c>
      <c r="C196" s="132"/>
      <c r="D196" s="132"/>
      <c r="E196" s="132"/>
      <c r="F196" s="132"/>
      <c r="G196" s="132"/>
      <c r="H196" s="132">
        <v>0</v>
      </c>
      <c r="I196" s="132">
        <v>0</v>
      </c>
      <c r="J196" s="132">
        <v>0</v>
      </c>
      <c r="K196" s="132">
        <v>0</v>
      </c>
      <c r="L196" s="132">
        <v>0</v>
      </c>
      <c r="M196" s="132">
        <v>0</v>
      </c>
      <c r="N196" s="133">
        <v>0</v>
      </c>
      <c r="O19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97" spans="1:15" ht="15" customHeight="1" x14ac:dyDescent="0.2">
      <c r="A197" s="15">
        <v>33062065036</v>
      </c>
      <c r="B197" s="67" t="str">
        <f>VLOOKUP(Projeção[[#This Row],[Código]],BD_Produto[#All],6,FALSE)</f>
        <v>Fellowes, 73Ci, 75Cs, Engrenagem MP 1o. estágio (207638)</v>
      </c>
      <c r="C197" s="132"/>
      <c r="D197" s="132"/>
      <c r="E197" s="132"/>
      <c r="F197" s="132"/>
      <c r="G197" s="132"/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2">
        <v>0</v>
      </c>
      <c r="N197" s="133">
        <v>0</v>
      </c>
      <c r="O19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198" spans="1:15" ht="15" customHeight="1" x14ac:dyDescent="0.2">
      <c r="A198" s="15">
        <v>33062065037</v>
      </c>
      <c r="B198" s="67" t="str">
        <f>VLOOKUP(Projeção[[#This Row],[Código]],BD_Produto[#All],6,FALSE)</f>
        <v>Fellowes, 73Ci, 75Cs, Engrenagem MP 2o. estágio (207639)</v>
      </c>
      <c r="C198" s="132"/>
      <c r="D198" s="132"/>
      <c r="E198" s="132"/>
      <c r="F198" s="132"/>
      <c r="G198" s="132"/>
      <c r="H198" s="132">
        <v>0</v>
      </c>
      <c r="I198" s="132">
        <v>0</v>
      </c>
      <c r="J198" s="132">
        <v>0</v>
      </c>
      <c r="K198" s="132">
        <v>0</v>
      </c>
      <c r="L198" s="132">
        <v>0</v>
      </c>
      <c r="M198" s="132">
        <v>0</v>
      </c>
      <c r="N198" s="133">
        <v>0</v>
      </c>
      <c r="O19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0.19999999999999998</v>
      </c>
    </row>
    <row r="199" spans="1:15" ht="15" customHeight="1" x14ac:dyDescent="0.2">
      <c r="A199" s="15">
        <v>33062065038</v>
      </c>
      <c r="B199" s="67" t="str">
        <f>VLOOKUP(Projeção[[#This Row],[Código]],BD_Produto[#All],6,FALSE)</f>
        <v>Fellowes, 73Ci, 75Cs, Engrenagem MP 3o. estágio (208067)</v>
      </c>
      <c r="C199" s="132"/>
      <c r="D199" s="132"/>
      <c r="E199" s="132"/>
      <c r="F199" s="132"/>
      <c r="G199" s="132"/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0</v>
      </c>
      <c r="N199" s="133">
        <v>0</v>
      </c>
      <c r="O19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0.19999999999999998</v>
      </c>
    </row>
    <row r="200" spans="1:15" ht="15" customHeight="1" x14ac:dyDescent="0.2">
      <c r="A200" s="15">
        <v>33062065041</v>
      </c>
      <c r="B200" s="67" t="str">
        <f>VLOOKUP(Projeção[[#This Row],[Código]],BD_Produto[#All],6,FALSE)</f>
        <v>Fellowes, 73Ci, 75Cs, Proteção da caixa de engrenagens (207641)</v>
      </c>
      <c r="C200" s="132"/>
      <c r="D200" s="132"/>
      <c r="E200" s="132"/>
      <c r="F200" s="132"/>
      <c r="G200" s="132"/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3">
        <v>0</v>
      </c>
      <c r="O20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1" spans="1:15" ht="15" customHeight="1" x14ac:dyDescent="0.2">
      <c r="A201" s="15">
        <v>33062065047</v>
      </c>
      <c r="B201" s="67" t="str">
        <f>VLOOKUP(Projeção[[#This Row],[Código]],BD_Produto[#All],6,FALSE)</f>
        <v>Fellowes, 73Ci, Conjunto de Corte (207637)</v>
      </c>
      <c r="C201" s="132"/>
      <c r="D201" s="132"/>
      <c r="E201" s="132"/>
      <c r="F201" s="132"/>
      <c r="G201" s="132"/>
      <c r="H201" s="132">
        <v>0</v>
      </c>
      <c r="I201" s="132">
        <v>0</v>
      </c>
      <c r="J201" s="132">
        <v>0</v>
      </c>
      <c r="K201" s="132">
        <v>0</v>
      </c>
      <c r="L201" s="132">
        <v>0</v>
      </c>
      <c r="M201" s="132">
        <v>0</v>
      </c>
      <c r="N201" s="133">
        <v>0</v>
      </c>
      <c r="O20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2" spans="1:15" ht="15" customHeight="1" x14ac:dyDescent="0.2">
      <c r="A202" s="15">
        <v>33062065049</v>
      </c>
      <c r="B202" s="67" t="str">
        <f>VLOOKUP(Projeção[[#This Row],[Código]],BD_Produto[#All],6,FALSE)</f>
        <v>Fellowes, 73Ci, Conjunto de Isolantes de Borracha (207748)</v>
      </c>
      <c r="C202" s="132"/>
      <c r="D202" s="132"/>
      <c r="E202" s="132"/>
      <c r="F202" s="132"/>
      <c r="G202" s="132"/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0</v>
      </c>
      <c r="N202" s="133">
        <v>0</v>
      </c>
      <c r="O20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3" spans="1:15" ht="15" customHeight="1" x14ac:dyDescent="0.2">
      <c r="A203" s="15">
        <v>33062065048</v>
      </c>
      <c r="B203" s="67" t="str">
        <f>VLOOKUP(Projeção[[#This Row],[Código]],BD_Produto[#All],6,FALSE)</f>
        <v>Fellowes, 73Ci, Conjunto de Raspadores (207738)</v>
      </c>
      <c r="C203" s="132"/>
      <c r="D203" s="132"/>
      <c r="E203" s="132"/>
      <c r="F203" s="132"/>
      <c r="G203" s="132"/>
      <c r="H203" s="132">
        <v>0</v>
      </c>
      <c r="I203" s="132">
        <v>0</v>
      </c>
      <c r="J203" s="132">
        <v>0</v>
      </c>
      <c r="K203" s="132">
        <v>0</v>
      </c>
      <c r="L203" s="132">
        <v>0</v>
      </c>
      <c r="M203" s="132">
        <v>0</v>
      </c>
      <c r="N203" s="133">
        <v>0</v>
      </c>
      <c r="O20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4" spans="1:15" ht="15" customHeight="1" x14ac:dyDescent="0.2">
      <c r="A204" s="15">
        <v>33062065042</v>
      </c>
      <c r="B204" s="67" t="str">
        <f>VLOOKUP(Projeção[[#This Row],[Código]],BD_Produto[#All],6,FALSE)</f>
        <v>Fellowes, 73Ci, Motor 120V (207631)</v>
      </c>
      <c r="C204" s="132"/>
      <c r="D204" s="132"/>
      <c r="E204" s="132"/>
      <c r="F204" s="132"/>
      <c r="G204" s="132"/>
      <c r="H204" s="132">
        <v>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3">
        <v>0</v>
      </c>
      <c r="O20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5" spans="1:15" ht="15" customHeight="1" x14ac:dyDescent="0.2">
      <c r="A205" s="15">
        <v>33062065043</v>
      </c>
      <c r="B205" s="67" t="str">
        <f>VLOOKUP(Projeção[[#This Row],[Código]],BD_Produto[#All],6,FALSE)</f>
        <v>Fellowes, 73Ci, Motor 230V (207630)</v>
      </c>
      <c r="C205" s="132"/>
      <c r="D205" s="132"/>
      <c r="E205" s="132"/>
      <c r="F205" s="132"/>
      <c r="G205" s="132"/>
      <c r="H205" s="132">
        <v>0</v>
      </c>
      <c r="I205" s="132">
        <v>0</v>
      </c>
      <c r="J205" s="132">
        <v>0</v>
      </c>
      <c r="K205" s="132">
        <v>0</v>
      </c>
      <c r="L205" s="132">
        <v>0</v>
      </c>
      <c r="M205" s="132">
        <v>0</v>
      </c>
      <c r="N205" s="133">
        <v>0</v>
      </c>
      <c r="O20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6" spans="1:15" ht="15" customHeight="1" x14ac:dyDescent="0.2">
      <c r="A206" s="15">
        <v>33062065044</v>
      </c>
      <c r="B206" s="67" t="str">
        <f>VLOOKUP(Projeção[[#This Row],[Código]],BD_Produto[#All],6,FALSE)</f>
        <v>Fellowes, 73Ci, PCI Principal (207632)</v>
      </c>
      <c r="C206" s="132"/>
      <c r="D206" s="132"/>
      <c r="E206" s="132"/>
      <c r="F206" s="132"/>
      <c r="G206" s="132"/>
      <c r="H206" s="132">
        <v>0</v>
      </c>
      <c r="I206" s="132">
        <v>0</v>
      </c>
      <c r="J206" s="132">
        <v>0</v>
      </c>
      <c r="K206" s="132">
        <v>0</v>
      </c>
      <c r="L206" s="132">
        <v>0</v>
      </c>
      <c r="M206" s="132">
        <v>0</v>
      </c>
      <c r="N206" s="133">
        <v>0</v>
      </c>
      <c r="O20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7" spans="1:15" ht="15" customHeight="1" x14ac:dyDescent="0.2">
      <c r="A207" s="15">
        <v>33062065046</v>
      </c>
      <c r="B207" s="67" t="str">
        <f>VLOOKUP(Projeção[[#This Row],[Código]],BD_Produto[#All],6,FALSE)</f>
        <v>Fellowes, 73Ci, Sensor IR de Presença (207642)</v>
      </c>
      <c r="C207" s="132"/>
      <c r="D207" s="132"/>
      <c r="E207" s="132"/>
      <c r="F207" s="132"/>
      <c r="G207" s="132"/>
      <c r="H207" s="132">
        <v>0</v>
      </c>
      <c r="I207" s="132">
        <v>0</v>
      </c>
      <c r="J207" s="132">
        <v>0</v>
      </c>
      <c r="K207" s="132">
        <v>0</v>
      </c>
      <c r="L207" s="132">
        <v>0</v>
      </c>
      <c r="M207" s="132">
        <v>0</v>
      </c>
      <c r="N207" s="133">
        <v>0</v>
      </c>
      <c r="O20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8" spans="1:15" ht="15" customHeight="1" x14ac:dyDescent="0.2">
      <c r="A208" s="15">
        <v>33062065054</v>
      </c>
      <c r="B208" s="67" t="str">
        <f>VLOOKUP(Projeção[[#This Row],[Código]],BD_Produto[#All],6,FALSE)</f>
        <v>Fellowes, 75Cs, Conjunto de Corte (208060)</v>
      </c>
      <c r="C208" s="132"/>
      <c r="D208" s="132"/>
      <c r="E208" s="132"/>
      <c r="F208" s="132"/>
      <c r="G208" s="132"/>
      <c r="H208" s="132">
        <v>0</v>
      </c>
      <c r="I208" s="132">
        <v>0</v>
      </c>
      <c r="J208" s="132">
        <v>0</v>
      </c>
      <c r="K208" s="132">
        <v>0</v>
      </c>
      <c r="L208" s="132">
        <v>0</v>
      </c>
      <c r="M208" s="132">
        <v>0</v>
      </c>
      <c r="N208" s="133">
        <v>0</v>
      </c>
      <c r="O20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09" spans="1:15" ht="15" customHeight="1" x14ac:dyDescent="0.2">
      <c r="A209" s="15">
        <v>33062065055</v>
      </c>
      <c r="B209" s="67" t="str">
        <f>VLOOKUP(Projeção[[#This Row],[Código]],BD_Produto[#All],6,FALSE)</f>
        <v>Fellowes, 75Cs, Conjunto de Raspadores (207504)</v>
      </c>
      <c r="C209" s="132"/>
      <c r="D209" s="132"/>
      <c r="E209" s="132"/>
      <c r="F209" s="132"/>
      <c r="G209" s="132"/>
      <c r="H209" s="132">
        <v>0</v>
      </c>
      <c r="I209" s="132">
        <v>0</v>
      </c>
      <c r="J209" s="132">
        <v>0</v>
      </c>
      <c r="K209" s="132">
        <v>0</v>
      </c>
      <c r="L209" s="132">
        <v>0</v>
      </c>
      <c r="M209" s="132">
        <v>0</v>
      </c>
      <c r="N209" s="133">
        <v>0</v>
      </c>
      <c r="O20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0" spans="1:15" ht="15" customHeight="1" x14ac:dyDescent="0.2">
      <c r="A210" s="15">
        <v>33062065089</v>
      </c>
      <c r="B210" s="67" t="str">
        <f>VLOOKUP(Projeção[[#This Row],[Código]],BD_Produto[#All],6,FALSE)</f>
        <v>Fellowes, 75Cs, Engrenagem M de Sincronismo-eixo curto MFD 130528 ou antes (207488)</v>
      </c>
      <c r="C210" s="132"/>
      <c r="D210" s="132"/>
      <c r="E210" s="132"/>
      <c r="F210" s="132"/>
      <c r="G210" s="132"/>
      <c r="H210" s="132">
        <v>0</v>
      </c>
      <c r="I210" s="132">
        <v>0</v>
      </c>
      <c r="J210" s="132">
        <v>0</v>
      </c>
      <c r="K210" s="132">
        <v>0</v>
      </c>
      <c r="L210" s="132">
        <v>0</v>
      </c>
      <c r="M210" s="132">
        <v>0</v>
      </c>
      <c r="N210" s="133">
        <v>0</v>
      </c>
      <c r="O21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1" spans="1:15" ht="15" customHeight="1" x14ac:dyDescent="0.2">
      <c r="A211" s="15">
        <v>33062065088</v>
      </c>
      <c r="B211" s="67" t="str">
        <f>VLOOKUP(Projeção[[#This Row],[Código]],BD_Produto[#All],6,FALSE)</f>
        <v>Fellowes, 75Cs, Engrenagem M de Sincronismo-eixo longo MFD 130528 ou antes (207487)</v>
      </c>
      <c r="C211" s="132"/>
      <c r="D211" s="132"/>
      <c r="E211" s="132"/>
      <c r="F211" s="132"/>
      <c r="G211" s="132"/>
      <c r="H211" s="132">
        <v>0</v>
      </c>
      <c r="I211" s="132">
        <v>0</v>
      </c>
      <c r="J211" s="132">
        <v>0</v>
      </c>
      <c r="K211" s="132">
        <v>0</v>
      </c>
      <c r="L211" s="132">
        <v>0</v>
      </c>
      <c r="M211" s="132">
        <v>0</v>
      </c>
      <c r="N211" s="133">
        <v>0</v>
      </c>
      <c r="O21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2" spans="1:15" ht="15" customHeight="1" x14ac:dyDescent="0.2">
      <c r="A212" s="15">
        <v>33062065085</v>
      </c>
      <c r="B212" s="67" t="str">
        <f>VLOOKUP(Projeção[[#This Row],[Código]],BD_Produto[#All],6,FALSE)</f>
        <v>Fellowes, 75Cs, Engrenagem MP 1o. Estágio MFD 130528 ou antes (207484)</v>
      </c>
      <c r="C212" s="132"/>
      <c r="D212" s="132"/>
      <c r="E212" s="132"/>
      <c r="F212" s="132"/>
      <c r="G212" s="132"/>
      <c r="H212" s="132">
        <v>0</v>
      </c>
      <c r="I212" s="132">
        <v>0</v>
      </c>
      <c r="J212" s="132">
        <v>0</v>
      </c>
      <c r="K212" s="132">
        <v>0</v>
      </c>
      <c r="L212" s="132">
        <v>0</v>
      </c>
      <c r="M212" s="132">
        <v>0</v>
      </c>
      <c r="N212" s="133">
        <v>0</v>
      </c>
      <c r="O21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3" spans="1:15" ht="15" customHeight="1" x14ac:dyDescent="0.2">
      <c r="A213" s="15">
        <v>33062065086</v>
      </c>
      <c r="B213" s="67" t="str">
        <f>VLOOKUP(Projeção[[#This Row],[Código]],BD_Produto[#All],6,FALSE)</f>
        <v>Fellowes, 75Cs, Engrenagem MP 2o. estágio MFD 130528 ou antes (207485)</v>
      </c>
      <c r="C213" s="132"/>
      <c r="D213" s="132"/>
      <c r="E213" s="132"/>
      <c r="F213" s="132"/>
      <c r="G213" s="132"/>
      <c r="H213" s="132">
        <v>0</v>
      </c>
      <c r="I213" s="132">
        <v>0</v>
      </c>
      <c r="J213" s="132">
        <v>0</v>
      </c>
      <c r="K213" s="132">
        <v>0</v>
      </c>
      <c r="L213" s="132">
        <v>0</v>
      </c>
      <c r="M213" s="132">
        <v>0</v>
      </c>
      <c r="N213" s="133">
        <v>0</v>
      </c>
      <c r="O21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4" spans="1:15" ht="15" customHeight="1" x14ac:dyDescent="0.2">
      <c r="A214" s="15">
        <v>33062065087</v>
      </c>
      <c r="B214" s="67" t="str">
        <f>VLOOKUP(Projeção[[#This Row],[Código]],BD_Produto[#All],6,FALSE)</f>
        <v>Fellowes, 75Cs, Engrenagem MP 3o. estágio MFD 130528 ou antes (207486)</v>
      </c>
      <c r="C214" s="132"/>
      <c r="D214" s="132"/>
      <c r="E214" s="132"/>
      <c r="F214" s="132"/>
      <c r="G214" s="132"/>
      <c r="H214" s="132">
        <v>0</v>
      </c>
      <c r="I214" s="132">
        <v>0</v>
      </c>
      <c r="J214" s="132">
        <v>0</v>
      </c>
      <c r="K214" s="132">
        <v>0</v>
      </c>
      <c r="L214" s="132">
        <v>0</v>
      </c>
      <c r="M214" s="132">
        <v>0</v>
      </c>
      <c r="N214" s="133">
        <v>0</v>
      </c>
      <c r="O21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5" spans="1:15" ht="15" customHeight="1" x14ac:dyDescent="0.2">
      <c r="A215" s="15">
        <v>33062065050</v>
      </c>
      <c r="B215" s="67" t="str">
        <f>VLOOKUP(Projeção[[#This Row],[Código]],BD_Produto[#All],6,FALSE)</f>
        <v>Fellowes, 75Cs, Motor 120V (207483)</v>
      </c>
      <c r="C215" s="132"/>
      <c r="D215" s="132"/>
      <c r="E215" s="132"/>
      <c r="F215" s="132"/>
      <c r="G215" s="132"/>
      <c r="H215" s="132">
        <v>0</v>
      </c>
      <c r="I215" s="132">
        <v>0</v>
      </c>
      <c r="J215" s="132">
        <v>0</v>
      </c>
      <c r="K215" s="132">
        <v>0</v>
      </c>
      <c r="L215" s="132">
        <v>0</v>
      </c>
      <c r="M215" s="132">
        <v>0</v>
      </c>
      <c r="N215" s="133">
        <v>0</v>
      </c>
      <c r="O21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6" spans="1:15" ht="15" customHeight="1" x14ac:dyDescent="0.2">
      <c r="A216" s="15">
        <v>33062065051</v>
      </c>
      <c r="B216" s="67" t="str">
        <f>VLOOKUP(Projeção[[#This Row],[Código]],BD_Produto[#All],6,FALSE)</f>
        <v>Fellowes, 75Cs, Motor 230V (207494)</v>
      </c>
      <c r="C216" s="132"/>
      <c r="D216" s="132"/>
      <c r="E216" s="132"/>
      <c r="F216" s="132"/>
      <c r="G216" s="132"/>
      <c r="H216" s="132">
        <v>0</v>
      </c>
      <c r="I216" s="132">
        <v>0</v>
      </c>
      <c r="J216" s="132">
        <v>0</v>
      </c>
      <c r="K216" s="132">
        <v>0</v>
      </c>
      <c r="L216" s="132">
        <v>0</v>
      </c>
      <c r="M216" s="132">
        <v>0</v>
      </c>
      <c r="N216" s="133">
        <v>0</v>
      </c>
      <c r="O21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7" spans="1:15" ht="15" customHeight="1" x14ac:dyDescent="0.2">
      <c r="A217" s="15">
        <v>33062065052</v>
      </c>
      <c r="B217" s="67" t="str">
        <f>VLOOKUP(Projeção[[#This Row],[Código]],BD_Produto[#All],6,FALSE)</f>
        <v>Fellowes, 75Cs, PCI Principal 120V (207620)</v>
      </c>
      <c r="C217" s="132"/>
      <c r="D217" s="132"/>
      <c r="E217" s="132"/>
      <c r="F217" s="132"/>
      <c r="G217" s="132"/>
      <c r="H217" s="132">
        <v>0</v>
      </c>
      <c r="I217" s="132">
        <v>0</v>
      </c>
      <c r="J217" s="132">
        <v>0</v>
      </c>
      <c r="K217" s="132">
        <v>0</v>
      </c>
      <c r="L217" s="132">
        <v>0</v>
      </c>
      <c r="M217" s="132">
        <v>0</v>
      </c>
      <c r="N217" s="133">
        <v>0</v>
      </c>
      <c r="O21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8" spans="1:15" ht="15" customHeight="1" x14ac:dyDescent="0.2">
      <c r="A218" s="15">
        <v>33062065053</v>
      </c>
      <c r="B218" s="67" t="str">
        <f>VLOOKUP(Projeção[[#This Row],[Código]],BD_Produto[#All],6,FALSE)</f>
        <v>Fellowes, 75Cs, PCI Principal 230V (207621)</v>
      </c>
      <c r="C218" s="132"/>
      <c r="D218" s="132"/>
      <c r="E218" s="132"/>
      <c r="F218" s="132"/>
      <c r="G218" s="132"/>
      <c r="H218" s="132">
        <v>0</v>
      </c>
      <c r="I218" s="132">
        <v>0</v>
      </c>
      <c r="J218" s="132">
        <v>0</v>
      </c>
      <c r="K218" s="132">
        <v>0</v>
      </c>
      <c r="L218" s="132">
        <v>0</v>
      </c>
      <c r="M218" s="132">
        <v>0</v>
      </c>
      <c r="N218" s="133">
        <v>0</v>
      </c>
      <c r="O21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19" spans="1:15" ht="15" customHeight="1" x14ac:dyDescent="0.2">
      <c r="A219" s="15">
        <v>33062065090</v>
      </c>
      <c r="B219" s="67" t="str">
        <f>VLOOKUP(Projeção[[#This Row],[Código]],BD_Produto[#All],6,FALSE)</f>
        <v>Fellowes, 75Cs, Proteção da caixa de engrenagens MFD 130528 ou antes (207489)</v>
      </c>
      <c r="C219" s="132"/>
      <c r="D219" s="132"/>
      <c r="E219" s="132"/>
      <c r="F219" s="132"/>
      <c r="G219" s="132"/>
      <c r="H219" s="132">
        <v>0</v>
      </c>
      <c r="I219" s="132">
        <v>0</v>
      </c>
      <c r="J219" s="132">
        <v>0</v>
      </c>
      <c r="K219" s="132">
        <v>0</v>
      </c>
      <c r="L219" s="132">
        <v>0</v>
      </c>
      <c r="M219" s="132">
        <v>0</v>
      </c>
      <c r="N219" s="133">
        <v>0</v>
      </c>
      <c r="O21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0" spans="1:15" ht="15" customHeight="1" x14ac:dyDescent="0.2">
      <c r="A220" s="15">
        <v>33062065040</v>
      </c>
      <c r="B220" s="67" t="str">
        <f>VLOOKUP(Projeção[[#This Row],[Código]],BD_Produto[#All],6,FALSE)</f>
        <v>Fellowes, 79Ci, 73Ci, 75Cs, Engrenagem M de Sincronismo-eixo curto (207238)</v>
      </c>
      <c r="C220" s="132"/>
      <c r="D220" s="132"/>
      <c r="E220" s="132"/>
      <c r="F220" s="132"/>
      <c r="G220" s="132"/>
      <c r="H220" s="132">
        <v>0</v>
      </c>
      <c r="I220" s="132">
        <v>0</v>
      </c>
      <c r="J220" s="132">
        <v>0</v>
      </c>
      <c r="K220" s="132">
        <v>0</v>
      </c>
      <c r="L220" s="132">
        <v>0</v>
      </c>
      <c r="M220" s="132">
        <v>0</v>
      </c>
      <c r="N220" s="133">
        <v>0</v>
      </c>
      <c r="O22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1" spans="1:15" ht="15" customHeight="1" x14ac:dyDescent="0.2">
      <c r="A221" s="15">
        <v>33062065039</v>
      </c>
      <c r="B221" s="67" t="str">
        <f>VLOOKUP(Projeção[[#This Row],[Código]],BD_Produto[#All],6,FALSE)</f>
        <v>Fellowes, 79Ci, 73Ci, 75Cs, Engrenagem M de Sincronismo-eixo longo (207237)</v>
      </c>
      <c r="C221" s="132"/>
      <c r="D221" s="132"/>
      <c r="E221" s="132"/>
      <c r="F221" s="132"/>
      <c r="G221" s="132"/>
      <c r="H221" s="132">
        <v>0</v>
      </c>
      <c r="I221" s="132">
        <v>0</v>
      </c>
      <c r="J221" s="132">
        <v>0</v>
      </c>
      <c r="K221" s="132">
        <v>0</v>
      </c>
      <c r="L221" s="132">
        <v>0</v>
      </c>
      <c r="M221" s="132">
        <v>0</v>
      </c>
      <c r="N221" s="133">
        <v>0</v>
      </c>
      <c r="O22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2" spans="1:15" ht="15" customHeight="1" x14ac:dyDescent="0.2">
      <c r="A222" s="15">
        <v>33062065045</v>
      </c>
      <c r="B222" s="67" t="str">
        <f>VLOOKUP(Projeção[[#This Row],[Código]],BD_Produto[#All],6,FALSE)</f>
        <v>Fellowes, 79Ci, 73Ci, Módulo Anti Travamento (207233)</v>
      </c>
      <c r="C222" s="132"/>
      <c r="D222" s="132"/>
      <c r="E222" s="132"/>
      <c r="F222" s="132"/>
      <c r="G222" s="132"/>
      <c r="H222" s="132">
        <v>0</v>
      </c>
      <c r="I222" s="132">
        <v>0</v>
      </c>
      <c r="J222" s="132">
        <v>0</v>
      </c>
      <c r="K222" s="132">
        <v>0</v>
      </c>
      <c r="L222" s="132">
        <v>0</v>
      </c>
      <c r="M222" s="132">
        <v>0</v>
      </c>
      <c r="N222" s="133">
        <v>0</v>
      </c>
      <c r="O22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3" spans="1:15" ht="15" customHeight="1" x14ac:dyDescent="0.2">
      <c r="A223" s="15">
        <v>33062065021</v>
      </c>
      <c r="B223" s="67" t="str">
        <f>VLOOKUP(Projeção[[#This Row],[Código]],BD_Produto[#All],6,FALSE)</f>
        <v>Fellowes, 79Ci, Conjunto de Corte (207242)</v>
      </c>
      <c r="C223" s="132"/>
      <c r="D223" s="132"/>
      <c r="E223" s="132"/>
      <c r="F223" s="132"/>
      <c r="G223" s="132"/>
      <c r="H223" s="132">
        <v>0</v>
      </c>
      <c r="I223" s="132">
        <v>0</v>
      </c>
      <c r="J223" s="132">
        <v>0</v>
      </c>
      <c r="K223" s="132">
        <v>0</v>
      </c>
      <c r="L223" s="132">
        <v>0</v>
      </c>
      <c r="M223" s="132">
        <v>0</v>
      </c>
      <c r="N223" s="133">
        <v>0</v>
      </c>
      <c r="O22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4" spans="1:15" ht="15" customHeight="1" x14ac:dyDescent="0.2">
      <c r="A224" s="15">
        <v>33062065023</v>
      </c>
      <c r="B224" s="67" t="str">
        <f>VLOOKUP(Projeção[[#This Row],[Código]],BD_Produto[#All],6,FALSE)</f>
        <v>Fellowes, 79Ci, Conjunto de Isolantes de Borracha (207378)</v>
      </c>
      <c r="C224" s="132"/>
      <c r="D224" s="132"/>
      <c r="E224" s="132"/>
      <c r="F224" s="132"/>
      <c r="G224" s="132"/>
      <c r="H224" s="132">
        <v>0</v>
      </c>
      <c r="I224" s="132">
        <v>0</v>
      </c>
      <c r="J224" s="132">
        <v>0</v>
      </c>
      <c r="K224" s="132">
        <v>0</v>
      </c>
      <c r="L224" s="132">
        <v>0</v>
      </c>
      <c r="M224" s="132">
        <v>0</v>
      </c>
      <c r="N224" s="133">
        <v>0</v>
      </c>
      <c r="O22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5" spans="1:15" ht="15" customHeight="1" x14ac:dyDescent="0.2">
      <c r="A225" s="15">
        <v>33062065022</v>
      </c>
      <c r="B225" s="67" t="str">
        <f>VLOOKUP(Projeção[[#This Row],[Código]],BD_Produto[#All],6,FALSE)</f>
        <v>Fellowes, 79Ci, Conjunto de Raspadores (207370)</v>
      </c>
      <c r="C225" s="132"/>
      <c r="D225" s="132"/>
      <c r="E225" s="132"/>
      <c r="F225" s="132"/>
      <c r="G225" s="132"/>
      <c r="H225" s="132">
        <v>0</v>
      </c>
      <c r="I225" s="132">
        <v>0</v>
      </c>
      <c r="J225" s="132">
        <v>0</v>
      </c>
      <c r="K225" s="132">
        <v>0</v>
      </c>
      <c r="L225" s="132">
        <v>0</v>
      </c>
      <c r="M225" s="132">
        <v>0</v>
      </c>
      <c r="N225" s="133">
        <v>0</v>
      </c>
      <c r="O22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6" spans="1:15" ht="15" customHeight="1" x14ac:dyDescent="0.2">
      <c r="A226" s="15">
        <v>33062064884</v>
      </c>
      <c r="B226" s="68" t="str">
        <f>VLOOKUP(Projeção[[#This Row],[Código]],BD_Produto[#All],6,FALSE)</f>
        <v>Fellowes, 79Ci, Engrenagem MP 1o. estágio (207234)</v>
      </c>
      <c r="C226" s="132"/>
      <c r="D226" s="132"/>
      <c r="E226" s="132"/>
      <c r="F226" s="132"/>
      <c r="G226" s="132"/>
      <c r="H226" s="132">
        <v>3.3333333333333333E-2</v>
      </c>
      <c r="I226" s="132">
        <v>3.3333333333333333E-2</v>
      </c>
      <c r="J226" s="132">
        <v>3.3333333333333333E-2</v>
      </c>
      <c r="K226" s="132">
        <v>3.3333333333333333E-2</v>
      </c>
      <c r="L226" s="132">
        <v>3.3333333333333333E-2</v>
      </c>
      <c r="M226" s="132">
        <v>3.3333333333333333E-2</v>
      </c>
      <c r="N226" s="133">
        <v>3.3333333333333333E-2</v>
      </c>
      <c r="O22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7" spans="1:15" ht="15" customHeight="1" x14ac:dyDescent="0.2">
      <c r="A227" s="15">
        <v>33062064885</v>
      </c>
      <c r="B227" s="68" t="str">
        <f>VLOOKUP(Projeção[[#This Row],[Código]],BD_Produto[#All],6,FALSE)</f>
        <v>Fellowes, 79Ci, Engrenagem MP 2o. estágio (207235)</v>
      </c>
      <c r="C227" s="132"/>
      <c r="D227" s="132"/>
      <c r="E227" s="132"/>
      <c r="F227" s="132"/>
      <c r="G227" s="132"/>
      <c r="H227" s="132">
        <v>0.19999999999999998</v>
      </c>
      <c r="I227" s="132">
        <v>0.19999999999999998</v>
      </c>
      <c r="J227" s="132">
        <v>0.19999999999999998</v>
      </c>
      <c r="K227" s="132">
        <v>0.19999999999999998</v>
      </c>
      <c r="L227" s="132">
        <v>6.6666666666666666E-2</v>
      </c>
      <c r="M227" s="132">
        <v>0.13333333333333333</v>
      </c>
      <c r="N227" s="133">
        <v>0.13333333333333333</v>
      </c>
      <c r="O22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28" spans="1:15" ht="15" customHeight="1" x14ac:dyDescent="0.2">
      <c r="A228" s="15">
        <v>33062064886</v>
      </c>
      <c r="B228" s="68" t="str">
        <f>VLOOKUP(Projeção[[#This Row],[Código]],BD_Produto[#All],6,FALSE)</f>
        <v>Fellowes, 79Ci, Engrenagem MP 3o. estágio (207236)</v>
      </c>
      <c r="C228" s="132"/>
      <c r="D228" s="132"/>
      <c r="E228" s="132"/>
      <c r="F228" s="132"/>
      <c r="G228" s="132"/>
      <c r="H228" s="132">
        <v>0.23333333333333328</v>
      </c>
      <c r="I228" s="132">
        <v>0.23333333333333328</v>
      </c>
      <c r="J228" s="132">
        <v>0.23333333333333328</v>
      </c>
      <c r="K228" s="132">
        <v>0.23333333333333328</v>
      </c>
      <c r="L228" s="132">
        <v>9.9999999999999992E-2</v>
      </c>
      <c r="M228" s="132">
        <v>1.5666666666666667</v>
      </c>
      <c r="N228" s="133">
        <v>1.5666666666666667</v>
      </c>
      <c r="O22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0.19999999999999998</v>
      </c>
    </row>
    <row r="229" spans="1:15" ht="15" customHeight="1" x14ac:dyDescent="0.2">
      <c r="A229" s="15">
        <v>33062064876</v>
      </c>
      <c r="B229" s="68" t="str">
        <f>VLOOKUP(Projeção[[#This Row],[Código]],BD_Produto[#All],6,FALSE)</f>
        <v>Fellowes, 79Ci, Motor 120V, MFD 130128 ou antes (207228)</v>
      </c>
      <c r="C229" s="132"/>
      <c r="D229" s="132"/>
      <c r="E229" s="132"/>
      <c r="F229" s="132"/>
      <c r="G229" s="132"/>
      <c r="H229" s="132">
        <v>0</v>
      </c>
      <c r="I229" s="132">
        <v>0</v>
      </c>
      <c r="J229" s="132">
        <v>0</v>
      </c>
      <c r="K229" s="132">
        <v>0</v>
      </c>
      <c r="L229" s="132">
        <v>0</v>
      </c>
      <c r="M229" s="132">
        <v>0</v>
      </c>
      <c r="N229" s="133">
        <v>0</v>
      </c>
      <c r="O22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0" spans="1:15" ht="15" customHeight="1" x14ac:dyDescent="0.2">
      <c r="A230" s="15">
        <v>33062064877</v>
      </c>
      <c r="B230" s="68" t="str">
        <f>VLOOKUP(Projeção[[#This Row],[Código]],BD_Produto[#All],6,FALSE)</f>
        <v>Fellowes, 79Ci, Motor 120V, MFD 130911 ou depois (207991)</v>
      </c>
      <c r="C230" s="132"/>
      <c r="D230" s="132"/>
      <c r="E230" s="132"/>
      <c r="F230" s="132"/>
      <c r="G230" s="132"/>
      <c r="H230" s="132">
        <v>0</v>
      </c>
      <c r="I230" s="132">
        <v>0</v>
      </c>
      <c r="J230" s="132">
        <v>0</v>
      </c>
      <c r="K230" s="132">
        <v>0</v>
      </c>
      <c r="L230" s="132">
        <v>0</v>
      </c>
      <c r="M230" s="132">
        <v>0</v>
      </c>
      <c r="N230" s="133">
        <v>0</v>
      </c>
      <c r="O23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1" spans="1:15" ht="15" customHeight="1" x14ac:dyDescent="0.2">
      <c r="A231" s="15">
        <v>33062064878</v>
      </c>
      <c r="B231" s="68" t="str">
        <f>VLOOKUP(Projeção[[#This Row],[Código]],BD_Produto[#All],6,FALSE)</f>
        <v>Fellowes, 79Ci, Motor 230V, MFD 130128 ou antes (207272)</v>
      </c>
      <c r="C231" s="132"/>
      <c r="D231" s="132"/>
      <c r="E231" s="132"/>
      <c r="F231" s="132"/>
      <c r="G231" s="132"/>
      <c r="H231" s="132">
        <v>0</v>
      </c>
      <c r="I231" s="132">
        <v>0</v>
      </c>
      <c r="J231" s="132">
        <v>0</v>
      </c>
      <c r="K231" s="132">
        <v>0</v>
      </c>
      <c r="L231" s="132">
        <v>0</v>
      </c>
      <c r="M231" s="132">
        <v>0</v>
      </c>
      <c r="N231" s="133">
        <v>0</v>
      </c>
      <c r="O23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2" spans="1:15" ht="15" customHeight="1" x14ac:dyDescent="0.2">
      <c r="A232" s="15">
        <v>33062064879</v>
      </c>
      <c r="B232" s="68" t="str">
        <f>VLOOKUP(Projeção[[#This Row],[Código]],BD_Produto[#All],6,FALSE)</f>
        <v>Fellowes, 79Ci, Motor 230V, MFD 130911 ou depois (207994)</v>
      </c>
      <c r="C232" s="132"/>
      <c r="D232" s="132"/>
      <c r="E232" s="132"/>
      <c r="F232" s="132"/>
      <c r="G232" s="132"/>
      <c r="H232" s="132">
        <v>0</v>
      </c>
      <c r="I232" s="132">
        <v>0</v>
      </c>
      <c r="J232" s="132">
        <v>0</v>
      </c>
      <c r="K232" s="132">
        <v>0</v>
      </c>
      <c r="L232" s="132">
        <v>0</v>
      </c>
      <c r="M232" s="132">
        <v>0</v>
      </c>
      <c r="N232" s="133">
        <v>0</v>
      </c>
      <c r="O23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3" spans="1:15" ht="15" customHeight="1" x14ac:dyDescent="0.2">
      <c r="A233" s="15">
        <v>33062064880</v>
      </c>
      <c r="B233" s="68" t="str">
        <f>VLOOKUP(Projeção[[#This Row],[Código]],BD_Produto[#All],6,FALSE)</f>
        <v>Fellowes, 79Ci, PCI Principal 120V, MFD 130128 ou antes (207227)</v>
      </c>
      <c r="C233" s="132"/>
      <c r="D233" s="132"/>
      <c r="E233" s="132"/>
      <c r="F233" s="132"/>
      <c r="G233" s="132"/>
      <c r="H233" s="132">
        <v>0</v>
      </c>
      <c r="I233" s="132">
        <v>0</v>
      </c>
      <c r="J233" s="132">
        <v>0</v>
      </c>
      <c r="K233" s="132">
        <v>0</v>
      </c>
      <c r="L233" s="132">
        <v>0</v>
      </c>
      <c r="M233" s="132">
        <v>0</v>
      </c>
      <c r="N233" s="133">
        <v>0</v>
      </c>
      <c r="O23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234" spans="1:15" ht="15" customHeight="1" x14ac:dyDescent="0.2">
      <c r="A234" s="15">
        <v>33062064881</v>
      </c>
      <c r="B234" s="68" t="str">
        <f>VLOOKUP(Projeção[[#This Row],[Código]],BD_Produto[#All],6,FALSE)</f>
        <v>Fellowes, 79Ci, PCI Principal 120V, MFD 130911 ou depois (207985)</v>
      </c>
      <c r="C234" s="132"/>
      <c r="D234" s="132"/>
      <c r="E234" s="132"/>
      <c r="F234" s="132"/>
      <c r="G234" s="132"/>
      <c r="H234" s="132">
        <v>0</v>
      </c>
      <c r="I234" s="132">
        <v>0</v>
      </c>
      <c r="J234" s="132">
        <v>0</v>
      </c>
      <c r="K234" s="132">
        <v>0</v>
      </c>
      <c r="L234" s="132">
        <v>0</v>
      </c>
      <c r="M234" s="132">
        <v>0</v>
      </c>
      <c r="N234" s="133">
        <v>0</v>
      </c>
      <c r="O23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5" spans="1:15" ht="15" customHeight="1" x14ac:dyDescent="0.2">
      <c r="A235" s="15">
        <v>33062064882</v>
      </c>
      <c r="B235" s="68" t="str">
        <f>VLOOKUP(Projeção[[#This Row],[Código]],BD_Produto[#All],6,FALSE)</f>
        <v>Fellowes, 79Ci, PCI Principal 230V, MFD 130128 ou antes (207271)</v>
      </c>
      <c r="C235" s="132"/>
      <c r="D235" s="132"/>
      <c r="E235" s="132"/>
      <c r="F235" s="132"/>
      <c r="G235" s="132"/>
      <c r="H235" s="132">
        <v>0</v>
      </c>
      <c r="I235" s="132">
        <v>0</v>
      </c>
      <c r="J235" s="132">
        <v>0</v>
      </c>
      <c r="K235" s="132">
        <v>0</v>
      </c>
      <c r="L235" s="132">
        <v>0</v>
      </c>
      <c r="M235" s="132">
        <v>0</v>
      </c>
      <c r="N235" s="133">
        <v>0</v>
      </c>
      <c r="O23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6" spans="1:15" ht="15" customHeight="1" x14ac:dyDescent="0.2">
      <c r="A236" s="15">
        <v>33062064883</v>
      </c>
      <c r="B236" s="68" t="str">
        <f>VLOOKUP(Projeção[[#This Row],[Código]],BD_Produto[#All],6,FALSE)</f>
        <v>Fellowes, 79Ci, PCI Principal 230V, MFD 130911 ou depois (207986)</v>
      </c>
      <c r="C236" s="132"/>
      <c r="D236" s="132"/>
      <c r="E236" s="132"/>
      <c r="F236" s="132"/>
      <c r="G236" s="132"/>
      <c r="H236" s="132">
        <v>0</v>
      </c>
      <c r="I236" s="132">
        <v>0</v>
      </c>
      <c r="J236" s="132">
        <v>0</v>
      </c>
      <c r="K236" s="132">
        <v>0</v>
      </c>
      <c r="L236" s="132">
        <v>0</v>
      </c>
      <c r="M236" s="132">
        <v>0</v>
      </c>
      <c r="N236" s="133">
        <v>0</v>
      </c>
      <c r="O23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7" spans="1:15" ht="15" customHeight="1" x14ac:dyDescent="0.2">
      <c r="A237" s="15">
        <v>33062065070</v>
      </c>
      <c r="B237" s="68" t="str">
        <f>VLOOKUP(Projeção[[#This Row],[Código]],BD_Produto[#All],6,FALSE)</f>
        <v>Fellowes, 99Ci, 79Ci, Botões de comando (207232)</v>
      </c>
      <c r="C237" s="132"/>
      <c r="D237" s="132"/>
      <c r="E237" s="132"/>
      <c r="F237" s="132"/>
      <c r="G237" s="132"/>
      <c r="H237" s="132">
        <v>0</v>
      </c>
      <c r="I237" s="132">
        <v>0</v>
      </c>
      <c r="J237" s="132">
        <v>0</v>
      </c>
      <c r="K237" s="132">
        <v>0</v>
      </c>
      <c r="L237" s="132">
        <v>0</v>
      </c>
      <c r="M237" s="132">
        <v>0</v>
      </c>
      <c r="N237" s="133">
        <v>0</v>
      </c>
      <c r="O23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8" spans="1:15" ht="15" customHeight="1" x14ac:dyDescent="0.2">
      <c r="A238" s="15">
        <v>33062065072</v>
      </c>
      <c r="B238" s="68" t="str">
        <f>VLOOKUP(Projeção[[#This Row],[Código]],BD_Produto[#All],6,FALSE)</f>
        <v>Fellowes, 99Ci, Batente do sensor do cesto (207264)</v>
      </c>
      <c r="C238" s="132"/>
      <c r="D238" s="132"/>
      <c r="E238" s="132"/>
      <c r="F238" s="132"/>
      <c r="G238" s="132"/>
      <c r="H238" s="132">
        <v>0</v>
      </c>
      <c r="I238" s="132">
        <v>0</v>
      </c>
      <c r="J238" s="132">
        <v>0</v>
      </c>
      <c r="K238" s="132">
        <v>0</v>
      </c>
      <c r="L238" s="132">
        <v>0</v>
      </c>
      <c r="M238" s="132">
        <v>0</v>
      </c>
      <c r="N238" s="133">
        <v>0</v>
      </c>
      <c r="O23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39" spans="1:15" ht="15" customHeight="1" x14ac:dyDescent="0.2">
      <c r="A239" s="15">
        <v>33062065056</v>
      </c>
      <c r="B239" s="68" t="str">
        <f>VLOOKUP(Projeção[[#This Row],[Código]],BD_Produto[#All],6,FALSE)</f>
        <v>Fellowes, 99Ci, Conjunto de Corte (207262)</v>
      </c>
      <c r="C239" s="132"/>
      <c r="D239" s="132"/>
      <c r="E239" s="132"/>
      <c r="F239" s="132"/>
      <c r="G239" s="132"/>
      <c r="H239" s="132">
        <v>0.16666666666666663</v>
      </c>
      <c r="I239" s="132">
        <v>0.16666666666666663</v>
      </c>
      <c r="J239" s="132">
        <v>3.3333333333333333E-2</v>
      </c>
      <c r="K239" s="132">
        <v>0.16666666666666663</v>
      </c>
      <c r="L239" s="132">
        <v>3.3333333333333333E-2</v>
      </c>
      <c r="M239" s="132">
        <v>3.3333333333333333E-2</v>
      </c>
      <c r="N239" s="133">
        <v>0.26666666666666666</v>
      </c>
      <c r="O23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240" spans="1:15" ht="15" customHeight="1" x14ac:dyDescent="0.2">
      <c r="A240" s="15">
        <v>33062065058</v>
      </c>
      <c r="B240" s="68" t="str">
        <f>VLOOKUP(Projeção[[#This Row],[Código]],BD_Produto[#All],6,FALSE)</f>
        <v>Fellowes, 99Ci, Conjunto de Isolantes de Borracha (207381)</v>
      </c>
      <c r="C240" s="132"/>
      <c r="D240" s="132"/>
      <c r="E240" s="132"/>
      <c r="F240" s="132"/>
      <c r="G240" s="132"/>
      <c r="H240" s="132">
        <v>0</v>
      </c>
      <c r="I240" s="132">
        <v>0</v>
      </c>
      <c r="J240" s="132">
        <v>0</v>
      </c>
      <c r="K240" s="132">
        <v>0</v>
      </c>
      <c r="L240" s="132">
        <v>0</v>
      </c>
      <c r="M240" s="132">
        <v>0</v>
      </c>
      <c r="N240" s="133">
        <v>0</v>
      </c>
      <c r="O24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1" spans="1:15" ht="15" customHeight="1" x14ac:dyDescent="0.2">
      <c r="A241" s="15">
        <v>33062065057</v>
      </c>
      <c r="B241" s="68" t="str">
        <f>VLOOKUP(Projeção[[#This Row],[Código]],BD_Produto[#All],6,FALSE)</f>
        <v>Fellowes, 99Ci, Conjunto de Raspadores (207383)</v>
      </c>
      <c r="C241" s="132"/>
      <c r="D241" s="132"/>
      <c r="E241" s="132"/>
      <c r="F241" s="132"/>
      <c r="G241" s="132"/>
      <c r="H241" s="132">
        <v>3.3333333333333333E-2</v>
      </c>
      <c r="I241" s="132">
        <v>3.3333333333333333E-2</v>
      </c>
      <c r="J241" s="132">
        <v>3.3333333333333333E-2</v>
      </c>
      <c r="K241" s="132">
        <v>3.3333333333333333E-2</v>
      </c>
      <c r="L241" s="132">
        <v>3.3333333333333333E-2</v>
      </c>
      <c r="M241" s="132">
        <v>0.26666666666666666</v>
      </c>
      <c r="N241" s="133">
        <v>0.26666666666666666</v>
      </c>
      <c r="O24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242" spans="1:15" ht="15" customHeight="1" x14ac:dyDescent="0.2">
      <c r="A242" s="15">
        <v>33062065061</v>
      </c>
      <c r="B242" s="68" t="str">
        <f>VLOOKUP(Projeção[[#This Row],[Código]],BD_Produto[#All],6,FALSE)</f>
        <v>Fellowes, 99Ci, Engrenagem M 3o. estágio (207255)</v>
      </c>
      <c r="C242" s="132"/>
      <c r="D242" s="132"/>
      <c r="E242" s="132"/>
      <c r="F242" s="132"/>
      <c r="G242" s="132"/>
      <c r="H242" s="132">
        <v>0</v>
      </c>
      <c r="I242" s="132">
        <v>0</v>
      </c>
      <c r="J242" s="132">
        <v>0</v>
      </c>
      <c r="K242" s="132">
        <v>0</v>
      </c>
      <c r="L242" s="132">
        <v>0</v>
      </c>
      <c r="M242" s="132">
        <v>0</v>
      </c>
      <c r="N242" s="133">
        <v>0</v>
      </c>
      <c r="O24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3" spans="1:15" ht="15" customHeight="1" x14ac:dyDescent="0.2">
      <c r="A243" s="15">
        <v>33062065062</v>
      </c>
      <c r="B243" s="68" t="str">
        <f>VLOOKUP(Projeção[[#This Row],[Código]],BD_Produto[#All],6,FALSE)</f>
        <v>Fellowes, 99Ci, Engrenagem M de Sincronismo (207257)</v>
      </c>
      <c r="C243" s="132"/>
      <c r="D243" s="132"/>
      <c r="E243" s="132"/>
      <c r="F243" s="132"/>
      <c r="G243" s="132"/>
      <c r="H243" s="132">
        <v>0</v>
      </c>
      <c r="I243" s="132">
        <v>0</v>
      </c>
      <c r="J243" s="132">
        <v>0</v>
      </c>
      <c r="K243" s="132">
        <v>0</v>
      </c>
      <c r="L243" s="132">
        <v>0</v>
      </c>
      <c r="M243" s="132">
        <v>0</v>
      </c>
      <c r="N243" s="133">
        <v>0</v>
      </c>
      <c r="O24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4" spans="1:15" ht="15" customHeight="1" x14ac:dyDescent="0.2">
      <c r="A244" s="15">
        <v>33062065059</v>
      </c>
      <c r="B244" s="68" t="str">
        <f>VLOOKUP(Projeção[[#This Row],[Código]],BD_Produto[#All],6,FALSE)</f>
        <v>Fellowes, 99Ci, Engrenagem MP 1o. estágio (207253)</v>
      </c>
      <c r="C244" s="132"/>
      <c r="D244" s="132"/>
      <c r="E244" s="132"/>
      <c r="F244" s="132"/>
      <c r="G244" s="132"/>
      <c r="H244" s="132">
        <v>0</v>
      </c>
      <c r="I244" s="132">
        <v>0</v>
      </c>
      <c r="J244" s="132">
        <v>0</v>
      </c>
      <c r="K244" s="132">
        <v>0</v>
      </c>
      <c r="L244" s="132">
        <v>0</v>
      </c>
      <c r="M244" s="132">
        <v>0</v>
      </c>
      <c r="N244" s="133">
        <v>0</v>
      </c>
      <c r="O244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5" spans="1:15" ht="15" customHeight="1" x14ac:dyDescent="0.2">
      <c r="A245" s="15">
        <v>33062065060</v>
      </c>
      <c r="B245" s="68" t="str">
        <f>VLOOKUP(Projeção[[#This Row],[Código]],BD_Produto[#All],6,FALSE)</f>
        <v>Fellowes, 99Ci, Engrenagem MP 2o. estágio (207254)</v>
      </c>
      <c r="C245" s="132"/>
      <c r="D245" s="132"/>
      <c r="E245" s="132"/>
      <c r="F245" s="132"/>
      <c r="G245" s="132"/>
      <c r="H245" s="132">
        <v>0</v>
      </c>
      <c r="I245" s="132">
        <v>0</v>
      </c>
      <c r="J245" s="132">
        <v>0</v>
      </c>
      <c r="K245" s="132">
        <v>0</v>
      </c>
      <c r="L245" s="132">
        <v>0</v>
      </c>
      <c r="M245" s="132">
        <v>0</v>
      </c>
      <c r="N245" s="133">
        <v>0</v>
      </c>
      <c r="O245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6" spans="1:15" ht="15" customHeight="1" x14ac:dyDescent="0.2">
      <c r="A246" s="15">
        <v>33062065069</v>
      </c>
      <c r="B246" s="68" t="str">
        <f>VLOOKUP(Projeção[[#This Row],[Código]],BD_Produto[#All],6,FALSE)</f>
        <v>Fellowes, 99Ci, Módulo Anti Travamento (207528)</v>
      </c>
      <c r="C246" s="132"/>
      <c r="D246" s="132"/>
      <c r="E246" s="132"/>
      <c r="F246" s="132"/>
      <c r="G246" s="132"/>
      <c r="H246" s="132">
        <v>0</v>
      </c>
      <c r="I246" s="132">
        <v>0</v>
      </c>
      <c r="J246" s="132">
        <v>0</v>
      </c>
      <c r="K246" s="132">
        <v>0</v>
      </c>
      <c r="L246" s="132">
        <v>0</v>
      </c>
      <c r="M246" s="132">
        <v>0</v>
      </c>
      <c r="N246" s="133">
        <v>0</v>
      </c>
      <c r="O24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7" spans="1:15" ht="15" customHeight="1" x14ac:dyDescent="0.2">
      <c r="A247" s="15">
        <v>33062065064</v>
      </c>
      <c r="B247" s="68" t="str">
        <f>VLOOKUP(Projeção[[#This Row],[Código]],BD_Produto[#All],6,FALSE)</f>
        <v>Fellowes, 99Ci, Motor 120V (207251)</v>
      </c>
      <c r="C247" s="132"/>
      <c r="D247" s="132"/>
      <c r="E247" s="132"/>
      <c r="F247" s="132"/>
      <c r="G247" s="132"/>
      <c r="H247" s="132">
        <v>0</v>
      </c>
      <c r="I247" s="132">
        <v>0</v>
      </c>
      <c r="J247" s="132">
        <v>0</v>
      </c>
      <c r="K247" s="132">
        <v>0</v>
      </c>
      <c r="L247" s="132">
        <v>0</v>
      </c>
      <c r="M247" s="132">
        <v>0</v>
      </c>
      <c r="N247" s="133">
        <v>0</v>
      </c>
      <c r="O24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8" spans="1:15" ht="15" customHeight="1" x14ac:dyDescent="0.2">
      <c r="A248" s="15">
        <v>33062065065</v>
      </c>
      <c r="B248" s="68" t="str">
        <f>VLOOKUP(Projeção[[#This Row],[Código]],BD_Produto[#All],6,FALSE)</f>
        <v>Fellowes, 99Ci, Motor 230V (207252)</v>
      </c>
      <c r="C248" s="132"/>
      <c r="D248" s="132"/>
      <c r="E248" s="132"/>
      <c r="F248" s="132"/>
      <c r="G248" s="132"/>
      <c r="H248" s="132">
        <v>0</v>
      </c>
      <c r="I248" s="132">
        <v>0</v>
      </c>
      <c r="J248" s="132">
        <v>0</v>
      </c>
      <c r="K248" s="132">
        <v>0</v>
      </c>
      <c r="L248" s="132">
        <v>0</v>
      </c>
      <c r="M248" s="132">
        <v>0</v>
      </c>
      <c r="N248" s="133">
        <v>0</v>
      </c>
      <c r="O248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49" spans="1:15" ht="15" customHeight="1" x14ac:dyDescent="0.2">
      <c r="A249" s="15">
        <v>33062065066</v>
      </c>
      <c r="B249" s="68" t="str">
        <f>VLOOKUP(Projeção[[#This Row],[Código]],BD_Produto[#All],6,FALSE)</f>
        <v>Fellowes, 99Ci, PCI Principal 120V (207246)</v>
      </c>
      <c r="C249" s="132"/>
      <c r="D249" s="132"/>
      <c r="E249" s="132"/>
      <c r="F249" s="132"/>
      <c r="G249" s="132"/>
      <c r="H249" s="132">
        <v>0</v>
      </c>
      <c r="I249" s="132">
        <v>0</v>
      </c>
      <c r="J249" s="132">
        <v>0</v>
      </c>
      <c r="K249" s="132">
        <v>0</v>
      </c>
      <c r="L249" s="132">
        <v>0</v>
      </c>
      <c r="M249" s="132">
        <v>0</v>
      </c>
      <c r="N249" s="133">
        <v>0</v>
      </c>
      <c r="O249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0" spans="1:15" ht="15" customHeight="1" x14ac:dyDescent="0.2">
      <c r="A250" s="15">
        <v>33062065067</v>
      </c>
      <c r="B250" s="68" t="str">
        <f>VLOOKUP(Projeção[[#This Row],[Código]],BD_Produto[#All],6,FALSE)</f>
        <v>Fellowes, 99Ci, PCI Principal 230V (207247)</v>
      </c>
      <c r="C250" s="132"/>
      <c r="D250" s="132"/>
      <c r="E250" s="132"/>
      <c r="F250" s="132"/>
      <c r="G250" s="132"/>
      <c r="H250" s="132">
        <v>0</v>
      </c>
      <c r="I250" s="132">
        <v>0</v>
      </c>
      <c r="J250" s="132">
        <v>0</v>
      </c>
      <c r="K250" s="132">
        <v>0</v>
      </c>
      <c r="L250" s="132">
        <v>0</v>
      </c>
      <c r="M250" s="132">
        <v>0</v>
      </c>
      <c r="N250" s="133">
        <v>0</v>
      </c>
      <c r="O250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1" spans="1:15" ht="15" customHeight="1" x14ac:dyDescent="0.2">
      <c r="A251" s="15">
        <v>33062065063</v>
      </c>
      <c r="B251" s="68" t="str">
        <f>VLOOKUP(Projeção[[#This Row],[Código]],BD_Produto[#All],6,FALSE)</f>
        <v>Fellowes, 99Ci, Proteção da caixa de engrenagens (207270)</v>
      </c>
      <c r="C251" s="132"/>
      <c r="D251" s="132"/>
      <c r="E251" s="132"/>
      <c r="F251" s="132"/>
      <c r="G251" s="132"/>
      <c r="H251" s="132">
        <v>0</v>
      </c>
      <c r="I251" s="132">
        <v>0</v>
      </c>
      <c r="J251" s="132">
        <v>0</v>
      </c>
      <c r="K251" s="132">
        <v>0</v>
      </c>
      <c r="L251" s="132">
        <v>0</v>
      </c>
      <c r="M251" s="132">
        <v>0</v>
      </c>
      <c r="N251" s="133">
        <v>0</v>
      </c>
      <c r="O25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2" spans="1:15" ht="15" customHeight="1" x14ac:dyDescent="0.2">
      <c r="A252" s="15">
        <v>33062065071</v>
      </c>
      <c r="B252" s="68" t="str">
        <f>VLOOKUP(Projeção[[#This Row],[Código]],BD_Produto[#All],6,FALSE)</f>
        <v>Fellowes, 99Ci, Sensor de CD com cabo e conector (207385)</v>
      </c>
      <c r="C252" s="132"/>
      <c r="D252" s="132"/>
      <c r="E252" s="132"/>
      <c r="F252" s="132"/>
      <c r="G252" s="132"/>
      <c r="H252" s="132">
        <v>0</v>
      </c>
      <c r="I252" s="132">
        <v>0</v>
      </c>
      <c r="J252" s="132">
        <v>0</v>
      </c>
      <c r="K252" s="132">
        <v>0</v>
      </c>
      <c r="L252" s="132">
        <v>0</v>
      </c>
      <c r="M252" s="132">
        <v>0</v>
      </c>
      <c r="N252" s="133">
        <v>0</v>
      </c>
      <c r="O252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3" spans="1:15" ht="15" customHeight="1" x14ac:dyDescent="0.2">
      <c r="A253" s="15">
        <v>33062065073</v>
      </c>
      <c r="B253" s="68" t="str">
        <f>VLOOKUP(Projeção[[#This Row],[Código]],BD_Produto[#All],6,FALSE)</f>
        <v>Fellowes, 99Ci, Sensor do cesto (207384)</v>
      </c>
      <c r="C253" s="132"/>
      <c r="D253" s="132"/>
      <c r="E253" s="132"/>
      <c r="F253" s="132"/>
      <c r="G253" s="132"/>
      <c r="H253" s="132">
        <v>0</v>
      </c>
      <c r="I253" s="132">
        <v>0</v>
      </c>
      <c r="J253" s="132">
        <v>0</v>
      </c>
      <c r="K253" s="132">
        <v>0</v>
      </c>
      <c r="L253" s="132">
        <v>0</v>
      </c>
      <c r="M253" s="132">
        <v>0</v>
      </c>
      <c r="N253" s="133">
        <v>0</v>
      </c>
      <c r="O25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4" spans="1:15" ht="15" customHeight="1" x14ac:dyDescent="0.2">
      <c r="A254" s="15">
        <v>33062065068</v>
      </c>
      <c r="B254" s="68" t="str">
        <f>VLOOKUP(Projeção[[#This Row],[Código]],BD_Produto[#All],6,FALSE)</f>
        <v>Fellowes, 99Ci, Sensor IR de Presença (207382)</v>
      </c>
      <c r="C254" s="137"/>
      <c r="D254" s="137"/>
      <c r="E254" s="137"/>
      <c r="F254" s="137"/>
      <c r="G254" s="137"/>
      <c r="H254" s="137">
        <v>0</v>
      </c>
      <c r="I254" s="137">
        <v>0</v>
      </c>
      <c r="J254" s="137">
        <v>0</v>
      </c>
      <c r="K254" s="137">
        <v>0</v>
      </c>
      <c r="L254" s="137">
        <v>0</v>
      </c>
      <c r="M254" s="137">
        <v>0</v>
      </c>
      <c r="N254" s="138">
        <v>0</v>
      </c>
      <c r="O254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5" spans="1:15" x14ac:dyDescent="0.25">
      <c r="A255" s="15">
        <v>33062063151</v>
      </c>
      <c r="B255" s="16" t="str">
        <f>VLOOKUP(Projeção[[#This Row],[Código]],BD_Produto[#All],6,FALSE)</f>
        <v>Fragmentadora Fellowes 225Ci Cross Cut - 120V - PN:4622901</v>
      </c>
      <c r="C255" s="130">
        <v>2.0666666666666664</v>
      </c>
      <c r="D255" s="130">
        <v>2.6666666666666665</v>
      </c>
      <c r="E255" s="130">
        <v>2.1333333333333333</v>
      </c>
      <c r="F255" s="130">
        <v>2.1</v>
      </c>
      <c r="G255" s="130">
        <v>3.6333333333333337</v>
      </c>
      <c r="H255" s="130">
        <v>2.3333333333333335</v>
      </c>
      <c r="I255" s="130">
        <v>2.1333333333333333</v>
      </c>
      <c r="J255" s="130">
        <v>2.5333333333333332</v>
      </c>
      <c r="K255" s="130">
        <v>2.3333333333333335</v>
      </c>
      <c r="L255" s="130">
        <v>1.333333333333333</v>
      </c>
      <c r="M255" s="130">
        <v>2.6666666666666661</v>
      </c>
      <c r="N255" s="130">
        <v>2.1666666666666665</v>
      </c>
      <c r="O2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1.9333333333333331</v>
      </c>
    </row>
    <row r="256" spans="1:15" x14ac:dyDescent="0.25">
      <c r="A256" s="15">
        <v>33062063152</v>
      </c>
      <c r="B256" s="16" t="str">
        <f>VLOOKUP(Projeção[[#This Row],[Código]],BD_Produto[#All],6,FALSE)</f>
        <v>Fragmentadora Fellowes 225Ci Cross Cut - 230V - PN:</v>
      </c>
      <c r="C256" s="130">
        <v>6.6</v>
      </c>
      <c r="D256" s="130">
        <v>2.6333333333333333</v>
      </c>
      <c r="E256" s="130">
        <v>2.0666666666666669</v>
      </c>
      <c r="F256" s="130">
        <v>2.2333333333333329</v>
      </c>
      <c r="G256" s="130">
        <v>2.8333333333333335</v>
      </c>
      <c r="H256" s="130">
        <v>2.6666666666666661</v>
      </c>
      <c r="I256" s="130">
        <v>2.5</v>
      </c>
      <c r="J256" s="130">
        <v>2.5999999999999996</v>
      </c>
      <c r="K256" s="130">
        <v>2.4666666666666668</v>
      </c>
      <c r="L256" s="130">
        <v>1.4333333333333333</v>
      </c>
      <c r="M256" s="130">
        <v>1.7333333333333332</v>
      </c>
      <c r="N256" s="130">
        <v>0.70000000000000007</v>
      </c>
      <c r="O2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257" spans="1:15" x14ac:dyDescent="0.25">
      <c r="A257" s="15">
        <v>33062063149</v>
      </c>
      <c r="B257" s="16" t="str">
        <f>VLOOKUP(Projeção[[#This Row],[Código]],BD_Produto[#All],6,FALSE)</f>
        <v>Fragmentadora Fellowes 225i Strip Cut - 120V - PN:4623901</v>
      </c>
      <c r="C257" s="130">
        <v>0.53333333333333333</v>
      </c>
      <c r="D257" s="130">
        <v>1.6333333333333331</v>
      </c>
      <c r="E257" s="130">
        <v>0.56666666666666654</v>
      </c>
      <c r="F257" s="130">
        <v>0.53333333333333333</v>
      </c>
      <c r="G257" s="130">
        <v>0.23333333333333334</v>
      </c>
      <c r="H257" s="130">
        <v>0.23333333333333334</v>
      </c>
      <c r="I257" s="130">
        <v>0.23333333333333334</v>
      </c>
      <c r="J257" s="130">
        <v>0.3666666666666667</v>
      </c>
      <c r="K257" s="130">
        <v>0.23333333333333334</v>
      </c>
      <c r="L257" s="130">
        <v>0.33333333333333326</v>
      </c>
      <c r="M257" s="130">
        <v>0.46666666666666656</v>
      </c>
      <c r="N257" s="130">
        <v>0.70000000000000007</v>
      </c>
      <c r="O2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1.833333333333333</v>
      </c>
    </row>
    <row r="258" spans="1:15" x14ac:dyDescent="0.25">
      <c r="A258" s="15">
        <v>33062063150</v>
      </c>
      <c r="B258" s="16" t="str">
        <f>VLOOKUP(Projeção[[#This Row],[Código]],BD_Produto[#All],6,FALSE)</f>
        <v>Fragmentadora Fellowes 225i Strip Cut - 230V - PN:4626801</v>
      </c>
      <c r="C258" s="130">
        <v>3.3333333333333333E-2</v>
      </c>
      <c r="D258" s="130">
        <v>3.3333333333333333E-2</v>
      </c>
      <c r="E258" s="130">
        <v>3.3333333333333333E-2</v>
      </c>
      <c r="F258" s="130">
        <v>3.3333333333333333E-2</v>
      </c>
      <c r="G258" s="130">
        <v>3.3333333333333333E-2</v>
      </c>
      <c r="H258" s="130">
        <v>3.3333333333333333E-2</v>
      </c>
      <c r="I258" s="130">
        <v>3.3333333333333333E-2</v>
      </c>
      <c r="J258" s="130">
        <v>3.3333333333333333E-2</v>
      </c>
      <c r="K258" s="130">
        <v>3.3333333333333333E-2</v>
      </c>
      <c r="L258" s="130">
        <v>0</v>
      </c>
      <c r="M258" s="130">
        <v>0</v>
      </c>
      <c r="N258" s="130">
        <v>0</v>
      </c>
      <c r="O2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59" spans="1:15" x14ac:dyDescent="0.25">
      <c r="A259" s="15">
        <v>33062063155</v>
      </c>
      <c r="B259" s="16" t="str">
        <f>VLOOKUP(Projeção[[#This Row],[Código]],BD_Produto[#All],6,FALSE)</f>
        <v>Fragmentadora Fellowes 425Ci Cross Cut - 120V - PN:4690801</v>
      </c>
      <c r="C259" s="130">
        <v>0</v>
      </c>
      <c r="D259" s="130">
        <v>0</v>
      </c>
      <c r="E259" s="130">
        <v>0</v>
      </c>
      <c r="F259" s="130">
        <v>0</v>
      </c>
      <c r="G259" s="130">
        <v>0</v>
      </c>
      <c r="H259" s="130">
        <v>0</v>
      </c>
      <c r="I259" s="130">
        <v>0</v>
      </c>
      <c r="J259" s="130">
        <v>0</v>
      </c>
      <c r="K259" s="130">
        <v>0</v>
      </c>
      <c r="L259" s="130">
        <v>0</v>
      </c>
      <c r="M259" s="130">
        <v>0</v>
      </c>
      <c r="N259" s="130">
        <v>0</v>
      </c>
      <c r="O2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0" spans="1:15" x14ac:dyDescent="0.25">
      <c r="A260" s="15">
        <v>33062063156</v>
      </c>
      <c r="B260" s="16" t="str">
        <f>VLOOKUP(Projeção[[#This Row],[Código]],BD_Produto[#All],6,FALSE)</f>
        <v>Fragmentadora Fellowes 425Ci Cross Cut - 230V - PN:</v>
      </c>
      <c r="C260" s="130">
        <v>0</v>
      </c>
      <c r="D260" s="130">
        <v>0</v>
      </c>
      <c r="E260" s="130">
        <v>0</v>
      </c>
      <c r="F260" s="130">
        <v>0</v>
      </c>
      <c r="G260" s="130">
        <v>0</v>
      </c>
      <c r="H260" s="130">
        <v>0</v>
      </c>
      <c r="I260" s="130">
        <v>0</v>
      </c>
      <c r="J260" s="130">
        <v>0</v>
      </c>
      <c r="K260" s="130">
        <v>0</v>
      </c>
      <c r="L260" s="130">
        <v>0</v>
      </c>
      <c r="M260" s="130">
        <v>0</v>
      </c>
      <c r="N260" s="130">
        <v>0</v>
      </c>
      <c r="O2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1" spans="1:15" x14ac:dyDescent="0.25">
      <c r="A261" s="15">
        <v>33062063153</v>
      </c>
      <c r="B261" s="16" t="str">
        <f>VLOOKUP(Projeção[[#This Row],[Código]],BD_Produto[#All],6,FALSE)</f>
        <v>Fragmentadora Fellowes 425i Strip Cut - 120V - PN:4696801</v>
      </c>
      <c r="C261" s="130">
        <v>0</v>
      </c>
      <c r="D261" s="130">
        <v>0</v>
      </c>
      <c r="E261" s="130">
        <v>0</v>
      </c>
      <c r="F261" s="130">
        <v>0</v>
      </c>
      <c r="G261" s="130">
        <v>0</v>
      </c>
      <c r="H261" s="130">
        <v>0</v>
      </c>
      <c r="I261" s="130">
        <v>0</v>
      </c>
      <c r="J261" s="130">
        <v>0</v>
      </c>
      <c r="K261" s="130">
        <v>0</v>
      </c>
      <c r="L261" s="130">
        <v>0</v>
      </c>
      <c r="M261" s="130">
        <v>0</v>
      </c>
      <c r="N261" s="130">
        <v>0</v>
      </c>
      <c r="O2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2" spans="1:15" x14ac:dyDescent="0.25">
      <c r="A262" s="15">
        <v>33062063154</v>
      </c>
      <c r="B262" s="16" t="str">
        <f>VLOOKUP(Projeção[[#This Row],[Código]],BD_Produto[#All],6,FALSE)</f>
        <v>Fragmentadora Fellowes 425i Strip Cut - 230V - PN:</v>
      </c>
      <c r="C262" s="130">
        <v>0</v>
      </c>
      <c r="D262" s="130">
        <v>0</v>
      </c>
      <c r="E262" s="130">
        <v>0</v>
      </c>
      <c r="F262" s="130">
        <v>0</v>
      </c>
      <c r="G262" s="130">
        <v>0</v>
      </c>
      <c r="H262" s="130">
        <v>0</v>
      </c>
      <c r="I262" s="130">
        <v>0</v>
      </c>
      <c r="J262" s="130">
        <v>0</v>
      </c>
      <c r="K262" s="130">
        <v>0</v>
      </c>
      <c r="L262" s="130">
        <v>0</v>
      </c>
      <c r="M262" s="130">
        <v>0</v>
      </c>
      <c r="N262" s="130">
        <v>0</v>
      </c>
      <c r="O2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3" spans="1:15" x14ac:dyDescent="0.25">
      <c r="A263" s="15">
        <v>33062063159</v>
      </c>
      <c r="B263" s="16" t="str">
        <f>VLOOKUP(Projeção[[#This Row],[Código]],BD_Produto[#All],6,FALSE)</f>
        <v>Fragmentadora Fellowes 485Ci Cross Cut - 120V - PN:4690901</v>
      </c>
      <c r="C263" s="130">
        <v>0</v>
      </c>
      <c r="D263" s="130">
        <v>0</v>
      </c>
      <c r="E263" s="130">
        <v>0</v>
      </c>
      <c r="F263" s="130">
        <v>0</v>
      </c>
      <c r="G263" s="130">
        <v>0</v>
      </c>
      <c r="H263" s="130">
        <v>0</v>
      </c>
      <c r="I263" s="130">
        <v>0</v>
      </c>
      <c r="J263" s="130">
        <v>0</v>
      </c>
      <c r="K263" s="130">
        <v>0</v>
      </c>
      <c r="L263" s="130">
        <v>0</v>
      </c>
      <c r="M263" s="130">
        <v>0</v>
      </c>
      <c r="N263" s="130">
        <v>0</v>
      </c>
      <c r="O2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4" spans="1:15" x14ac:dyDescent="0.25">
      <c r="A264" s="15">
        <v>33062063160</v>
      </c>
      <c r="B264" s="16" t="str">
        <f>VLOOKUP(Projeção[[#This Row],[Código]],BD_Produto[#All],6,FALSE)</f>
        <v>Fragmentadora Fellowes 485Ci Cross Cut - 230V - PN:</v>
      </c>
      <c r="C264" s="130">
        <v>0</v>
      </c>
      <c r="D264" s="130">
        <v>0</v>
      </c>
      <c r="E264" s="130">
        <v>0</v>
      </c>
      <c r="F264" s="130">
        <v>0</v>
      </c>
      <c r="G264" s="130">
        <v>0</v>
      </c>
      <c r="H264" s="130">
        <v>0</v>
      </c>
      <c r="I264" s="130">
        <v>0</v>
      </c>
      <c r="J264" s="130">
        <v>0</v>
      </c>
      <c r="K264" s="130">
        <v>0</v>
      </c>
      <c r="L264" s="130">
        <v>0</v>
      </c>
      <c r="M264" s="130">
        <v>0</v>
      </c>
      <c r="N264" s="130">
        <v>0</v>
      </c>
      <c r="O2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5" spans="1:15" x14ac:dyDescent="0.25">
      <c r="A265" s="15">
        <v>33062063157</v>
      </c>
      <c r="B265" s="16" t="str">
        <f>VLOOKUP(Projeção[[#This Row],[Código]],BD_Produto[#All],6,FALSE)</f>
        <v>Fragmentadora Fellowes 485i Strip Cut - 120V - PN:4697801</v>
      </c>
      <c r="C265" s="130">
        <v>0</v>
      </c>
      <c r="D265" s="130">
        <v>0</v>
      </c>
      <c r="E265" s="130">
        <v>0</v>
      </c>
      <c r="F265" s="130">
        <v>0</v>
      </c>
      <c r="G265" s="130">
        <v>0</v>
      </c>
      <c r="H265" s="130">
        <v>0</v>
      </c>
      <c r="I265" s="130">
        <v>0</v>
      </c>
      <c r="J265" s="130">
        <v>0</v>
      </c>
      <c r="K265" s="130">
        <v>0</v>
      </c>
      <c r="L265" s="130">
        <v>0</v>
      </c>
      <c r="M265" s="130">
        <v>0</v>
      </c>
      <c r="N265" s="130">
        <v>0</v>
      </c>
      <c r="O2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266" spans="1:15" x14ac:dyDescent="0.25">
      <c r="A266" s="15">
        <v>33062063158</v>
      </c>
      <c r="B266" s="16" t="str">
        <f>VLOOKUP(Projeção[[#This Row],[Código]],BD_Produto[#All],6,FALSE)</f>
        <v>Fragmentadora Fellowes 485i Strip Cut - 230V - PN:</v>
      </c>
      <c r="C266" s="130">
        <v>0</v>
      </c>
      <c r="D266" s="130">
        <v>0</v>
      </c>
      <c r="E266" s="130">
        <v>0</v>
      </c>
      <c r="F266" s="130">
        <v>0</v>
      </c>
      <c r="G266" s="130">
        <v>0</v>
      </c>
      <c r="H266" s="130">
        <v>0</v>
      </c>
      <c r="I266" s="130">
        <v>0</v>
      </c>
      <c r="J266" s="130">
        <v>0</v>
      </c>
      <c r="K266" s="130">
        <v>0</v>
      </c>
      <c r="L266" s="130">
        <v>0</v>
      </c>
      <c r="M266" s="130">
        <v>0</v>
      </c>
      <c r="N266" s="130">
        <v>0</v>
      </c>
      <c r="O2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7" spans="1:15" x14ac:dyDescent="0.25">
      <c r="A267" s="15">
        <v>33062064069</v>
      </c>
      <c r="B267" s="16" t="str">
        <f>VLOOKUP(Projeção[[#This Row],[Código]],BD_Produto[#All],6,FALSE)</f>
        <v>Fragmentadora Fellowes 53C Cross Cut - 230V - PN:4653801</v>
      </c>
      <c r="C267" s="130">
        <v>0</v>
      </c>
      <c r="D267" s="130">
        <v>0</v>
      </c>
      <c r="E267" s="130">
        <v>0</v>
      </c>
      <c r="F267" s="130">
        <v>0</v>
      </c>
      <c r="G267" s="130">
        <v>0</v>
      </c>
      <c r="H267" s="130">
        <v>0</v>
      </c>
      <c r="I267" s="130">
        <v>0</v>
      </c>
      <c r="J267" s="130">
        <v>0</v>
      </c>
      <c r="K267" s="130">
        <v>0</v>
      </c>
      <c r="L267" s="130">
        <v>0</v>
      </c>
      <c r="M267" s="130">
        <v>0</v>
      </c>
      <c r="N267" s="130">
        <v>0</v>
      </c>
      <c r="O2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68" spans="1:15" x14ac:dyDescent="0.25">
      <c r="A268" s="15">
        <v>33062063139</v>
      </c>
      <c r="B268" s="16" t="str">
        <f>VLOOKUP(Projeção[[#This Row],[Código]],BD_Produto[#All],6,FALSE)</f>
        <v>Fragmentadora Fellowes 59Cb Cross Cut - 120V - PN:4659901</v>
      </c>
      <c r="C268" s="130">
        <v>15.133333333333329</v>
      </c>
      <c r="D268" s="130">
        <v>6.333333333333333</v>
      </c>
      <c r="E268" s="130">
        <v>4.833333333333333</v>
      </c>
      <c r="F268" s="130">
        <v>4.1333333333333329</v>
      </c>
      <c r="G268" s="130">
        <v>5.3</v>
      </c>
      <c r="H268" s="130">
        <v>4.166666666666667</v>
      </c>
      <c r="I268" s="130">
        <v>3.5999999999999996</v>
      </c>
      <c r="J268" s="130">
        <v>3.8666666666666671</v>
      </c>
      <c r="K268" s="130">
        <v>4.166666666666667</v>
      </c>
      <c r="L268" s="130">
        <v>2.6999999999999997</v>
      </c>
      <c r="M268" s="130">
        <v>3.3</v>
      </c>
      <c r="N268" s="130">
        <v>4.333333333333333</v>
      </c>
      <c r="O2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17.733333333333334</v>
      </c>
    </row>
    <row r="269" spans="1:15" x14ac:dyDescent="0.25">
      <c r="A269" s="15">
        <v>33062063140</v>
      </c>
      <c r="B269" s="16" t="str">
        <f>VLOOKUP(Projeção[[#This Row],[Código]],BD_Produto[#All],6,FALSE)</f>
        <v>Fragmentadora Fellowes 59Cb Cross Cut - 230V - PN:</v>
      </c>
      <c r="C269" s="130">
        <v>2.1999999999999997</v>
      </c>
      <c r="D269" s="130">
        <v>1.1333333333333331</v>
      </c>
      <c r="E269" s="130">
        <v>0.96666666666666656</v>
      </c>
      <c r="F269" s="130">
        <v>2.4</v>
      </c>
      <c r="G269" s="130">
        <v>6.6666666666666652</v>
      </c>
      <c r="H269" s="130">
        <v>3.7</v>
      </c>
      <c r="I269" s="130">
        <v>3.0666666666666669</v>
      </c>
      <c r="J269" s="130">
        <v>3.2666666666666662</v>
      </c>
      <c r="K269" s="130">
        <v>3.7</v>
      </c>
      <c r="L269" s="130">
        <v>0.83333333333333337</v>
      </c>
      <c r="M269" s="130">
        <v>2.0333333333333337</v>
      </c>
      <c r="N269" s="130">
        <v>1.5333333333333332</v>
      </c>
      <c r="O2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</v>
      </c>
    </row>
    <row r="270" spans="1:15" x14ac:dyDescent="0.25">
      <c r="A270" s="15">
        <v>33062063024</v>
      </c>
      <c r="B270" s="16" t="str">
        <f>VLOOKUP(Projeção[[#This Row],[Código]],BD_Produto[#All],6,FALSE)</f>
        <v>Fragmentadora Fellowes 69Cb Cross Cut - 120V - PN:4669901</v>
      </c>
      <c r="C270" s="130">
        <v>5.2333333333333334</v>
      </c>
      <c r="D270" s="130">
        <v>9.0666666666666647</v>
      </c>
      <c r="E270" s="130">
        <v>3.4666666666666672</v>
      </c>
      <c r="F270" s="130">
        <v>7.5666666666666673</v>
      </c>
      <c r="G270" s="130">
        <v>4.2</v>
      </c>
      <c r="H270" s="130">
        <v>4.333333333333333</v>
      </c>
      <c r="I270" s="130">
        <v>4.0999999999999996</v>
      </c>
      <c r="J270" s="130">
        <v>3.6333333333333337</v>
      </c>
      <c r="K270" s="130">
        <v>4.333333333333333</v>
      </c>
      <c r="L270" s="130">
        <v>2.5333333333333332</v>
      </c>
      <c r="M270" s="130">
        <v>3.4999999999999996</v>
      </c>
      <c r="N270" s="130">
        <v>5.5666666666666673</v>
      </c>
      <c r="O2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3.7666666666666666</v>
      </c>
    </row>
    <row r="271" spans="1:15" x14ac:dyDescent="0.25">
      <c r="A271" s="15">
        <v>33062063025</v>
      </c>
      <c r="B271" s="16" t="str">
        <f>VLOOKUP(Projeção[[#This Row],[Código]],BD_Produto[#All],6,FALSE)</f>
        <v>Fragmentadora Fellowes 69Cb Cross Cut - 230V - PN:</v>
      </c>
      <c r="C271" s="130">
        <v>0.13333333333333333</v>
      </c>
      <c r="D271" s="130">
        <v>1.2666666666666666</v>
      </c>
      <c r="E271" s="130">
        <v>0.46666666666666656</v>
      </c>
      <c r="F271" s="130">
        <v>1.5999999999999999</v>
      </c>
      <c r="G271" s="130">
        <v>0.46666666666666656</v>
      </c>
      <c r="H271" s="130">
        <v>0.6</v>
      </c>
      <c r="I271" s="130">
        <v>0.6</v>
      </c>
      <c r="J271" s="130">
        <v>0.66666666666666652</v>
      </c>
      <c r="K271" s="130">
        <v>0.6</v>
      </c>
      <c r="L271" s="130">
        <v>0.66666666666666652</v>
      </c>
      <c r="M271" s="130">
        <v>0.89999999999999991</v>
      </c>
      <c r="N271" s="130">
        <v>0.76666666666666672</v>
      </c>
      <c r="O2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</v>
      </c>
    </row>
    <row r="272" spans="1:15" x14ac:dyDescent="0.25">
      <c r="A272" s="15">
        <v>33062064072</v>
      </c>
      <c r="B272" s="16" t="str">
        <f>VLOOKUP(Projeção[[#This Row],[Código]],BD_Produto[#All],6,FALSE)</f>
        <v>Fragmentadora Fellowes 70S Strip Cut - 120V - PN:4670801</v>
      </c>
      <c r="C272" s="130">
        <v>0.73333333333333328</v>
      </c>
      <c r="D272" s="130">
        <v>0.33333333333333326</v>
      </c>
      <c r="E272" s="130">
        <v>0.89999999999999991</v>
      </c>
      <c r="F272" s="130">
        <v>0.3666666666666667</v>
      </c>
      <c r="G272" s="130">
        <v>1.5</v>
      </c>
      <c r="H272" s="130">
        <v>1.2</v>
      </c>
      <c r="I272" s="130">
        <v>1.1333333333333333</v>
      </c>
      <c r="J272" s="130">
        <v>1.1666666666666665</v>
      </c>
      <c r="K272" s="130">
        <v>1.2</v>
      </c>
      <c r="L272" s="130">
        <v>0.76666666666666661</v>
      </c>
      <c r="M272" s="130">
        <v>1.3666666666666665</v>
      </c>
      <c r="N272" s="130">
        <v>1.333333333333333</v>
      </c>
      <c r="O2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2.3333333333333335</v>
      </c>
    </row>
    <row r="273" spans="1:15" x14ac:dyDescent="0.25">
      <c r="A273" s="15">
        <v>33062064073</v>
      </c>
      <c r="B273" s="16" t="str">
        <f>VLOOKUP(Projeção[[#This Row],[Código]],BD_Produto[#All],6,FALSE)</f>
        <v>Fragmentadora Fellowes 70S Strip Cut - 230V - PN:4670901</v>
      </c>
      <c r="C273" s="130">
        <v>0.56666666666666654</v>
      </c>
      <c r="D273" s="130">
        <v>0.16666666666666663</v>
      </c>
      <c r="E273" s="130">
        <v>0.16666666666666663</v>
      </c>
      <c r="F273" s="130">
        <v>1.1666666666666665</v>
      </c>
      <c r="G273" s="130">
        <v>2.0666666666666669</v>
      </c>
      <c r="H273" s="130">
        <v>1.2</v>
      </c>
      <c r="I273" s="130">
        <v>1.2</v>
      </c>
      <c r="J273" s="130">
        <v>0.93333333333333335</v>
      </c>
      <c r="K273" s="130">
        <v>1.2</v>
      </c>
      <c r="L273" s="130">
        <v>0.26666666666666666</v>
      </c>
      <c r="M273" s="130">
        <v>0.6</v>
      </c>
      <c r="N273" s="130">
        <v>0.86666666666666659</v>
      </c>
      <c r="O2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</v>
      </c>
    </row>
    <row r="274" spans="1:15" x14ac:dyDescent="0.25">
      <c r="A274" s="15">
        <v>33062064071</v>
      </c>
      <c r="B274" s="16" t="str">
        <f>VLOOKUP(Projeção[[#This Row],[Código]],BD_Produto[#All],6,FALSE)</f>
        <v>Fragmentadora Fellowes 73CI Cross Cut - 120V - PN:4601801</v>
      </c>
      <c r="C274" s="130">
        <v>8</v>
      </c>
      <c r="D274" s="130">
        <v>6.0333333333333332</v>
      </c>
      <c r="E274" s="130">
        <v>4.166666666666667</v>
      </c>
      <c r="F274" s="130">
        <v>5</v>
      </c>
      <c r="G274" s="130">
        <v>3.4666666666666663</v>
      </c>
      <c r="H274" s="130">
        <v>5.9333333333333336</v>
      </c>
      <c r="I274" s="130">
        <v>5.9333333333333336</v>
      </c>
      <c r="J274" s="130">
        <v>5.3333333333333321</v>
      </c>
      <c r="K274" s="130">
        <v>5.8666666666666671</v>
      </c>
      <c r="L274" s="130">
        <v>2.9666666666666663</v>
      </c>
      <c r="M274" s="130">
        <v>4.6999999999999993</v>
      </c>
      <c r="N274" s="130">
        <v>3.9</v>
      </c>
      <c r="O2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275" spans="1:15" x14ac:dyDescent="0.25">
      <c r="A275" s="15">
        <v>33062064070</v>
      </c>
      <c r="B275" s="16" t="str">
        <f>VLOOKUP(Projeção[[#This Row],[Código]],BD_Produto[#All],6,FALSE)</f>
        <v>Fragmentadora Fellowes 73CI Cross Cut - 230V - PN:4611901</v>
      </c>
      <c r="C275" s="130">
        <v>3.3333333333333335</v>
      </c>
      <c r="D275" s="130">
        <v>2.4666666666666663</v>
      </c>
      <c r="E275" s="130">
        <v>3.6333333333333324</v>
      </c>
      <c r="F275" s="130">
        <v>1.9333333333333336</v>
      </c>
      <c r="G275" s="130">
        <v>2.4000000000000004</v>
      </c>
      <c r="H275" s="130">
        <v>1.7333333333333336</v>
      </c>
      <c r="I275" s="130">
        <v>1.4666666666666668</v>
      </c>
      <c r="J275" s="130">
        <v>1.5999999999999999</v>
      </c>
      <c r="K275" s="130">
        <v>1.6333333333333335</v>
      </c>
      <c r="L275" s="130">
        <v>0.96666666666666656</v>
      </c>
      <c r="M275" s="130">
        <v>1.9666666666666668</v>
      </c>
      <c r="N275" s="130">
        <v>2.4333333333333331</v>
      </c>
      <c r="O2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2.8666666666666667</v>
      </c>
    </row>
    <row r="276" spans="1:15" x14ac:dyDescent="0.25">
      <c r="A276" s="15">
        <v>33062063026</v>
      </c>
      <c r="B276" s="16" t="str">
        <f>VLOOKUP(Projeção[[#This Row],[Código]],BD_Produto[#All],6,FALSE)</f>
        <v>Fragmentadora Fellowes 75CS Cross Cut - 120V - PN:4671901</v>
      </c>
      <c r="C276" s="130">
        <v>0.6</v>
      </c>
      <c r="D276" s="130">
        <v>0.33333333333333326</v>
      </c>
      <c r="E276" s="130">
        <v>0.19999999999999998</v>
      </c>
      <c r="F276" s="130">
        <v>2.4666666666666663</v>
      </c>
      <c r="G276" s="130">
        <v>2.5</v>
      </c>
      <c r="H276" s="130">
        <v>1.2999999999999998</v>
      </c>
      <c r="I276" s="130">
        <v>1.2999999999999998</v>
      </c>
      <c r="J276" s="130">
        <v>0.76666666666666661</v>
      </c>
      <c r="K276" s="130">
        <v>1.2999999999999998</v>
      </c>
      <c r="L276" s="130">
        <v>0.83333333333333315</v>
      </c>
      <c r="M276" s="130">
        <v>1.2333333333333332</v>
      </c>
      <c r="N276" s="130">
        <v>0.93333333333333313</v>
      </c>
      <c r="O2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0.43333333333333329</v>
      </c>
    </row>
    <row r="277" spans="1:15" x14ac:dyDescent="0.25">
      <c r="A277" s="15">
        <v>33062063027</v>
      </c>
      <c r="B277" s="16" t="str">
        <f>VLOOKUP(Projeção[[#This Row],[Código]],BD_Produto[#All],6,FALSE)</f>
        <v>Fragmentadora Fellowes 75CS Cross Cut - 230V - PN:</v>
      </c>
      <c r="C277" s="130">
        <v>0</v>
      </c>
      <c r="D277" s="130">
        <v>0</v>
      </c>
      <c r="E277" s="130">
        <v>0</v>
      </c>
      <c r="F277" s="130">
        <v>0</v>
      </c>
      <c r="G277" s="130">
        <v>0</v>
      </c>
      <c r="H277" s="130">
        <v>0</v>
      </c>
      <c r="I277" s="130">
        <v>0</v>
      </c>
      <c r="J277" s="130">
        <v>0</v>
      </c>
      <c r="K277" s="130">
        <v>0</v>
      </c>
      <c r="L277" s="130">
        <v>0</v>
      </c>
      <c r="M277" s="130">
        <v>0</v>
      </c>
      <c r="N277" s="130">
        <v>0</v>
      </c>
      <c r="O2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78" spans="1:15" x14ac:dyDescent="0.25">
      <c r="A278" s="15">
        <v>33062063028</v>
      </c>
      <c r="B278" s="16" t="str">
        <f>VLOOKUP(Projeção[[#This Row],[Código]],BD_Produto[#All],6,FALSE)</f>
        <v>Fragmentadora Fellowes 79Ci Cross Cut - 120V - PN:4679901</v>
      </c>
      <c r="C278" s="130">
        <v>11.466666666666667</v>
      </c>
      <c r="D278" s="130">
        <v>5.7333333333333343</v>
      </c>
      <c r="E278" s="130">
        <v>5.0999999999999996</v>
      </c>
      <c r="F278" s="130">
        <v>2.6666666666666661</v>
      </c>
      <c r="G278" s="130">
        <v>5.1666666666666661</v>
      </c>
      <c r="H278" s="130">
        <v>2.9333333333333331</v>
      </c>
      <c r="I278" s="130">
        <v>2.4666666666666663</v>
      </c>
      <c r="J278" s="130">
        <v>3.4666666666666672</v>
      </c>
      <c r="K278" s="130">
        <v>2.9</v>
      </c>
      <c r="L278" s="130">
        <v>3.7</v>
      </c>
      <c r="M278" s="130">
        <v>5.0666666666666655</v>
      </c>
      <c r="N278" s="130">
        <v>4.7666666666666675</v>
      </c>
      <c r="O2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6.2</v>
      </c>
    </row>
    <row r="279" spans="1:15" x14ac:dyDescent="0.25">
      <c r="A279" s="15">
        <v>33062063029</v>
      </c>
      <c r="B279" s="16" t="str">
        <f>VLOOKUP(Projeção[[#This Row],[Código]],BD_Produto[#All],6,FALSE)</f>
        <v>Fragmentadora Fellowes 79Ci Cross Cut - 230V - PN:</v>
      </c>
      <c r="C279" s="130">
        <v>10.466666666666665</v>
      </c>
      <c r="D279" s="130">
        <v>4.2333333333333334</v>
      </c>
      <c r="E279" s="130">
        <v>3.7333333333333334</v>
      </c>
      <c r="F279" s="130">
        <v>1.2999999999999998</v>
      </c>
      <c r="G279" s="130">
        <v>3.1999999999999997</v>
      </c>
      <c r="H279" s="130">
        <v>1.5333333333333332</v>
      </c>
      <c r="I279" s="130">
        <v>1.2</v>
      </c>
      <c r="J279" s="130">
        <v>1.5333333333333332</v>
      </c>
      <c r="K279" s="130">
        <v>1.5</v>
      </c>
      <c r="L279" s="130">
        <v>1.3666666666666665</v>
      </c>
      <c r="M279" s="130">
        <v>2.2333333333333334</v>
      </c>
      <c r="N279" s="130">
        <v>2.1666666666666665</v>
      </c>
      <c r="O2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5.7666666666666675</v>
      </c>
    </row>
    <row r="280" spans="1:15" x14ac:dyDescent="0.25">
      <c r="A280" s="15">
        <v>33062063030</v>
      </c>
      <c r="B280" s="16" t="str">
        <f>VLOOKUP(Projeção[[#This Row],[Código]],BD_Produto[#All],6,FALSE)</f>
        <v>Fragmentadora Fellowes 99Ci Cross Cut - 120V - PN:4691901</v>
      </c>
      <c r="C280" s="130">
        <v>2.3666666666666667</v>
      </c>
      <c r="D280" s="130">
        <v>1.7333333333333336</v>
      </c>
      <c r="E280" s="130">
        <v>0.93333333333333313</v>
      </c>
      <c r="F280" s="130">
        <v>0.53333333333333333</v>
      </c>
      <c r="G280" s="130">
        <v>0.33333333333333331</v>
      </c>
      <c r="H280" s="130">
        <v>0.33333333333333331</v>
      </c>
      <c r="I280" s="130">
        <v>0.33333333333333331</v>
      </c>
      <c r="J280" s="130">
        <v>0.33333333333333331</v>
      </c>
      <c r="K280" s="130">
        <v>0.3</v>
      </c>
      <c r="L280" s="130">
        <v>0.23333333333333334</v>
      </c>
      <c r="M280" s="130">
        <v>0.46666666666666656</v>
      </c>
      <c r="N280" s="130">
        <v>0.70000000000000007</v>
      </c>
      <c r="O2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1.9666666666666668</v>
      </c>
    </row>
    <row r="281" spans="1:15" ht="15" customHeight="1" x14ac:dyDescent="0.25">
      <c r="A281" s="15">
        <v>33062063031</v>
      </c>
      <c r="B281" s="16" t="str">
        <f>VLOOKUP(Projeção[[#This Row],[Código]],BD_Produto[#All],6,FALSE)</f>
        <v>Fragmentadora Fellowes 99Ci Cross Cut - 230V - PN:</v>
      </c>
      <c r="C281" s="130">
        <v>0</v>
      </c>
      <c r="D281" s="130">
        <v>0</v>
      </c>
      <c r="E281" s="130">
        <v>0</v>
      </c>
      <c r="F281" s="130">
        <v>0</v>
      </c>
      <c r="G281" s="130">
        <v>0</v>
      </c>
      <c r="H281" s="130">
        <v>0</v>
      </c>
      <c r="I281" s="130">
        <v>0</v>
      </c>
      <c r="J281" s="130">
        <v>0</v>
      </c>
      <c r="K281" s="130">
        <v>0</v>
      </c>
      <c r="L281" s="130">
        <v>0</v>
      </c>
      <c r="M281" s="130">
        <v>0</v>
      </c>
      <c r="N281" s="130">
        <v>0</v>
      </c>
      <c r="O2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2" spans="1:15" ht="15" customHeight="1" x14ac:dyDescent="0.25">
      <c r="A282" s="15">
        <v>33062064356</v>
      </c>
      <c r="B282" s="16" t="str">
        <f>VLOOKUP(Projeção[[#This Row],[Código]],BD_Produto[#All],6,FALSE)</f>
        <v>Fragmentadora Fellowes Automax 300C Cross Cut - 120V - PN:4651301</v>
      </c>
      <c r="C282" s="130">
        <v>3.3333333333333333E-2</v>
      </c>
      <c r="D282" s="130">
        <v>0.56666666666666654</v>
      </c>
      <c r="E282" s="130">
        <v>0.16666666666666663</v>
      </c>
      <c r="F282" s="130">
        <v>0.16666666666666663</v>
      </c>
      <c r="G282" s="130">
        <v>3.3333333333333333E-2</v>
      </c>
      <c r="H282" s="130">
        <v>0.36666666666666664</v>
      </c>
      <c r="I282" s="130">
        <v>0.19999999999999998</v>
      </c>
      <c r="J282" s="130">
        <v>0.36666666666666664</v>
      </c>
      <c r="K282" s="130">
        <v>0.36666666666666664</v>
      </c>
      <c r="L282" s="130">
        <v>9.9999999999999992E-2</v>
      </c>
      <c r="M282" s="130">
        <v>0.23333333333333328</v>
      </c>
      <c r="N282" s="130">
        <v>0.16666666666666663</v>
      </c>
      <c r="O2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3" spans="1:15" x14ac:dyDescent="0.25">
      <c r="A283" s="15">
        <v>33062064357</v>
      </c>
      <c r="B283" s="16" t="str">
        <f>VLOOKUP(Projeção[[#This Row],[Código]],BD_Produto[#All],6,FALSE)</f>
        <v>Fragmentadora Fellowes Automax 300C Cross Cut - 220V - PN:4651001</v>
      </c>
      <c r="C283" s="130">
        <v>3.3333333333333333E-2</v>
      </c>
      <c r="D283" s="130">
        <v>0</v>
      </c>
      <c r="E283" s="130">
        <v>0</v>
      </c>
      <c r="F283" s="130">
        <v>0</v>
      </c>
      <c r="G283" s="130">
        <v>0</v>
      </c>
      <c r="H283" s="130">
        <v>0.16666666666666663</v>
      </c>
      <c r="I283" s="130">
        <v>0.16666666666666663</v>
      </c>
      <c r="J283" s="130">
        <v>0.33333333333333326</v>
      </c>
      <c r="K283" s="130">
        <v>0.16666666666666663</v>
      </c>
      <c r="L283" s="130">
        <v>0.19999999999999998</v>
      </c>
      <c r="M283" s="130">
        <v>0.19999999999999998</v>
      </c>
      <c r="N283" s="130">
        <v>0.19999999999999998</v>
      </c>
      <c r="O2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4" spans="1:15" x14ac:dyDescent="0.25">
      <c r="A284" s="15">
        <v>33062064358</v>
      </c>
      <c r="B284" s="16" t="str">
        <f>VLOOKUP(Projeção[[#This Row],[Código]],BD_Produto[#All],6,FALSE)</f>
        <v>Fragmentadora Fellowes Automax 500C Cross Cut - 120V - PN:4652701</v>
      </c>
      <c r="C284" s="130">
        <v>0</v>
      </c>
      <c r="D284" s="130">
        <v>0</v>
      </c>
      <c r="E284" s="130">
        <v>0</v>
      </c>
      <c r="F284" s="130">
        <v>0</v>
      </c>
      <c r="G284" s="130">
        <v>0</v>
      </c>
      <c r="H284" s="130">
        <v>0</v>
      </c>
      <c r="I284" s="130">
        <v>0</v>
      </c>
      <c r="J284" s="130">
        <v>0</v>
      </c>
      <c r="K284" s="130">
        <v>0</v>
      </c>
      <c r="L284" s="130">
        <v>0</v>
      </c>
      <c r="M284" s="130">
        <v>0</v>
      </c>
      <c r="N284" s="130">
        <v>0</v>
      </c>
      <c r="O2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285" spans="1:15" x14ac:dyDescent="0.25">
      <c r="A285" s="15">
        <v>33062064359</v>
      </c>
      <c r="B285" s="16" t="str">
        <f>VLOOKUP(Projeção[[#This Row],[Código]],BD_Produto[#All],6,FALSE)</f>
        <v>Fragmentadora Fellowes Automax 500C Cross Cut - 220V - PN:4652801</v>
      </c>
      <c r="C285" s="130">
        <v>0</v>
      </c>
      <c r="D285" s="130">
        <v>0</v>
      </c>
      <c r="E285" s="130">
        <v>0</v>
      </c>
      <c r="F285" s="130">
        <v>0</v>
      </c>
      <c r="G285" s="130">
        <v>0</v>
      </c>
      <c r="H285" s="130">
        <v>0</v>
      </c>
      <c r="I285" s="130">
        <v>0</v>
      </c>
      <c r="J285" s="130">
        <v>0</v>
      </c>
      <c r="K285" s="130">
        <v>0</v>
      </c>
      <c r="L285" s="130">
        <v>0</v>
      </c>
      <c r="M285" s="130">
        <v>0</v>
      </c>
      <c r="N285" s="130">
        <v>0</v>
      </c>
      <c r="O2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6" spans="1:15" x14ac:dyDescent="0.25">
      <c r="A286" s="15">
        <v>33062062720</v>
      </c>
      <c r="B286" s="16" t="str">
        <f>VLOOKUP(Projeção[[#This Row],[Código]],BD_Produto[#All],6,FALSE)</f>
        <v>Fragmentadora Fellowes DS-1 Cross Cut - 120V - PN:3011008</v>
      </c>
      <c r="C286" s="130">
        <v>11.066666666666668</v>
      </c>
      <c r="D286" s="130">
        <v>6.9333333333333327</v>
      </c>
      <c r="E286" s="130">
        <v>4.2666666666666666</v>
      </c>
      <c r="F286" s="130">
        <v>1.833333333333333</v>
      </c>
      <c r="G286" s="130">
        <v>3.3333333333333326</v>
      </c>
      <c r="H286" s="130">
        <v>1.7</v>
      </c>
      <c r="I286" s="130">
        <v>1.0666666666666667</v>
      </c>
      <c r="J286" s="130">
        <v>1.7</v>
      </c>
      <c r="K286" s="130">
        <v>1.7</v>
      </c>
      <c r="L286" s="130">
        <v>1.5</v>
      </c>
      <c r="M286" s="130">
        <v>1.7999999999999998</v>
      </c>
      <c r="N286" s="130">
        <v>1.7</v>
      </c>
      <c r="O2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1.0999999999999999</v>
      </c>
    </row>
    <row r="287" spans="1:15" ht="15" customHeight="1" x14ac:dyDescent="0.25">
      <c r="A287" s="15">
        <v>33062062739</v>
      </c>
      <c r="B287" s="16" t="str">
        <f>VLOOKUP(Projeção[[#This Row],[Código]],BD_Produto[#All],6,FALSE)</f>
        <v>Fragmentadora Fellowes DS-1 Cross Cut - 230V - PN:3010113</v>
      </c>
      <c r="C287" s="130">
        <v>0</v>
      </c>
      <c r="D287" s="130">
        <v>0</v>
      </c>
      <c r="E287" s="130">
        <v>0</v>
      </c>
      <c r="F287" s="130">
        <v>0</v>
      </c>
      <c r="G287" s="130">
        <v>0</v>
      </c>
      <c r="H287" s="130">
        <v>0</v>
      </c>
      <c r="I287" s="130">
        <v>0</v>
      </c>
      <c r="J287" s="130">
        <v>0</v>
      </c>
      <c r="K287" s="130">
        <v>0</v>
      </c>
      <c r="L287" s="130">
        <v>0</v>
      </c>
      <c r="M287" s="130">
        <v>0</v>
      </c>
      <c r="N287" s="130">
        <v>0</v>
      </c>
      <c r="O2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8" spans="1:15" ht="15" customHeight="1" x14ac:dyDescent="0.25">
      <c r="A288" s="15">
        <v>33062062736</v>
      </c>
      <c r="B288" s="16" t="str">
        <f>VLOOKUP(Projeção[[#This Row],[Código]],BD_Produto[#All],6,FALSE)</f>
        <v>Fragmentadora Fellowes DS-1200Cs Cross Cut - 120V - PN:3409102</v>
      </c>
      <c r="C288" s="130">
        <v>9.6333333333333311</v>
      </c>
      <c r="D288" s="130">
        <v>4.9333333333333327</v>
      </c>
      <c r="E288" s="130">
        <v>3.566666666666666</v>
      </c>
      <c r="F288" s="130">
        <v>1.4333333333333333</v>
      </c>
      <c r="G288" s="130">
        <v>0.89999999999999991</v>
      </c>
      <c r="H288" s="130">
        <v>0.73333333333333328</v>
      </c>
      <c r="I288" s="130">
        <v>0.70000000000000007</v>
      </c>
      <c r="J288" s="130">
        <v>0.6333333333333333</v>
      </c>
      <c r="K288" s="130">
        <v>0.73333333333333328</v>
      </c>
      <c r="L288" s="130">
        <v>0.6333333333333333</v>
      </c>
      <c r="M288" s="130">
        <v>0.6333333333333333</v>
      </c>
      <c r="N288" s="130">
        <v>0.6333333333333333</v>
      </c>
      <c r="O2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89" spans="1:15" ht="15" customHeight="1" x14ac:dyDescent="0.25">
      <c r="A289" s="15">
        <v>33062062733</v>
      </c>
      <c r="B289" s="16" t="str">
        <f>VLOOKUP(Projeção[[#This Row],[Código]],BD_Produto[#All],6,FALSE)</f>
        <v>Fragmentadora Fellowes DS-1200Cs Cross Cut - 230V - PN:3409202</v>
      </c>
      <c r="C289" s="130">
        <v>0</v>
      </c>
      <c r="D289" s="130">
        <v>0</v>
      </c>
      <c r="E289" s="130">
        <v>0</v>
      </c>
      <c r="F289" s="130">
        <v>0</v>
      </c>
      <c r="G289" s="130">
        <v>0</v>
      </c>
      <c r="H289" s="130">
        <v>0</v>
      </c>
      <c r="I289" s="130">
        <v>0</v>
      </c>
      <c r="J289" s="130">
        <v>0</v>
      </c>
      <c r="K289" s="130">
        <v>0</v>
      </c>
      <c r="L289" s="130">
        <v>0</v>
      </c>
      <c r="M289" s="130">
        <v>0</v>
      </c>
      <c r="N289" s="130">
        <v>0</v>
      </c>
      <c r="O2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90" spans="1:15" ht="15" customHeight="1" x14ac:dyDescent="0.25">
      <c r="A290" s="15">
        <v>33062062737</v>
      </c>
      <c r="B290" s="16" t="str">
        <f>VLOOKUP(Projeção[[#This Row],[Código]],BD_Produto[#All],6,FALSE)</f>
        <v>Fragmentadora Fellowes DS-500C Cross Cut - 120V - PN:3413801</v>
      </c>
      <c r="C290" s="130">
        <v>15.499999999999998</v>
      </c>
      <c r="D290" s="130">
        <v>16.633333333333333</v>
      </c>
      <c r="E290" s="130">
        <v>7.5</v>
      </c>
      <c r="F290" s="130">
        <v>13.5</v>
      </c>
      <c r="G290" s="130">
        <v>16.600000000000001</v>
      </c>
      <c r="H290" s="130">
        <v>12.666666666666666</v>
      </c>
      <c r="I290" s="130">
        <v>11.966666666666665</v>
      </c>
      <c r="J290" s="130">
        <v>10.666666666666666</v>
      </c>
      <c r="K290" s="130">
        <v>12.666666666666666</v>
      </c>
      <c r="L290" s="130">
        <v>5.3999999999999995</v>
      </c>
      <c r="M290" s="130">
        <v>8.1333333333333346</v>
      </c>
      <c r="N290" s="130">
        <v>6.2666666666666666</v>
      </c>
      <c r="O2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</v>
      </c>
    </row>
    <row r="291" spans="1:15" ht="15" customHeight="1" x14ac:dyDescent="0.25">
      <c r="A291" s="15">
        <v>33062062731</v>
      </c>
      <c r="B291" s="16" t="str">
        <f>VLOOKUP(Projeção[[#This Row],[Código]],BD_Produto[#All],6,FALSE)</f>
        <v>Fragmentadora Fellowes DS-500C Cross Cut - 230V - PN:3401302</v>
      </c>
      <c r="C291" s="130">
        <v>0</v>
      </c>
      <c r="D291" s="130">
        <v>0</v>
      </c>
      <c r="E291" s="130">
        <v>0</v>
      </c>
      <c r="F291" s="130">
        <v>0</v>
      </c>
      <c r="G291" s="130">
        <v>0</v>
      </c>
      <c r="H291" s="130">
        <v>0</v>
      </c>
      <c r="I291" s="130">
        <v>0</v>
      </c>
      <c r="J291" s="130">
        <v>0</v>
      </c>
      <c r="K291" s="130">
        <v>0</v>
      </c>
      <c r="L291" s="130">
        <v>0</v>
      </c>
      <c r="M291" s="130">
        <v>0</v>
      </c>
      <c r="N291" s="130">
        <v>0</v>
      </c>
      <c r="O2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92" spans="1:15" ht="15" customHeight="1" x14ac:dyDescent="0.25">
      <c r="A292" s="15">
        <v>33062062735</v>
      </c>
      <c r="B292" s="16" t="str">
        <f>VLOOKUP(Projeção[[#This Row],[Código]],BD_Produto[#All],6,FALSE)</f>
        <v>Fragmentadora Fellowes DS-700C Cross Cut - 120V - PN:3403102</v>
      </c>
      <c r="C292" s="130">
        <v>0.16666666666666666</v>
      </c>
      <c r="D292" s="130">
        <v>1.8666666666666667</v>
      </c>
      <c r="E292" s="130">
        <v>0.5</v>
      </c>
      <c r="F292" s="130">
        <v>1.0666666666666667</v>
      </c>
      <c r="G292" s="130">
        <v>1.9666666666666663</v>
      </c>
      <c r="H292" s="130">
        <v>0.76666666666666661</v>
      </c>
      <c r="I292" s="130">
        <v>0.26666666666666666</v>
      </c>
      <c r="J292" s="130">
        <v>1.1333333333333333</v>
      </c>
      <c r="K292" s="130">
        <v>0.76666666666666661</v>
      </c>
      <c r="L292" s="130">
        <v>0.73333333333333339</v>
      </c>
      <c r="M292" s="130">
        <v>0.73333333333333339</v>
      </c>
      <c r="N292" s="130">
        <v>0.53333333333333333</v>
      </c>
      <c r="O2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1.5666666666666667</v>
      </c>
    </row>
    <row r="293" spans="1:15" ht="15" customHeight="1" x14ac:dyDescent="0.25">
      <c r="A293" s="15">
        <v>33062062732</v>
      </c>
      <c r="B293" s="16" t="str">
        <f>VLOOKUP(Projeção[[#This Row],[Código]],BD_Produto[#All],6,FALSE)</f>
        <v>Fragmentadora Fellowes DS-700C Cross Cut - 230V - PN:3403202</v>
      </c>
      <c r="C293" s="130">
        <v>0</v>
      </c>
      <c r="D293" s="130">
        <v>0</v>
      </c>
      <c r="E293" s="130">
        <v>0</v>
      </c>
      <c r="F293" s="130">
        <v>0</v>
      </c>
      <c r="G293" s="130">
        <v>0</v>
      </c>
      <c r="H293" s="130">
        <v>0</v>
      </c>
      <c r="I293" s="130">
        <v>0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94" spans="1:15" ht="15" customHeight="1" x14ac:dyDescent="0.25">
      <c r="A294" s="15">
        <v>33062062722</v>
      </c>
      <c r="B294" s="16" t="str">
        <f>VLOOKUP(Projeção[[#This Row],[Código]],BD_Produto[#All],6,FALSE)</f>
        <v>Fragmentadora Fellowes MS-450Cs Microshred - 120V - PN:3245005</v>
      </c>
      <c r="C294" s="130">
        <v>9.3666666666666671</v>
      </c>
      <c r="D294" s="130">
        <v>13</v>
      </c>
      <c r="E294" s="130">
        <v>6.2666666666666666</v>
      </c>
      <c r="F294" s="130">
        <v>6.6333333333333337</v>
      </c>
      <c r="G294" s="130">
        <v>4.833333333333333</v>
      </c>
      <c r="H294" s="130">
        <v>6.2333333333333325</v>
      </c>
      <c r="I294" s="130">
        <v>6.2</v>
      </c>
      <c r="J294" s="130">
        <v>5.3666666666666663</v>
      </c>
      <c r="K294" s="130">
        <v>6.2333333333333325</v>
      </c>
      <c r="L294" s="130">
        <v>36.866666666666667</v>
      </c>
      <c r="M294" s="130">
        <v>52.8</v>
      </c>
      <c r="N294" s="130">
        <v>54.133333333333326</v>
      </c>
      <c r="O2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14.666666666666668</v>
      </c>
    </row>
    <row r="295" spans="1:15" ht="15" customHeight="1" x14ac:dyDescent="0.25">
      <c r="A295" s="15">
        <v>33062062721</v>
      </c>
      <c r="B295" s="16" t="str">
        <f>VLOOKUP(Projeção[[#This Row],[Código]],BD_Produto[#All],6,FALSE)</f>
        <v>Fragmentadora Fellowes MS-450Cs Microshred - 230V - PN:3245335</v>
      </c>
      <c r="C295" s="130">
        <v>0</v>
      </c>
      <c r="D295" s="130">
        <v>0</v>
      </c>
      <c r="E295" s="130">
        <v>0</v>
      </c>
      <c r="F295" s="130">
        <v>0</v>
      </c>
      <c r="G295" s="130">
        <v>0</v>
      </c>
      <c r="H295" s="130">
        <v>0</v>
      </c>
      <c r="I295" s="130">
        <v>0</v>
      </c>
      <c r="J295" s="130">
        <v>0</v>
      </c>
      <c r="K295" s="130">
        <v>0</v>
      </c>
      <c r="L295" s="130">
        <v>0</v>
      </c>
      <c r="M295" s="130">
        <v>0</v>
      </c>
      <c r="N295" s="130">
        <v>0</v>
      </c>
      <c r="O2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96" spans="1:15" ht="15" customHeight="1" x14ac:dyDescent="0.25">
      <c r="A296" s="15">
        <v>33062062738</v>
      </c>
      <c r="B296" s="16" t="str">
        <f>VLOOKUP(Projeção[[#This Row],[Código]],BD_Produto[#All],6,FALSE)</f>
        <v>Fragmentadora Fellowes MS-460Cs Cross Cut - 120V - PN:3246003</v>
      </c>
      <c r="C296" s="130">
        <v>0.19999999999999998</v>
      </c>
      <c r="D296" s="130">
        <v>0.6333333333333333</v>
      </c>
      <c r="E296" s="130">
        <v>0.23333333333333328</v>
      </c>
      <c r="F296" s="130">
        <v>2.5</v>
      </c>
      <c r="G296" s="130">
        <v>0.76666666666666661</v>
      </c>
      <c r="H296" s="130">
        <v>1.0666666666666667</v>
      </c>
      <c r="I296" s="130">
        <v>1.0666666666666667</v>
      </c>
      <c r="J296" s="130">
        <v>1.0333333333333334</v>
      </c>
      <c r="K296" s="130">
        <v>1.0666666666666667</v>
      </c>
      <c r="L296" s="130">
        <v>0.76666666666666661</v>
      </c>
      <c r="M296" s="130">
        <v>2.8000000000000003</v>
      </c>
      <c r="N296" s="130">
        <v>2.7666666666666671</v>
      </c>
      <c r="O2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1.2333333333333332</v>
      </c>
    </row>
    <row r="297" spans="1:15" ht="15" customHeight="1" x14ac:dyDescent="0.25">
      <c r="A297" s="15">
        <v>33062062734</v>
      </c>
      <c r="B297" s="16" t="str">
        <f>VLOOKUP(Projeção[[#This Row],[Código]],BD_Produto[#All],6,FALSE)</f>
        <v>Fragmentadora Fellowes MS-460Cs Microshred - 230V - PN:3246237</v>
      </c>
      <c r="C297" s="130">
        <v>0</v>
      </c>
      <c r="D297" s="130">
        <v>0</v>
      </c>
      <c r="E297" s="130">
        <v>0</v>
      </c>
      <c r="F297" s="130">
        <v>0</v>
      </c>
      <c r="G297" s="130">
        <v>0</v>
      </c>
      <c r="H297" s="130">
        <v>0</v>
      </c>
      <c r="I297" s="130">
        <v>0</v>
      </c>
      <c r="J297" s="130">
        <v>0</v>
      </c>
      <c r="K297" s="130">
        <v>0</v>
      </c>
      <c r="L297" s="130">
        <v>0</v>
      </c>
      <c r="M297" s="130">
        <v>0</v>
      </c>
      <c r="N297" s="130">
        <v>0</v>
      </c>
      <c r="O2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98" spans="1:15" ht="15" customHeight="1" x14ac:dyDescent="0.25">
      <c r="A298" s="15">
        <v>33062062041</v>
      </c>
      <c r="B298" s="16" t="str">
        <f>VLOOKUP(Projeção[[#This Row],[Código]],BD_Produto[#All],6,FALSE)</f>
        <v>Fragmentadora Fellowes P-35C Cross Cut - 120V - PN:3209901</v>
      </c>
      <c r="C298" s="130">
        <v>4</v>
      </c>
      <c r="D298" s="130">
        <v>4</v>
      </c>
      <c r="E298" s="130">
        <v>0.79999999999999993</v>
      </c>
      <c r="F298" s="130">
        <v>0.79999999999999993</v>
      </c>
      <c r="G298" s="130">
        <v>0.79999999999999993</v>
      </c>
      <c r="H298" s="130">
        <v>0</v>
      </c>
      <c r="I298" s="130">
        <v>0</v>
      </c>
      <c r="J298" s="130">
        <v>0</v>
      </c>
      <c r="K298" s="130">
        <v>0</v>
      </c>
      <c r="L298" s="130">
        <v>0</v>
      </c>
      <c r="M298" s="130">
        <v>0</v>
      </c>
      <c r="N298" s="130">
        <v>0</v>
      </c>
      <c r="O2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299" spans="1:15" ht="15" customHeight="1" x14ac:dyDescent="0.25">
      <c r="A299" s="15">
        <v>33062062713</v>
      </c>
      <c r="B299" s="16" t="str">
        <f>VLOOKUP(Projeção[[#This Row],[Código]],BD_Produto[#All],6,FALSE)</f>
        <v>Fragmentadora Fellowes P-35C Cross Cut - 120V - PN:3209901</v>
      </c>
      <c r="C299" s="130">
        <v>30</v>
      </c>
      <c r="D299" s="130">
        <v>29.199999999999996</v>
      </c>
      <c r="E299" s="130">
        <v>11.7</v>
      </c>
      <c r="F299" s="130">
        <v>9.2666666666666657</v>
      </c>
      <c r="G299" s="130">
        <v>9.8333333333333339</v>
      </c>
      <c r="H299" s="130">
        <v>7.7</v>
      </c>
      <c r="I299" s="130">
        <v>6.9666666666666677</v>
      </c>
      <c r="J299" s="130">
        <v>6.8999999999999995</v>
      </c>
      <c r="K299" s="130">
        <v>7.7</v>
      </c>
      <c r="L299" s="130">
        <v>5.8</v>
      </c>
      <c r="M299" s="130">
        <v>6.4666666666666668</v>
      </c>
      <c r="N299" s="130">
        <v>7.5333333333333341</v>
      </c>
      <c r="O2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6.2666666666666666</v>
      </c>
    </row>
    <row r="300" spans="1:15" ht="15" customHeight="1" x14ac:dyDescent="0.25">
      <c r="A300" s="15">
        <v>33062062712</v>
      </c>
      <c r="B300" s="16" t="str">
        <f>VLOOKUP(Projeção[[#This Row],[Código]],BD_Produto[#All],6,FALSE)</f>
        <v>Fragmentadora Fellowes P-35C Cross Cut - 230V - PN:3213618</v>
      </c>
      <c r="C300" s="130">
        <v>15.2</v>
      </c>
      <c r="D300" s="130">
        <v>6.5666666666666655</v>
      </c>
      <c r="E300" s="130">
        <v>5.9333333333333327</v>
      </c>
      <c r="F300" s="130">
        <v>5.1666666666666661</v>
      </c>
      <c r="G300" s="130">
        <v>5.0666666666666664</v>
      </c>
      <c r="H300" s="130">
        <v>4.2333333333333325</v>
      </c>
      <c r="I300" s="130">
        <v>3.4666666666666663</v>
      </c>
      <c r="J300" s="130">
        <v>3.7666666666666666</v>
      </c>
      <c r="K300" s="130">
        <v>4.2333333333333325</v>
      </c>
      <c r="L300" s="130">
        <v>4.7666666666666675</v>
      </c>
      <c r="M300" s="130">
        <v>6.3333333333333339</v>
      </c>
      <c r="N300" s="130">
        <v>5.5333333333333323</v>
      </c>
      <c r="O3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6.1666666666666661</v>
      </c>
    </row>
    <row r="301" spans="1:15" ht="15" customHeight="1" x14ac:dyDescent="0.25">
      <c r="A301" s="15">
        <v>33062062717</v>
      </c>
      <c r="B301" s="16" t="str">
        <f>VLOOKUP(Projeção[[#This Row],[Código]],BD_Produto[#All],6,FALSE)</f>
        <v>Fragmentadora Fellowes P-48C Cross Cut - 120V - PN:3224910</v>
      </c>
      <c r="C301" s="130">
        <v>48.166666666666671</v>
      </c>
      <c r="D301" s="130">
        <v>49.13333333333334</v>
      </c>
      <c r="E301" s="130">
        <v>30.433333333333337</v>
      </c>
      <c r="F301" s="130">
        <v>31.4</v>
      </c>
      <c r="G301" s="130">
        <v>45.466666666666661</v>
      </c>
      <c r="H301" s="130">
        <v>23.93333333333333</v>
      </c>
      <c r="I301" s="130">
        <v>22.2</v>
      </c>
      <c r="J301" s="130">
        <v>23.033333333333331</v>
      </c>
      <c r="K301" s="130">
        <v>23.93333333333333</v>
      </c>
      <c r="L301" s="130">
        <v>21.433333333333334</v>
      </c>
      <c r="M301" s="130">
        <v>35.1</v>
      </c>
      <c r="N301" s="130">
        <v>32.633333333333333</v>
      </c>
      <c r="O3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3.4</v>
      </c>
    </row>
    <row r="302" spans="1:15" ht="15" customHeight="1" x14ac:dyDescent="0.25">
      <c r="A302" s="15">
        <v>33062062716</v>
      </c>
      <c r="B302" s="16" t="str">
        <f>VLOOKUP(Projeção[[#This Row],[Código]],BD_Produto[#All],6,FALSE)</f>
        <v>Fragmentadora Fellowes P-48C Cross Cut - 230V - PN:3214819</v>
      </c>
      <c r="C302" s="130">
        <v>12.700000000000001</v>
      </c>
      <c r="D302" s="130">
        <v>8.1333333333333346</v>
      </c>
      <c r="E302" s="130">
        <v>5.7333333333333334</v>
      </c>
      <c r="F302" s="130">
        <v>7.4333333333333318</v>
      </c>
      <c r="G302" s="130">
        <v>8.9</v>
      </c>
      <c r="H302" s="130">
        <v>5.3999999999999995</v>
      </c>
      <c r="I302" s="130">
        <v>4.0666666666666664</v>
      </c>
      <c r="J302" s="130">
        <v>3.4</v>
      </c>
      <c r="K302" s="130">
        <v>5.3999999999999995</v>
      </c>
      <c r="L302" s="130">
        <v>1.7</v>
      </c>
      <c r="M302" s="130">
        <v>2.2666666666666666</v>
      </c>
      <c r="N302" s="130">
        <v>1.5333333333333334</v>
      </c>
      <c r="O3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3.6333333333333337</v>
      </c>
    </row>
    <row r="303" spans="1:15" ht="15" customHeight="1" x14ac:dyDescent="0.25">
      <c r="A303" s="15">
        <v>33062062719</v>
      </c>
      <c r="B303" s="16" t="str">
        <f>VLOOKUP(Projeção[[#This Row],[Código]],BD_Produto[#All],6,FALSE)</f>
        <v>Fragmentadora Fellowes P-58Cs Cross Cut - 120V - PN:3225908</v>
      </c>
      <c r="C303" s="130">
        <v>25.933333333333337</v>
      </c>
      <c r="D303" s="130">
        <v>29.3</v>
      </c>
      <c r="E303" s="130">
        <v>13.433333333333334</v>
      </c>
      <c r="F303" s="130">
        <v>14.666666666666668</v>
      </c>
      <c r="G303" s="130">
        <v>12.233333333333333</v>
      </c>
      <c r="H303" s="130">
        <v>7.5666666666666673</v>
      </c>
      <c r="I303" s="130">
        <v>6.6999999999999993</v>
      </c>
      <c r="J303" s="130">
        <v>7.3333333333333321</v>
      </c>
      <c r="K303" s="130">
        <v>6.8333333333333321</v>
      </c>
      <c r="L303" s="130">
        <v>9.3666666666666654</v>
      </c>
      <c r="M303" s="130">
        <v>11.766666666666666</v>
      </c>
      <c r="N303" s="130">
        <v>11.466666666666667</v>
      </c>
      <c r="O3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2.6666666666666665</v>
      </c>
    </row>
    <row r="304" spans="1:15" ht="15" customHeight="1" x14ac:dyDescent="0.25">
      <c r="A304" s="15">
        <v>33062062718</v>
      </c>
      <c r="B304" s="16" t="str">
        <f>VLOOKUP(Projeção[[#This Row],[Código]],BD_Produto[#All],6,FALSE)</f>
        <v>Fragmentadora Fellowes P-58Cs Cross Cut - 230V - PN:3225825</v>
      </c>
      <c r="C304" s="130">
        <v>5.833333333333333</v>
      </c>
      <c r="D304" s="130">
        <v>11.266666666666667</v>
      </c>
      <c r="E304" s="130">
        <v>4.2666666666666666</v>
      </c>
      <c r="F304" s="130">
        <v>5.0333333333333332</v>
      </c>
      <c r="G304" s="130">
        <v>3.2333333333333334</v>
      </c>
      <c r="H304" s="130">
        <v>2.2333333333333329</v>
      </c>
      <c r="I304" s="130">
        <v>1.4000000000000001</v>
      </c>
      <c r="J304" s="130">
        <v>1.9333333333333336</v>
      </c>
      <c r="K304" s="130">
        <v>1.9666666666666663</v>
      </c>
      <c r="L304" s="130">
        <v>2.7333333333333338</v>
      </c>
      <c r="M304" s="130">
        <v>3.5999999999999996</v>
      </c>
      <c r="N304" s="130">
        <v>3.4666666666666672</v>
      </c>
      <c r="O3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5.9333333333333345</v>
      </c>
    </row>
    <row r="305" spans="1:15" ht="15" customHeight="1" x14ac:dyDescent="0.25">
      <c r="A305" s="15">
        <v>33062062042</v>
      </c>
      <c r="B305" s="16" t="str">
        <f>VLOOKUP(Projeção[[#This Row],[Código]],BD_Produto[#All],6,FALSE)</f>
        <v>Fragmentadora Fellowes P70CM Cross Cut - 120V - PN:3430101</v>
      </c>
      <c r="C305" s="130">
        <v>0</v>
      </c>
      <c r="D305" s="130">
        <v>0</v>
      </c>
      <c r="E305" s="130">
        <v>0</v>
      </c>
      <c r="F305" s="130">
        <v>0</v>
      </c>
      <c r="G305" s="130">
        <v>0</v>
      </c>
      <c r="H305" s="130">
        <v>0</v>
      </c>
      <c r="I305" s="130">
        <v>0</v>
      </c>
      <c r="J305" s="130">
        <v>0</v>
      </c>
      <c r="K305" s="130">
        <v>0</v>
      </c>
      <c r="L305" s="130">
        <v>0</v>
      </c>
      <c r="M305" s="130">
        <v>0</v>
      </c>
      <c r="N305" s="130">
        <v>0</v>
      </c>
      <c r="O3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06" spans="1:15" ht="15" customHeight="1" x14ac:dyDescent="0.25">
      <c r="A306" s="15">
        <v>33062062715</v>
      </c>
      <c r="B306" s="16" t="str">
        <f>VLOOKUP(Projeção[[#This Row],[Código]],BD_Produto[#All],6,FALSE)</f>
        <v>Fragmentadora Fellowes P70CM Cross Cut - 120V - PN:3430101</v>
      </c>
      <c r="C306" s="130">
        <v>28.466666666666669</v>
      </c>
      <c r="D306" s="130">
        <v>29.033333333333331</v>
      </c>
      <c r="E306" s="130">
        <v>10.033333333333335</v>
      </c>
      <c r="F306" s="130">
        <v>9</v>
      </c>
      <c r="G306" s="130">
        <v>8.466666666666665</v>
      </c>
      <c r="H306" s="130">
        <v>7.3333333333333339</v>
      </c>
      <c r="I306" s="130">
        <v>6.1666666666666661</v>
      </c>
      <c r="J306" s="130">
        <v>7.133333333333332</v>
      </c>
      <c r="K306" s="130">
        <v>7.2999999999999989</v>
      </c>
      <c r="L306" s="130">
        <v>7.2666666666666675</v>
      </c>
      <c r="M306" s="130">
        <v>9.6333333333333346</v>
      </c>
      <c r="N306" s="130">
        <v>9.3999999999999986</v>
      </c>
      <c r="O3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9.7000000000000011</v>
      </c>
    </row>
    <row r="307" spans="1:15" ht="15" customHeight="1" x14ac:dyDescent="0.25">
      <c r="A307" s="15">
        <v>33062062714</v>
      </c>
      <c r="B307" s="16" t="str">
        <f>VLOOKUP(Projeção[[#This Row],[Código]],BD_Produto[#All],6,FALSE)</f>
        <v>Fragmentadora Fellowes P70CM Cross Cut - 230V - PN:3433713</v>
      </c>
      <c r="C307" s="130">
        <v>5.9666666666666668</v>
      </c>
      <c r="D307" s="130">
        <v>8.3333333333333321</v>
      </c>
      <c r="E307" s="130">
        <v>3.7333333333333334</v>
      </c>
      <c r="F307" s="130">
        <v>4.3666666666666663</v>
      </c>
      <c r="G307" s="130">
        <v>3.3333333333333335</v>
      </c>
      <c r="H307" s="130">
        <v>2</v>
      </c>
      <c r="I307" s="130">
        <v>1.1666666666666667</v>
      </c>
      <c r="J307" s="130">
        <v>1.9333333333333331</v>
      </c>
      <c r="K307" s="130">
        <v>1.9666666666666663</v>
      </c>
      <c r="L307" s="130">
        <v>1.7999999999999998</v>
      </c>
      <c r="M307" s="130">
        <v>2.1333333333333333</v>
      </c>
      <c r="N307" s="130">
        <v>2.2333333333333329</v>
      </c>
      <c r="O3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9.5666666666666647</v>
      </c>
    </row>
    <row r="308" spans="1:15" ht="15" customHeight="1" x14ac:dyDescent="0.25">
      <c r="A308" s="15">
        <v>33062562857</v>
      </c>
      <c r="B308" s="16" t="str">
        <f>VLOOKUP(Projeção[[#This Row],[Código]],BD_Produto[#All],6,FALSE)</f>
        <v>Garra de encadernação Fellowes A4 Branca 10MM - 100pç - PN:5345806</v>
      </c>
      <c r="C308" s="130">
        <v>3.3333333333333333E-2</v>
      </c>
      <c r="D308" s="130">
        <v>3.3333333333333333E-2</v>
      </c>
      <c r="E308" s="130">
        <v>3.3333333333333333E-2</v>
      </c>
      <c r="F308" s="130">
        <v>3.3333333333333333E-2</v>
      </c>
      <c r="G308" s="130">
        <v>3.3333333333333333E-2</v>
      </c>
      <c r="H308" s="130">
        <v>3.3333333333333333E-2</v>
      </c>
      <c r="I308" s="130">
        <v>3.3333333333333333E-2</v>
      </c>
      <c r="J308" s="130">
        <v>3.3333333333333333E-2</v>
      </c>
      <c r="K308" s="130">
        <v>3.3333333333333333E-2</v>
      </c>
      <c r="L308" s="130">
        <v>3.3333333333333333E-2</v>
      </c>
      <c r="M308" s="130">
        <v>0</v>
      </c>
      <c r="N308" s="130">
        <v>0</v>
      </c>
      <c r="O3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309" spans="1:15" ht="15" customHeight="1" x14ac:dyDescent="0.25">
      <c r="A309" s="15">
        <v>33062562859</v>
      </c>
      <c r="B309" s="16" t="str">
        <f>VLOOKUP(Projeção[[#This Row],[Código]],BD_Produto[#All],6,FALSE)</f>
        <v>Garra de encadernação Fellowes A4 Branca 12MM - 100pç - PN:5346207</v>
      </c>
      <c r="C309" s="130">
        <v>0</v>
      </c>
      <c r="D309" s="130">
        <v>0</v>
      </c>
      <c r="E309" s="130">
        <v>0</v>
      </c>
      <c r="F309" s="130">
        <v>0</v>
      </c>
      <c r="G309" s="130">
        <v>0</v>
      </c>
      <c r="H309" s="130">
        <v>0</v>
      </c>
      <c r="I309" s="130">
        <v>0</v>
      </c>
      <c r="J309" s="130">
        <v>0</v>
      </c>
      <c r="K309" s="130">
        <v>0</v>
      </c>
      <c r="L309" s="130">
        <v>0</v>
      </c>
      <c r="M309" s="130">
        <v>0</v>
      </c>
      <c r="N309" s="130">
        <v>0</v>
      </c>
      <c r="O3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0.33333333333333326</v>
      </c>
    </row>
    <row r="310" spans="1:15" ht="15" customHeight="1" x14ac:dyDescent="0.25">
      <c r="A310" s="15">
        <v>33062562861</v>
      </c>
      <c r="B310" s="16" t="str">
        <f>VLOOKUP(Projeção[[#This Row],[Código]],BD_Produto[#All],6,FALSE)</f>
        <v>Garra de encadernação Fellowes A4 Branca 14MM - 100pç - PN:5346605</v>
      </c>
      <c r="C310" s="130">
        <v>3.3333333333333333E-2</v>
      </c>
      <c r="D310" s="130">
        <v>3.3333333333333333E-2</v>
      </c>
      <c r="E310" s="130">
        <v>3.3333333333333333E-2</v>
      </c>
      <c r="F310" s="130">
        <v>3.3333333333333333E-2</v>
      </c>
      <c r="G310" s="130">
        <v>3.3333333333333333E-2</v>
      </c>
      <c r="H310" s="130">
        <v>3.3333333333333333E-2</v>
      </c>
      <c r="I310" s="130">
        <v>3.3333333333333333E-2</v>
      </c>
      <c r="J310" s="130">
        <v>3.3333333333333333E-2</v>
      </c>
      <c r="K310" s="130">
        <v>3.3333333333333333E-2</v>
      </c>
      <c r="L310" s="130">
        <v>3.3333333333333333E-2</v>
      </c>
      <c r="M310" s="130">
        <v>0</v>
      </c>
      <c r="N310" s="130">
        <v>0</v>
      </c>
      <c r="O3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11" spans="1:15" ht="15" customHeight="1" x14ac:dyDescent="0.25">
      <c r="A311" s="15">
        <v>33062562863</v>
      </c>
      <c r="B311" s="16" t="str">
        <f>VLOOKUP(Projeção[[#This Row],[Código]],BD_Produto[#All],6,FALSE)</f>
        <v>Garra de encadernação Fellowes A4 Branca 16MM - 100pç - PN:5347006</v>
      </c>
      <c r="C311" s="130">
        <v>0</v>
      </c>
      <c r="D311" s="130">
        <v>0</v>
      </c>
      <c r="E311" s="130">
        <v>0</v>
      </c>
      <c r="F311" s="130">
        <v>0</v>
      </c>
      <c r="G311" s="130">
        <v>0</v>
      </c>
      <c r="H311" s="130">
        <v>0.16666666666666663</v>
      </c>
      <c r="I311" s="130">
        <v>0.16666666666666663</v>
      </c>
      <c r="J311" s="130">
        <v>0.16666666666666663</v>
      </c>
      <c r="K311" s="130">
        <v>0.16666666666666663</v>
      </c>
      <c r="L311" s="130">
        <v>3.3333333333333333E-2</v>
      </c>
      <c r="M311" s="130">
        <v>9.9999999999999992E-2</v>
      </c>
      <c r="N311" s="130">
        <v>9.9999999999999992E-2</v>
      </c>
      <c r="O3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12" spans="1:15" ht="15" customHeight="1" x14ac:dyDescent="0.25">
      <c r="A312" s="15">
        <v>33062562865</v>
      </c>
      <c r="B312" s="16" t="str">
        <f>VLOOKUP(Projeção[[#This Row],[Código]],BD_Produto[#All],6,FALSE)</f>
        <v>Garra de encadernação Fellowes A4 Branca 19MM - 100pç - PN:5347406</v>
      </c>
      <c r="C312" s="130">
        <v>0</v>
      </c>
      <c r="D312" s="130">
        <v>0</v>
      </c>
      <c r="E312" s="130">
        <v>0</v>
      </c>
      <c r="F312" s="130">
        <v>0</v>
      </c>
      <c r="G312" s="130">
        <v>0</v>
      </c>
      <c r="H312" s="130">
        <v>0</v>
      </c>
      <c r="I312" s="130">
        <v>0</v>
      </c>
      <c r="J312" s="130">
        <v>0</v>
      </c>
      <c r="K312" s="130">
        <v>0</v>
      </c>
      <c r="L312" s="130">
        <v>0</v>
      </c>
      <c r="M312" s="130">
        <v>0</v>
      </c>
      <c r="N312" s="130">
        <v>0</v>
      </c>
      <c r="O3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13" spans="1:15" ht="15" customHeight="1" x14ac:dyDescent="0.25">
      <c r="A313" s="15">
        <v>33062562867</v>
      </c>
      <c r="B313" s="16" t="str">
        <f>VLOOKUP(Projeção[[#This Row],[Código]],BD_Produto[#All],6,FALSE)</f>
        <v>Garra de encadernação Fellowes A4 Branca 22MM - 50pç - PN:5347804</v>
      </c>
      <c r="C313" s="130">
        <v>0</v>
      </c>
      <c r="D313" s="130">
        <v>0</v>
      </c>
      <c r="E313" s="130">
        <v>0</v>
      </c>
      <c r="F313" s="130">
        <v>0</v>
      </c>
      <c r="G313" s="130">
        <v>0</v>
      </c>
      <c r="H313" s="130">
        <v>0</v>
      </c>
      <c r="I313" s="130">
        <v>0</v>
      </c>
      <c r="J313" s="130">
        <v>0</v>
      </c>
      <c r="K313" s="130">
        <v>0</v>
      </c>
      <c r="L313" s="130">
        <v>0</v>
      </c>
      <c r="M313" s="130">
        <v>0</v>
      </c>
      <c r="N313" s="130">
        <v>0</v>
      </c>
      <c r="O3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14" spans="1:15" ht="15" customHeight="1" x14ac:dyDescent="0.25">
      <c r="A314" s="15">
        <v>33062562869</v>
      </c>
      <c r="B314" s="16" t="str">
        <f>VLOOKUP(Projeção[[#This Row],[Código]],BD_Produto[#All],6,FALSE)</f>
        <v>Garra de encadernação Fellowes A4 Branca 25MM - 50pç - PN:5348205</v>
      </c>
      <c r="C314" s="130">
        <v>0</v>
      </c>
      <c r="D314" s="130">
        <v>0</v>
      </c>
      <c r="E314" s="130">
        <v>0</v>
      </c>
      <c r="F314" s="130">
        <v>0</v>
      </c>
      <c r="G314" s="130">
        <v>0</v>
      </c>
      <c r="H314" s="130">
        <v>0</v>
      </c>
      <c r="I314" s="130">
        <v>0</v>
      </c>
      <c r="J314" s="130">
        <v>0</v>
      </c>
      <c r="K314" s="130">
        <v>0</v>
      </c>
      <c r="L314" s="130">
        <v>0</v>
      </c>
      <c r="M314" s="130">
        <v>0</v>
      </c>
      <c r="N314" s="130">
        <v>0</v>
      </c>
      <c r="O3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15" spans="1:15" ht="15" customHeight="1" x14ac:dyDescent="0.25">
      <c r="A315" s="15">
        <v>33062562853</v>
      </c>
      <c r="B315" s="16" t="str">
        <f>VLOOKUP(Projeção[[#This Row],[Código]],BD_Produto[#All],6,FALSE)</f>
        <v>Garra de encadernação Fellowes A4 Branca 6MM - 100pç - PN:5345006</v>
      </c>
      <c r="C315" s="130">
        <v>0.16666666666666663</v>
      </c>
      <c r="D315" s="130">
        <v>0.16666666666666663</v>
      </c>
      <c r="E315" s="130">
        <v>3.3333333333333333E-2</v>
      </c>
      <c r="F315" s="130">
        <v>3.3333333333333333E-2</v>
      </c>
      <c r="G315" s="130">
        <v>3.3333333333333333E-2</v>
      </c>
      <c r="H315" s="130">
        <v>3.3333333333333333E-2</v>
      </c>
      <c r="I315" s="130">
        <v>3.3333333333333333E-2</v>
      </c>
      <c r="J315" s="130">
        <v>3.3333333333333333E-2</v>
      </c>
      <c r="K315" s="130">
        <v>3.3333333333333333E-2</v>
      </c>
      <c r="L315" s="130">
        <v>3.3333333333333333E-2</v>
      </c>
      <c r="M315" s="130">
        <v>3.3333333333333333E-2</v>
      </c>
      <c r="N315" s="130">
        <v>3.3333333333333333E-2</v>
      </c>
      <c r="O3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316" spans="1:15" ht="15" customHeight="1" x14ac:dyDescent="0.25">
      <c r="A316" s="15">
        <v>33062562855</v>
      </c>
      <c r="B316" s="16" t="str">
        <f>VLOOKUP(Projeção[[#This Row],[Código]],BD_Produto[#All],6,FALSE)</f>
        <v>Garra de encadernação Fellowes A4 Branca 8MM - 100pç - PN:5345407</v>
      </c>
      <c r="C316" s="130">
        <v>3.3333333333333333E-2</v>
      </c>
      <c r="D316" s="130">
        <v>3.3333333333333333E-2</v>
      </c>
      <c r="E316" s="130">
        <v>3.3333333333333333E-2</v>
      </c>
      <c r="F316" s="130">
        <v>3.3333333333333333E-2</v>
      </c>
      <c r="G316" s="130">
        <v>3.3333333333333333E-2</v>
      </c>
      <c r="H316" s="130">
        <v>3.3333333333333333E-2</v>
      </c>
      <c r="I316" s="130">
        <v>3.3333333333333333E-2</v>
      </c>
      <c r="J316" s="130">
        <v>3.3333333333333333E-2</v>
      </c>
      <c r="K316" s="130">
        <v>3.3333333333333333E-2</v>
      </c>
      <c r="L316" s="130">
        <v>3.3333333333333333E-2</v>
      </c>
      <c r="M316" s="130">
        <v>0</v>
      </c>
      <c r="N316" s="130">
        <v>0</v>
      </c>
      <c r="O3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17" spans="1:15" ht="15" customHeight="1" x14ac:dyDescent="0.25">
      <c r="A317" s="15">
        <v>33062562858</v>
      </c>
      <c r="B317" s="16" t="str">
        <f>VLOOKUP(Projeção[[#This Row],[Código]],BD_Produto[#All],6,FALSE)</f>
        <v>Garra de encadernação Fellowes A4 Preta 10MM - 100pç - PN:5346109</v>
      </c>
      <c r="C317" s="130">
        <v>1.1666666666666665</v>
      </c>
      <c r="D317" s="130">
        <v>0.36666666666666664</v>
      </c>
      <c r="E317" s="130">
        <v>0.36666666666666664</v>
      </c>
      <c r="F317" s="130">
        <v>9.9999999999999992E-2</v>
      </c>
      <c r="G317" s="130">
        <v>9.9999999999999992E-2</v>
      </c>
      <c r="H317" s="130">
        <v>1.0999999999999999</v>
      </c>
      <c r="I317" s="130">
        <v>0.6</v>
      </c>
      <c r="J317" s="130">
        <v>1.0666666666666667</v>
      </c>
      <c r="K317" s="130">
        <v>1.0999999999999999</v>
      </c>
      <c r="L317" s="130">
        <v>0.26666666666666666</v>
      </c>
      <c r="M317" s="130">
        <v>0.66666666666666652</v>
      </c>
      <c r="N317" s="130">
        <v>0.46666666666666656</v>
      </c>
      <c r="O3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0.19999999999999998</v>
      </c>
    </row>
    <row r="318" spans="1:15" ht="15" customHeight="1" x14ac:dyDescent="0.25">
      <c r="A318" s="15">
        <v>33062562860</v>
      </c>
      <c r="B318" s="16" t="str">
        <f>VLOOKUP(Projeção[[#This Row],[Código]],BD_Produto[#All],6,FALSE)</f>
        <v>Garra de encadernação Fellowes A4 Preta 12MM - 100pç - PN:5346508</v>
      </c>
      <c r="C318" s="130">
        <v>0.6</v>
      </c>
      <c r="D318" s="130">
        <v>0.19999999999999998</v>
      </c>
      <c r="E318" s="130">
        <v>0.76666666666666661</v>
      </c>
      <c r="F318" s="130">
        <v>0.23333333333333328</v>
      </c>
      <c r="G318" s="130">
        <v>0.23333333333333328</v>
      </c>
      <c r="H318" s="130">
        <v>0.26666666666666666</v>
      </c>
      <c r="I318" s="130">
        <v>0.26666666666666666</v>
      </c>
      <c r="J318" s="130">
        <v>0.23333333333333328</v>
      </c>
      <c r="K318" s="130">
        <v>0.26666666666666666</v>
      </c>
      <c r="L318" s="130">
        <v>9.9999999999999992E-2</v>
      </c>
      <c r="M318" s="130">
        <v>0.16666666666666663</v>
      </c>
      <c r="N318" s="130">
        <v>0.16666666666666663</v>
      </c>
      <c r="O3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0.70000000000000007</v>
      </c>
    </row>
    <row r="319" spans="1:15" ht="15" customHeight="1" x14ac:dyDescent="0.25">
      <c r="A319" s="15">
        <v>33062562862</v>
      </c>
      <c r="B319" s="16" t="str">
        <f>VLOOKUP(Projeção[[#This Row],[Código]],BD_Produto[#All],6,FALSE)</f>
        <v>Garra de encadernação Fellowes A4 Preta 14MM - 100pç - PN:5346908</v>
      </c>
      <c r="C319" s="130">
        <v>0.56666666666666654</v>
      </c>
      <c r="D319" s="130">
        <v>0.16666666666666663</v>
      </c>
      <c r="E319" s="130">
        <v>0.16666666666666663</v>
      </c>
      <c r="F319" s="130">
        <v>3.3333333333333333E-2</v>
      </c>
      <c r="G319" s="130">
        <v>3.3333333333333333E-2</v>
      </c>
      <c r="H319" s="130">
        <v>3.3333333333333333E-2</v>
      </c>
      <c r="I319" s="130">
        <v>3.3333333333333333E-2</v>
      </c>
      <c r="J319" s="130">
        <v>3.3333333333333333E-2</v>
      </c>
      <c r="K319" s="130">
        <v>3.3333333333333333E-2</v>
      </c>
      <c r="L319" s="130">
        <v>3.3333333333333333E-2</v>
      </c>
      <c r="M319" s="130">
        <v>3.3333333333333333E-2</v>
      </c>
      <c r="N319" s="130">
        <v>3.3333333333333333E-2</v>
      </c>
      <c r="O3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20" spans="1:15" ht="15" customHeight="1" x14ac:dyDescent="0.25">
      <c r="A320" s="15">
        <v>33062562864</v>
      </c>
      <c r="B320" s="16" t="str">
        <f>VLOOKUP(Projeção[[#This Row],[Código]],BD_Produto[#All],6,FALSE)</f>
        <v>Garra de encadernação Fellowes A4 Preta 16MM - 100pç - PN:5347308</v>
      </c>
      <c r="C320" s="130">
        <v>0.56666666666666654</v>
      </c>
      <c r="D320" s="130">
        <v>0.16666666666666663</v>
      </c>
      <c r="E320" s="130">
        <v>0.16666666666666663</v>
      </c>
      <c r="F320" s="130">
        <v>3.3333333333333333E-2</v>
      </c>
      <c r="G320" s="130">
        <v>3.3333333333333333E-2</v>
      </c>
      <c r="H320" s="130">
        <v>3.3333333333333333E-2</v>
      </c>
      <c r="I320" s="130">
        <v>3.3333333333333333E-2</v>
      </c>
      <c r="J320" s="130">
        <v>3.3333333333333333E-2</v>
      </c>
      <c r="K320" s="130">
        <v>3.3333333333333333E-2</v>
      </c>
      <c r="L320" s="130">
        <v>3.3333333333333333E-2</v>
      </c>
      <c r="M320" s="130">
        <v>3.3333333333333333E-2</v>
      </c>
      <c r="N320" s="130">
        <v>3.3333333333333333E-2</v>
      </c>
      <c r="O3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21" spans="1:15" ht="15" customHeight="1" x14ac:dyDescent="0.25">
      <c r="A321" s="15">
        <v>33062562866</v>
      </c>
      <c r="B321" s="16" t="str">
        <f>VLOOKUP(Projeção[[#This Row],[Código]],BD_Produto[#All],6,FALSE)</f>
        <v>Garra de encadernação Fellowes A4 Preta 19MM - 100pç - PN:5347706</v>
      </c>
      <c r="C321" s="130">
        <v>0</v>
      </c>
      <c r="D321" s="130">
        <v>0</v>
      </c>
      <c r="E321" s="130">
        <v>0</v>
      </c>
      <c r="F321" s="130">
        <v>0</v>
      </c>
      <c r="G321" s="130">
        <v>0</v>
      </c>
      <c r="H321" s="130">
        <v>1</v>
      </c>
      <c r="I321" s="130">
        <v>0.5</v>
      </c>
      <c r="J321" s="130">
        <v>1</v>
      </c>
      <c r="K321" s="130">
        <v>1</v>
      </c>
      <c r="L321" s="130">
        <v>0.19999999999999998</v>
      </c>
      <c r="M321" s="130">
        <v>0.83333333333333337</v>
      </c>
      <c r="N321" s="130">
        <v>0.6333333333333333</v>
      </c>
      <c r="O3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322" spans="1:15" ht="15" customHeight="1" x14ac:dyDescent="0.25">
      <c r="A322" s="15">
        <v>33062562868</v>
      </c>
      <c r="B322" s="16" t="str">
        <f>VLOOKUP(Projeção[[#This Row],[Código]],BD_Produto[#All],6,FALSE)</f>
        <v>Garra de encadernação Fellowes A4 Preta 22MM - 50pç - PN:5348104</v>
      </c>
      <c r="C322" s="130">
        <v>6.6666666666666666E-2</v>
      </c>
      <c r="D322" s="130">
        <v>6.6666666666666666E-2</v>
      </c>
      <c r="E322" s="130">
        <v>6.6666666666666666E-2</v>
      </c>
      <c r="F322" s="130">
        <v>6.6666666666666666E-2</v>
      </c>
      <c r="G322" s="130">
        <v>6.6666666666666666E-2</v>
      </c>
      <c r="H322" s="130">
        <v>0.23333333333333328</v>
      </c>
      <c r="I322" s="130">
        <v>0.23333333333333328</v>
      </c>
      <c r="J322" s="130">
        <v>0.16666666666666663</v>
      </c>
      <c r="K322" s="130">
        <v>0.23333333333333328</v>
      </c>
      <c r="L322" s="130">
        <v>3.3333333333333333E-2</v>
      </c>
      <c r="M322" s="130">
        <v>9.9999999999999992E-2</v>
      </c>
      <c r="N322" s="130">
        <v>9.9999999999999992E-2</v>
      </c>
      <c r="O3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23" spans="1:15" ht="15" customHeight="1" x14ac:dyDescent="0.25">
      <c r="A323" s="15">
        <v>33062562870</v>
      </c>
      <c r="B323" s="16" t="str">
        <f>VLOOKUP(Projeção[[#This Row],[Código]],BD_Produto[#All],6,FALSE)</f>
        <v>Garra de encadernação Fellowes A4 Preta 25MM - 50pç - PN:5348505</v>
      </c>
      <c r="C323" s="130">
        <v>6.6666666666666666E-2</v>
      </c>
      <c r="D323" s="130">
        <v>6.6666666666666666E-2</v>
      </c>
      <c r="E323" s="130">
        <v>6.6666666666666666E-2</v>
      </c>
      <c r="F323" s="130">
        <v>6.6666666666666666E-2</v>
      </c>
      <c r="G323" s="130">
        <v>6.6666666666666666E-2</v>
      </c>
      <c r="H323" s="130">
        <v>0.23333333333333328</v>
      </c>
      <c r="I323" s="130">
        <v>0.23333333333333328</v>
      </c>
      <c r="J323" s="130">
        <v>0.16666666666666663</v>
      </c>
      <c r="K323" s="130">
        <v>0.23333333333333328</v>
      </c>
      <c r="L323" s="130">
        <v>3.3333333333333333E-2</v>
      </c>
      <c r="M323" s="130">
        <v>9.9999999999999992E-2</v>
      </c>
      <c r="N323" s="130">
        <v>9.9999999999999992E-2</v>
      </c>
      <c r="O3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24" spans="1:15" ht="15" customHeight="1" x14ac:dyDescent="0.25">
      <c r="A324" s="15">
        <v>33062562871</v>
      </c>
      <c r="B324" s="16" t="str">
        <f>VLOOKUP(Projeção[[#This Row],[Código]],BD_Produto[#All],6,FALSE)</f>
        <v>Garra de encadernação Fellowes A4 Preta 28MM - 50pç - PN:5348903</v>
      </c>
      <c r="C324" s="130">
        <v>0</v>
      </c>
      <c r="D324" s="130">
        <v>0</v>
      </c>
      <c r="E324" s="130">
        <v>0</v>
      </c>
      <c r="F324" s="130">
        <v>0</v>
      </c>
      <c r="G324" s="130">
        <v>0</v>
      </c>
      <c r="H324" s="130">
        <v>0.66666666666666652</v>
      </c>
      <c r="I324" s="130">
        <v>0.33333333333333326</v>
      </c>
      <c r="J324" s="130">
        <v>0.66666666666666652</v>
      </c>
      <c r="K324" s="130">
        <v>0.66666666666666652</v>
      </c>
      <c r="L324" s="130">
        <v>0.13333333333333333</v>
      </c>
      <c r="M324" s="130">
        <v>0.39999999999999997</v>
      </c>
      <c r="N324" s="130">
        <v>0.26666666666666666</v>
      </c>
      <c r="O3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325" spans="1:15" ht="15" customHeight="1" x14ac:dyDescent="0.25">
      <c r="A325" s="15">
        <v>33062562854</v>
      </c>
      <c r="B325" s="16" t="str">
        <f>VLOOKUP(Projeção[[#This Row],[Código]],BD_Produto[#All],6,FALSE)</f>
        <v>Garra de encadernação Fellowes A4 Preta 6MM - 100pç - PN:5345308</v>
      </c>
      <c r="C325" s="130">
        <v>0.56666666666666654</v>
      </c>
      <c r="D325" s="130">
        <v>0.16666666666666663</v>
      </c>
      <c r="E325" s="130">
        <v>0.16666666666666663</v>
      </c>
      <c r="F325" s="130">
        <v>3.3333333333333333E-2</v>
      </c>
      <c r="G325" s="130">
        <v>3.3333333333333333E-2</v>
      </c>
      <c r="H325" s="130">
        <v>3.3333333333333333E-2</v>
      </c>
      <c r="I325" s="130">
        <v>3.3333333333333333E-2</v>
      </c>
      <c r="J325" s="130">
        <v>3.3333333333333333E-2</v>
      </c>
      <c r="K325" s="130">
        <v>3.3333333333333333E-2</v>
      </c>
      <c r="L325" s="130">
        <v>3.3333333333333333E-2</v>
      </c>
      <c r="M325" s="130">
        <v>3.3333333333333333E-2</v>
      </c>
      <c r="N325" s="130">
        <v>3.3333333333333333E-2</v>
      </c>
      <c r="O3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326" spans="1:15" ht="15" customHeight="1" x14ac:dyDescent="0.25">
      <c r="A326" s="15">
        <v>33062562856</v>
      </c>
      <c r="B326" s="16" t="str">
        <f>VLOOKUP(Projeção[[#This Row],[Código]],BD_Produto[#All],6,FALSE)</f>
        <v>Garra de encadernação Fellowes A4 Preta 8MM - 100pç - PN:5345708</v>
      </c>
      <c r="C326" s="130">
        <v>1.4333333333333333</v>
      </c>
      <c r="D326" s="130">
        <v>0.6333333333333333</v>
      </c>
      <c r="E326" s="130">
        <v>1.0666666666666667</v>
      </c>
      <c r="F326" s="130">
        <v>0.39999999999999997</v>
      </c>
      <c r="G326" s="130">
        <v>0.39999999999999997</v>
      </c>
      <c r="H326" s="130">
        <v>0.26666666666666666</v>
      </c>
      <c r="I326" s="130">
        <v>0.26666666666666666</v>
      </c>
      <c r="J326" s="130">
        <v>0.23333333333333334</v>
      </c>
      <c r="K326" s="130">
        <v>0.26666666666666666</v>
      </c>
      <c r="L326" s="130">
        <v>0.13333333333333333</v>
      </c>
      <c r="M326" s="130">
        <v>0.3666666666666667</v>
      </c>
      <c r="N326" s="130">
        <v>0.3666666666666667</v>
      </c>
      <c r="O3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327" spans="1:15" ht="15" customHeight="1" x14ac:dyDescent="0.25">
      <c r="A327" s="15">
        <v>33062562872</v>
      </c>
      <c r="B327" s="16" t="str">
        <f>VLOOKUP(Projeção[[#This Row],[Código]],BD_Produto[#All],6,FALSE)</f>
        <v>Garra de encadernação ovalada Fellowes A4 Preta 32MM - 50pç - PN:5349303</v>
      </c>
      <c r="C327" s="130">
        <v>0</v>
      </c>
      <c r="D327" s="130">
        <v>0</v>
      </c>
      <c r="E327" s="130">
        <v>0</v>
      </c>
      <c r="F327" s="130">
        <v>0</v>
      </c>
      <c r="G327" s="130">
        <v>0</v>
      </c>
      <c r="H327" s="130">
        <v>0</v>
      </c>
      <c r="I327" s="130">
        <v>0</v>
      </c>
      <c r="J327" s="130">
        <v>0</v>
      </c>
      <c r="K327" s="130">
        <v>0</v>
      </c>
      <c r="L327" s="130">
        <v>0</v>
      </c>
      <c r="M327" s="130">
        <v>0</v>
      </c>
      <c r="N327" s="130">
        <v>0</v>
      </c>
      <c r="O3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28" spans="1:15" ht="15" customHeight="1" x14ac:dyDescent="0.25">
      <c r="A328" s="15">
        <v>33062562873</v>
      </c>
      <c r="B328" s="16" t="str">
        <f>VLOOKUP(Projeção[[#This Row],[Código]],BD_Produto[#All],6,FALSE)</f>
        <v>Garra de encadernação ovalada Fellowes A4 Preta 38MM - 50pç - PN:5349703</v>
      </c>
      <c r="C328" s="130">
        <v>6.6666666666666666E-2</v>
      </c>
      <c r="D328" s="130">
        <v>6.6666666666666666E-2</v>
      </c>
      <c r="E328" s="130">
        <v>6.6666666666666666E-2</v>
      </c>
      <c r="F328" s="130">
        <v>6.6666666666666666E-2</v>
      </c>
      <c r="G328" s="130">
        <v>6.6666666666666666E-2</v>
      </c>
      <c r="H328" s="130">
        <v>6.6666666666666666E-2</v>
      </c>
      <c r="I328" s="130">
        <v>6.6666666666666666E-2</v>
      </c>
      <c r="J328" s="130">
        <v>0</v>
      </c>
      <c r="K328" s="130">
        <v>6.6666666666666666E-2</v>
      </c>
      <c r="L328" s="130">
        <v>0</v>
      </c>
      <c r="M328" s="130">
        <v>0</v>
      </c>
      <c r="N328" s="130">
        <v>0</v>
      </c>
      <c r="O3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29" spans="1:15" ht="15" customHeight="1" x14ac:dyDescent="0.25">
      <c r="A329" s="15">
        <v>33062562874</v>
      </c>
      <c r="B329" s="16" t="str">
        <f>VLOOKUP(Projeção[[#This Row],[Código]],BD_Produto[#All],6,FALSE)</f>
        <v>Garra de encadernação ovalada Fellowes A4 Preta 45MM - 50pç - PN:5350103</v>
      </c>
      <c r="C329" s="130">
        <v>0</v>
      </c>
      <c r="D329" s="130">
        <v>0</v>
      </c>
      <c r="E329" s="130">
        <v>0</v>
      </c>
      <c r="F329" s="130">
        <v>0</v>
      </c>
      <c r="G329" s="130">
        <v>0</v>
      </c>
      <c r="H329" s="130">
        <v>0</v>
      </c>
      <c r="I329" s="130">
        <v>0</v>
      </c>
      <c r="J329" s="130">
        <v>0</v>
      </c>
      <c r="K329" s="130">
        <v>0</v>
      </c>
      <c r="L329" s="130">
        <v>0</v>
      </c>
      <c r="M329" s="130">
        <v>0</v>
      </c>
      <c r="N329" s="130">
        <v>0</v>
      </c>
      <c r="O3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30" spans="1:15" ht="15" customHeight="1" x14ac:dyDescent="0.25">
      <c r="A330" s="15">
        <v>33062562875</v>
      </c>
      <c r="B330" s="16" t="str">
        <f>VLOOKUP(Projeção[[#This Row],[Código]],BD_Produto[#All],6,FALSE)</f>
        <v>Garra de encadernação ovalada Fellowes A4 Preta 51MM - 50pç - PN:5350503</v>
      </c>
      <c r="C330" s="130">
        <v>0</v>
      </c>
      <c r="D330" s="130">
        <v>0</v>
      </c>
      <c r="E330" s="130">
        <v>0</v>
      </c>
      <c r="F330" s="130">
        <v>0</v>
      </c>
      <c r="G330" s="130">
        <v>0</v>
      </c>
      <c r="H330" s="130">
        <v>1</v>
      </c>
      <c r="I330" s="130">
        <v>0.5</v>
      </c>
      <c r="J330" s="130">
        <v>1</v>
      </c>
      <c r="K330" s="130">
        <v>1</v>
      </c>
      <c r="L330" s="130">
        <v>0.19999999999999998</v>
      </c>
      <c r="M330" s="130">
        <v>0.6</v>
      </c>
      <c r="N330" s="130">
        <v>0.39999999999999997</v>
      </c>
      <c r="O3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331" spans="1:15" ht="15" customHeight="1" x14ac:dyDescent="0.25">
      <c r="A331" s="15">
        <v>33102263133</v>
      </c>
      <c r="B331" s="16" t="str">
        <f>VLOOKUP(Projeção[[#This Row],[Código]],BD_Produto[#All],6,FALSE)</f>
        <v>GLOBE - DISPOSITIVO DE SOM POR VIBRAÇÃO / AZUL - YOUTS</v>
      </c>
      <c r="C331" s="130">
        <v>0.86666666666666659</v>
      </c>
      <c r="D331" s="130">
        <v>1.4333333333333333</v>
      </c>
      <c r="E331" s="130">
        <v>0.43333333333333329</v>
      </c>
      <c r="F331" s="130">
        <v>0.43333333333333329</v>
      </c>
      <c r="G331" s="130">
        <v>0.3</v>
      </c>
      <c r="H331" s="130">
        <v>0.26666666666666666</v>
      </c>
      <c r="I331" s="130">
        <v>0.23333333333333334</v>
      </c>
      <c r="J331" s="130">
        <v>0.19999999999999998</v>
      </c>
      <c r="K331" s="130">
        <v>0.26666666666666666</v>
      </c>
      <c r="L331" s="130">
        <v>9.9999999999999992E-2</v>
      </c>
      <c r="M331" s="130">
        <v>3.3333333333333333E-2</v>
      </c>
      <c r="N331" s="130">
        <v>3.3333333333333333E-2</v>
      </c>
      <c r="O3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0.83333333333333337</v>
      </c>
    </row>
    <row r="332" spans="1:15" ht="15" customHeight="1" x14ac:dyDescent="0.25">
      <c r="A332" s="15">
        <v>33102263134</v>
      </c>
      <c r="B332" s="16" t="str">
        <f>VLOOKUP(Projeção[[#This Row],[Código]],BD_Produto[#All],6,FALSE)</f>
        <v>GLOBE - DISPOSITIVO DE SOM POR VIBRAÇÃO / LARANJA - YOUTS</v>
      </c>
      <c r="C332" s="130">
        <v>0.66666666666666663</v>
      </c>
      <c r="D332" s="130">
        <v>1.2333333333333332</v>
      </c>
      <c r="E332" s="130">
        <v>0.3</v>
      </c>
      <c r="F332" s="130">
        <v>0.3</v>
      </c>
      <c r="G332" s="130">
        <v>0.16666666666666666</v>
      </c>
      <c r="H332" s="130">
        <v>0.3</v>
      </c>
      <c r="I332" s="130">
        <v>0.3</v>
      </c>
      <c r="J332" s="130">
        <v>0.3</v>
      </c>
      <c r="K332" s="130">
        <v>0.3</v>
      </c>
      <c r="L332" s="130">
        <v>0.26666666666666666</v>
      </c>
      <c r="M332" s="130">
        <v>0.83333333333333315</v>
      </c>
      <c r="N332" s="130">
        <v>0.70000000000000007</v>
      </c>
      <c r="O3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333" spans="1:15" ht="15" customHeight="1" x14ac:dyDescent="0.25">
      <c r="A333" s="15">
        <v>33102263135</v>
      </c>
      <c r="B333" s="16" t="str">
        <f>VLOOKUP(Projeção[[#This Row],[Código]],BD_Produto[#All],6,FALSE)</f>
        <v>GLOBE - DISPOSITIVO DE SOM POR VIBRAÇÃO / ROSA - YOUTS</v>
      </c>
      <c r="C333" s="130">
        <v>0.83333333333333337</v>
      </c>
      <c r="D333" s="130">
        <v>0.83333333333333337</v>
      </c>
      <c r="E333" s="130">
        <v>0.19999999999999998</v>
      </c>
      <c r="F333" s="130">
        <v>0.19999999999999998</v>
      </c>
      <c r="G333" s="130">
        <v>0.16666666666666666</v>
      </c>
      <c r="H333" s="130">
        <v>0.16666666666666666</v>
      </c>
      <c r="I333" s="130">
        <v>0.16666666666666666</v>
      </c>
      <c r="J333" s="130">
        <v>0.13333333333333333</v>
      </c>
      <c r="K333" s="130">
        <v>0.16666666666666666</v>
      </c>
      <c r="L333" s="130">
        <v>3.3333333333333333E-2</v>
      </c>
      <c r="M333" s="130">
        <v>3.3333333333333333E-2</v>
      </c>
      <c r="N333" s="130">
        <v>3.3333333333333333E-2</v>
      </c>
      <c r="O3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334" spans="1:15" ht="15" customHeight="1" x14ac:dyDescent="0.25">
      <c r="A334" s="15">
        <v>33102263136</v>
      </c>
      <c r="B334" s="16" t="str">
        <f>VLOOKUP(Projeção[[#This Row],[Código]],BD_Produto[#All],6,FALSE)</f>
        <v>GLOBE - DISPOSITIVO DE SOM POR VIBRAÇÃO / VERDE - YOUTS</v>
      </c>
      <c r="C334" s="130">
        <v>0.33333333333333331</v>
      </c>
      <c r="D334" s="130">
        <v>0.33333333333333331</v>
      </c>
      <c r="E334" s="130">
        <v>0</v>
      </c>
      <c r="F334" s="130">
        <v>0</v>
      </c>
      <c r="G334" s="130">
        <v>0</v>
      </c>
      <c r="H334" s="130">
        <v>0</v>
      </c>
      <c r="I334" s="130">
        <v>0</v>
      </c>
      <c r="J334" s="130">
        <v>0</v>
      </c>
      <c r="K334" s="130">
        <v>0</v>
      </c>
      <c r="L334" s="130">
        <v>0</v>
      </c>
      <c r="M334" s="130">
        <v>0</v>
      </c>
      <c r="N334" s="130">
        <v>0</v>
      </c>
      <c r="O3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335" spans="1:15" ht="15" customHeight="1" x14ac:dyDescent="0.25">
      <c r="A335" s="15">
        <v>33070114958</v>
      </c>
      <c r="B335" s="16" t="str">
        <f>VLOOKUP(Projeção[[#This Row],[Código]],BD_Produto[#All],6,FALSE)</f>
        <v xml:space="preserve">GRAMPEADOR E PINADOR PNEUMATICO RAPID PSN 15-30 </v>
      </c>
      <c r="C335" s="130">
        <v>0</v>
      </c>
      <c r="D335" s="130">
        <v>0</v>
      </c>
      <c r="E335" s="130">
        <v>0</v>
      </c>
      <c r="F335" s="130">
        <v>0</v>
      </c>
      <c r="G335" s="130">
        <v>0</v>
      </c>
      <c r="H335" s="130">
        <v>0</v>
      </c>
      <c r="I335" s="130">
        <v>0</v>
      </c>
      <c r="J335" s="130">
        <v>0</v>
      </c>
      <c r="K335" s="130">
        <v>0</v>
      </c>
      <c r="L335" s="130">
        <v>0</v>
      </c>
      <c r="M335" s="130">
        <v>0</v>
      </c>
      <c r="N335" s="130">
        <v>0</v>
      </c>
      <c r="O3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36" spans="1:15" ht="12.75" customHeight="1" x14ac:dyDescent="0.25">
      <c r="A336" s="15">
        <v>33070114956</v>
      </c>
      <c r="B336" s="16" t="str">
        <f>VLOOKUP(Projeção[[#This Row],[Código]],BD_Produto[#All],6,FALSE)</f>
        <v xml:space="preserve">GRAMPEADOR ELETRICO RAPID R114 </v>
      </c>
      <c r="C336" s="130">
        <v>0</v>
      </c>
      <c r="D336" s="130">
        <v>0</v>
      </c>
      <c r="E336" s="130">
        <v>0</v>
      </c>
      <c r="F336" s="130">
        <v>0</v>
      </c>
      <c r="G336" s="130">
        <v>0</v>
      </c>
      <c r="H336" s="130">
        <v>0</v>
      </c>
      <c r="I336" s="130">
        <v>0</v>
      </c>
      <c r="J336" s="130">
        <v>0</v>
      </c>
      <c r="K336" s="130">
        <v>0</v>
      </c>
      <c r="L336" s="130">
        <v>0</v>
      </c>
      <c r="M336" s="130">
        <v>0</v>
      </c>
      <c r="N336" s="130">
        <v>0</v>
      </c>
      <c r="O3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37" spans="1:15" ht="15" customHeight="1" x14ac:dyDescent="0.25">
      <c r="A337" s="15">
        <v>33070124120</v>
      </c>
      <c r="B337" s="16" t="str">
        <f>VLOOKUP(Projeção[[#This Row],[Código]],BD_Produto[#All],6,FALSE)</f>
        <v xml:space="preserve">GRAMPEADOR RAPID 13 </v>
      </c>
      <c r="C337" s="130">
        <v>0</v>
      </c>
      <c r="D337" s="130">
        <v>0</v>
      </c>
      <c r="E337" s="130">
        <v>0</v>
      </c>
      <c r="F337" s="130">
        <v>0</v>
      </c>
      <c r="G337" s="130">
        <v>0</v>
      </c>
      <c r="H337" s="130">
        <v>0</v>
      </c>
      <c r="I337" s="130">
        <v>0</v>
      </c>
      <c r="J337" s="130">
        <v>0</v>
      </c>
      <c r="K337" s="130">
        <v>0</v>
      </c>
      <c r="L337" s="130">
        <v>0</v>
      </c>
      <c r="M337" s="130">
        <v>0</v>
      </c>
      <c r="N337" s="130">
        <v>0</v>
      </c>
      <c r="O3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38" spans="1:15" ht="15" customHeight="1" x14ac:dyDescent="0.25">
      <c r="A338" s="15">
        <v>33060114815</v>
      </c>
      <c r="B338" s="16" t="str">
        <f>VLOOKUP(Projeção[[#This Row],[Código]],BD_Produto[#All],6,FALSE)</f>
        <v xml:space="preserve">GRAMPEADOR RAPID 45 PRETO </v>
      </c>
      <c r="C338" s="130">
        <v>0</v>
      </c>
      <c r="D338" s="130">
        <v>0</v>
      </c>
      <c r="E338" s="130">
        <v>0</v>
      </c>
      <c r="F338" s="130">
        <v>0</v>
      </c>
      <c r="G338" s="130">
        <v>0</v>
      </c>
      <c r="H338" s="130">
        <v>0</v>
      </c>
      <c r="I338" s="130">
        <v>0</v>
      </c>
      <c r="J338" s="130">
        <v>0</v>
      </c>
      <c r="K338" s="130">
        <v>0</v>
      </c>
      <c r="L338" s="130">
        <v>0</v>
      </c>
      <c r="M338" s="130">
        <v>0</v>
      </c>
      <c r="N338" s="130">
        <v>0</v>
      </c>
      <c r="O3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39" spans="1:15" ht="15" customHeight="1" x14ac:dyDescent="0.25">
      <c r="A339" s="15">
        <v>33060114586</v>
      </c>
      <c r="B339" s="16" t="str">
        <f>VLOOKUP(Projeção[[#This Row],[Código]],BD_Produto[#All],6,FALSE)</f>
        <v xml:space="preserve">GRAMPEADOR RAPID 65 </v>
      </c>
      <c r="C339" s="130">
        <v>0</v>
      </c>
      <c r="D339" s="130">
        <v>0</v>
      </c>
      <c r="E339" s="130">
        <v>0</v>
      </c>
      <c r="F339" s="130">
        <v>0</v>
      </c>
      <c r="G339" s="130">
        <v>0</v>
      </c>
      <c r="H339" s="130">
        <v>0</v>
      </c>
      <c r="I339" s="130">
        <v>0</v>
      </c>
      <c r="J339" s="130">
        <v>0</v>
      </c>
      <c r="K339" s="130">
        <v>0</v>
      </c>
      <c r="L339" s="130">
        <v>0</v>
      </c>
      <c r="M339" s="130">
        <v>0</v>
      </c>
      <c r="N339" s="130">
        <v>0</v>
      </c>
      <c r="O3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0" spans="1:15" ht="15" customHeight="1" x14ac:dyDescent="0.25">
      <c r="A340" s="15">
        <v>33060114995</v>
      </c>
      <c r="B340" s="16" t="str">
        <f>VLOOKUP(Projeção[[#This Row],[Código]],BD_Produto[#All],6,FALSE)</f>
        <v xml:space="preserve">GRAMPEADOR RAPID E-28 PRETO </v>
      </c>
      <c r="C340" s="130">
        <v>0</v>
      </c>
      <c r="D340" s="130">
        <v>0</v>
      </c>
      <c r="E340" s="130">
        <v>0</v>
      </c>
      <c r="F340" s="130">
        <v>0</v>
      </c>
      <c r="G340" s="130">
        <v>0</v>
      </c>
      <c r="H340" s="130">
        <v>0</v>
      </c>
      <c r="I340" s="130">
        <v>0</v>
      </c>
      <c r="J340" s="130">
        <v>0</v>
      </c>
      <c r="K340" s="130">
        <v>0</v>
      </c>
      <c r="L340" s="130">
        <v>0</v>
      </c>
      <c r="M340" s="130">
        <v>0</v>
      </c>
      <c r="N340" s="130">
        <v>0</v>
      </c>
      <c r="O3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1" spans="1:15" ht="15" customHeight="1" x14ac:dyDescent="0.25">
      <c r="A341" s="15">
        <v>33060114822</v>
      </c>
      <c r="B341" s="16" t="str">
        <f>VLOOKUP(Projeção[[#This Row],[Código]],BD_Produto[#All],6,FALSE)</f>
        <v xml:space="preserve">GRAMPEADOR RAPID E3 AZUL </v>
      </c>
      <c r="C341" s="130">
        <v>0</v>
      </c>
      <c r="D341" s="130">
        <v>0</v>
      </c>
      <c r="E341" s="130">
        <v>0</v>
      </c>
      <c r="F341" s="130">
        <v>0</v>
      </c>
      <c r="G341" s="130">
        <v>0</v>
      </c>
      <c r="H341" s="130">
        <v>0</v>
      </c>
      <c r="I341" s="130">
        <v>0</v>
      </c>
      <c r="J341" s="130">
        <v>0</v>
      </c>
      <c r="K341" s="130">
        <v>0</v>
      </c>
      <c r="L341" s="130">
        <v>0</v>
      </c>
      <c r="M341" s="130">
        <v>0</v>
      </c>
      <c r="N341" s="130">
        <v>0</v>
      </c>
      <c r="O3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2" spans="1:15" ht="15" customHeight="1" x14ac:dyDescent="0.25">
      <c r="A342" s="15">
        <v>33060114823</v>
      </c>
      <c r="B342" s="16" t="str">
        <f>VLOOKUP(Projeção[[#This Row],[Código]],BD_Produto[#All],6,FALSE)</f>
        <v xml:space="preserve">GRAMPEADOR RAPID E3 PRETO </v>
      </c>
      <c r="C342" s="130">
        <v>0</v>
      </c>
      <c r="D342" s="130">
        <v>0</v>
      </c>
      <c r="E342" s="130">
        <v>0</v>
      </c>
      <c r="F342" s="130">
        <v>0</v>
      </c>
      <c r="G342" s="130">
        <v>0</v>
      </c>
      <c r="H342" s="130">
        <v>0</v>
      </c>
      <c r="I342" s="130">
        <v>0</v>
      </c>
      <c r="J342" s="130">
        <v>0</v>
      </c>
      <c r="K342" s="130">
        <v>0</v>
      </c>
      <c r="L342" s="130">
        <v>0</v>
      </c>
      <c r="M342" s="130">
        <v>0</v>
      </c>
      <c r="N342" s="130">
        <v>0</v>
      </c>
      <c r="O3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3" spans="1:15" ht="15" customHeight="1" x14ac:dyDescent="0.25">
      <c r="A343" s="15">
        <v>33060114628</v>
      </c>
      <c r="B343" s="16" t="str">
        <f>VLOOKUP(Projeção[[#This Row],[Código]],BD_Produto[#All],6,FALSE)</f>
        <v>GRAMPEADOR RAPID E6 CINZ</v>
      </c>
      <c r="C343" s="130">
        <v>0</v>
      </c>
      <c r="D343" s="130">
        <v>0</v>
      </c>
      <c r="E343" s="130">
        <v>0</v>
      </c>
      <c r="F343" s="130">
        <v>0</v>
      </c>
      <c r="G343" s="130">
        <v>0</v>
      </c>
      <c r="H343" s="130">
        <v>0</v>
      </c>
      <c r="I343" s="130">
        <v>0</v>
      </c>
      <c r="J343" s="130">
        <v>0</v>
      </c>
      <c r="K343" s="130">
        <v>0</v>
      </c>
      <c r="L343" s="130">
        <v>0</v>
      </c>
      <c r="M343" s="130">
        <v>0</v>
      </c>
      <c r="N343" s="130">
        <v>0</v>
      </c>
      <c r="O3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4" spans="1:15" ht="15" customHeight="1" x14ac:dyDescent="0.25">
      <c r="A344" s="15">
        <v>33060114687</v>
      </c>
      <c r="B344" s="16" t="str">
        <f>VLOOKUP(Projeção[[#This Row],[Código]],BD_Produto[#All],6,FALSE)</f>
        <v>GRAMPEADOR RAPID F 16</v>
      </c>
      <c r="C344" s="130">
        <v>0</v>
      </c>
      <c r="D344" s="130">
        <v>0</v>
      </c>
      <c r="E344" s="130">
        <v>0</v>
      </c>
      <c r="F344" s="130">
        <v>0</v>
      </c>
      <c r="G344" s="130">
        <v>0</v>
      </c>
      <c r="H344" s="130">
        <v>0</v>
      </c>
      <c r="I344" s="130">
        <v>0</v>
      </c>
      <c r="J344" s="130">
        <v>0</v>
      </c>
      <c r="K344" s="130">
        <v>0</v>
      </c>
      <c r="L344" s="130">
        <v>0</v>
      </c>
      <c r="M344" s="130">
        <v>0</v>
      </c>
      <c r="N344" s="130">
        <v>0</v>
      </c>
      <c r="O3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5" spans="1:15" ht="15" customHeight="1" x14ac:dyDescent="0.25">
      <c r="A345" s="15">
        <v>33060114688</v>
      </c>
      <c r="B345" s="16" t="str">
        <f>VLOOKUP(Projeção[[#This Row],[Código]],BD_Produto[#All],6,FALSE)</f>
        <v xml:space="preserve">GRAMPEADOR RAPID F 18 </v>
      </c>
      <c r="C345" s="130">
        <v>0</v>
      </c>
      <c r="D345" s="130">
        <v>0</v>
      </c>
      <c r="E345" s="130">
        <v>0</v>
      </c>
      <c r="F345" s="130">
        <v>0</v>
      </c>
      <c r="G345" s="130">
        <v>0</v>
      </c>
      <c r="H345" s="130">
        <v>0</v>
      </c>
      <c r="I345" s="130">
        <v>0</v>
      </c>
      <c r="J345" s="130">
        <v>0</v>
      </c>
      <c r="K345" s="130">
        <v>0</v>
      </c>
      <c r="L345" s="130">
        <v>0</v>
      </c>
      <c r="M345" s="130">
        <v>0</v>
      </c>
      <c r="N345" s="130">
        <v>0</v>
      </c>
      <c r="O3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6" spans="1:15" ht="15" customHeight="1" x14ac:dyDescent="0.25">
      <c r="A346" s="15">
        <v>33060114674</v>
      </c>
      <c r="B346" s="16" t="str">
        <f>VLOOKUP(Projeção[[#This Row],[Código]],BD_Produto[#All],6,FALSE)</f>
        <v xml:space="preserve">GRAMPEADOR RAPID F4 </v>
      </c>
      <c r="C346" s="130">
        <v>0</v>
      </c>
      <c r="D346" s="130">
        <v>0</v>
      </c>
      <c r="E346" s="130">
        <v>0</v>
      </c>
      <c r="F346" s="130">
        <v>0</v>
      </c>
      <c r="G346" s="130">
        <v>0</v>
      </c>
      <c r="H346" s="130">
        <v>0</v>
      </c>
      <c r="I346" s="130">
        <v>0</v>
      </c>
      <c r="J346" s="130">
        <v>0</v>
      </c>
      <c r="K346" s="130">
        <v>0</v>
      </c>
      <c r="L346" s="130">
        <v>0</v>
      </c>
      <c r="M346" s="130">
        <v>0</v>
      </c>
      <c r="N346" s="130">
        <v>0</v>
      </c>
      <c r="O3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7" spans="1:15" ht="15" customHeight="1" x14ac:dyDescent="0.25">
      <c r="A347" s="15">
        <v>33070114937</v>
      </c>
      <c r="B347" s="16" t="str">
        <f>VLOOKUP(Projeção[[#This Row],[Código]],BD_Produto[#All],6,FALSE)</f>
        <v xml:space="preserve">GRAMPEADOR RAPID LIG 175 </v>
      </c>
      <c r="C347" s="130">
        <v>0</v>
      </c>
      <c r="D347" s="130">
        <v>0</v>
      </c>
      <c r="E347" s="130">
        <v>0</v>
      </c>
      <c r="F347" s="130">
        <v>0</v>
      </c>
      <c r="G347" s="130">
        <v>0</v>
      </c>
      <c r="H347" s="130">
        <v>0</v>
      </c>
      <c r="I347" s="130">
        <v>0</v>
      </c>
      <c r="J347" s="130">
        <v>0</v>
      </c>
      <c r="K347" s="130">
        <v>0</v>
      </c>
      <c r="L347" s="130">
        <v>0</v>
      </c>
      <c r="M347" s="130">
        <v>0</v>
      </c>
      <c r="N347" s="130">
        <v>0</v>
      </c>
      <c r="O3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8" spans="1:15" ht="15" customHeight="1" x14ac:dyDescent="0.25">
      <c r="A348" s="15">
        <v>33060161113</v>
      </c>
      <c r="B348" s="16" t="str">
        <f>VLOOKUP(Projeção[[#This Row],[Código]],BD_Produto[#All],6,FALSE)</f>
        <v xml:space="preserve">GRAMPEADOR RAPID S50 - PRETO </v>
      </c>
      <c r="C348" s="130">
        <v>0</v>
      </c>
      <c r="D348" s="130">
        <v>0</v>
      </c>
      <c r="E348" s="130">
        <v>0</v>
      </c>
      <c r="F348" s="130">
        <v>0</v>
      </c>
      <c r="G348" s="130">
        <v>0</v>
      </c>
      <c r="H348" s="130">
        <v>0</v>
      </c>
      <c r="I348" s="130">
        <v>0</v>
      </c>
      <c r="J348" s="130">
        <v>0</v>
      </c>
      <c r="K348" s="130">
        <v>0</v>
      </c>
      <c r="L348" s="130">
        <v>0</v>
      </c>
      <c r="M348" s="130">
        <v>0</v>
      </c>
      <c r="N348" s="130">
        <v>0</v>
      </c>
      <c r="O3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49" spans="1:15" ht="15" customHeight="1" x14ac:dyDescent="0.25">
      <c r="A349" s="15">
        <v>33060114903</v>
      </c>
      <c r="B349" s="16" t="str">
        <f>VLOOKUP(Projeção[[#This Row],[Código]],BD_Produto[#All],6,FALSE)</f>
        <v xml:space="preserve">GRAMPEADOR RAPID X-RAY AZUL </v>
      </c>
      <c r="C349" s="130">
        <v>0</v>
      </c>
      <c r="D349" s="130">
        <v>0</v>
      </c>
      <c r="E349" s="130">
        <v>0</v>
      </c>
      <c r="F349" s="130">
        <v>0</v>
      </c>
      <c r="G349" s="130">
        <v>0</v>
      </c>
      <c r="H349" s="130">
        <v>0</v>
      </c>
      <c r="I349" s="130">
        <v>0</v>
      </c>
      <c r="J349" s="130">
        <v>0</v>
      </c>
      <c r="K349" s="130">
        <v>0</v>
      </c>
      <c r="L349" s="130">
        <v>0</v>
      </c>
      <c r="M349" s="130">
        <v>0</v>
      </c>
      <c r="N349" s="130">
        <v>0</v>
      </c>
      <c r="O3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0" spans="1:15" ht="15" customHeight="1" x14ac:dyDescent="0.25">
      <c r="A350" s="15">
        <v>33060163745</v>
      </c>
      <c r="B350" s="16" t="str">
        <f>VLOOKUP(Projeção[[#This Row],[Código]],BD_Produto[#All],6,FALSE)</f>
        <v>Grampeador, Metal Office Stapler NeXXt - PN:5502.60.95</v>
      </c>
      <c r="C350" s="130">
        <v>0</v>
      </c>
      <c r="D350" s="130">
        <v>0</v>
      </c>
      <c r="E350" s="130">
        <v>0</v>
      </c>
      <c r="F350" s="130">
        <v>0</v>
      </c>
      <c r="G350" s="130">
        <v>0</v>
      </c>
      <c r="H350" s="130">
        <v>0</v>
      </c>
      <c r="I350" s="130">
        <v>0</v>
      </c>
      <c r="J350" s="130">
        <v>0</v>
      </c>
      <c r="K350" s="130">
        <v>0</v>
      </c>
      <c r="L350" s="130">
        <v>0</v>
      </c>
      <c r="M350" s="130">
        <v>0</v>
      </c>
      <c r="N350" s="130">
        <v>0</v>
      </c>
      <c r="O3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1" spans="1:15" ht="15" customHeight="1" x14ac:dyDescent="0.25">
      <c r="A351" s="15">
        <v>33060163743</v>
      </c>
      <c r="B351" s="16" t="str">
        <f>VLOOKUP(Projeção[[#This Row],[Código]],BD_Produto[#All],6,FALSE)</f>
        <v>Grampeador, Metal Office Stapler NeXXt - PN:5502-20-01</v>
      </c>
      <c r="C351" s="130">
        <v>0</v>
      </c>
      <c r="D351" s="130">
        <v>0</v>
      </c>
      <c r="E351" s="130">
        <v>0</v>
      </c>
      <c r="F351" s="130">
        <v>0</v>
      </c>
      <c r="G351" s="130">
        <v>0</v>
      </c>
      <c r="H351" s="130">
        <v>0</v>
      </c>
      <c r="I351" s="130">
        <v>0</v>
      </c>
      <c r="J351" s="130">
        <v>0</v>
      </c>
      <c r="K351" s="130">
        <v>0</v>
      </c>
      <c r="L351" s="130">
        <v>0</v>
      </c>
      <c r="M351" s="130">
        <v>0</v>
      </c>
      <c r="N351" s="130">
        <v>0</v>
      </c>
      <c r="O3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2" spans="1:15" ht="15" customHeight="1" x14ac:dyDescent="0.25">
      <c r="A352" s="15">
        <v>33060514940</v>
      </c>
      <c r="B352" s="16" t="str">
        <f>VLOOKUP(Projeção[[#This Row],[Código]],BD_Produto[#All],6,FALSE)</f>
        <v xml:space="preserve">GRAMPO RAPID SOON 26/6 CAIXA COM 2000 UNIDADES </v>
      </c>
      <c r="C352" s="130">
        <v>0</v>
      </c>
      <c r="D352" s="130">
        <v>0</v>
      </c>
      <c r="E352" s="130">
        <v>0</v>
      </c>
      <c r="F352" s="130">
        <v>0</v>
      </c>
      <c r="G352" s="130">
        <v>0</v>
      </c>
      <c r="H352" s="130">
        <v>0</v>
      </c>
      <c r="I352" s="130">
        <v>0</v>
      </c>
      <c r="J352" s="130">
        <v>0</v>
      </c>
      <c r="K352" s="130">
        <v>0</v>
      </c>
      <c r="L352" s="130">
        <v>0</v>
      </c>
      <c r="M352" s="130">
        <v>0</v>
      </c>
      <c r="N352" s="130">
        <v>0</v>
      </c>
      <c r="O3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3" spans="1:15" ht="15" customHeight="1" x14ac:dyDescent="0.25">
      <c r="A353" s="15">
        <v>33070514935</v>
      </c>
      <c r="B353" s="16" t="str">
        <f>VLOOKUP(Projeção[[#This Row],[Código]],BD_Produto[#All],6,FALSE)</f>
        <v xml:space="preserve">GRAMPO ROCAFIX VR22 CAIXA COM 1100 UNIDADES </v>
      </c>
      <c r="C353" s="130">
        <v>0</v>
      </c>
      <c r="D353" s="130">
        <v>0</v>
      </c>
      <c r="E353" s="130">
        <v>0</v>
      </c>
      <c r="F353" s="130">
        <v>0</v>
      </c>
      <c r="G353" s="130">
        <v>0</v>
      </c>
      <c r="H353" s="130">
        <v>0</v>
      </c>
      <c r="I353" s="130">
        <v>0</v>
      </c>
      <c r="J353" s="130">
        <v>0</v>
      </c>
      <c r="K353" s="130">
        <v>0</v>
      </c>
      <c r="L353" s="130">
        <v>0</v>
      </c>
      <c r="M353" s="130">
        <v>0</v>
      </c>
      <c r="N353" s="130">
        <v>0</v>
      </c>
      <c r="O3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4" spans="1:15" ht="15" customHeight="1" x14ac:dyDescent="0.25">
      <c r="A354" s="15">
        <v>32060534787</v>
      </c>
      <c r="B354" s="16" t="str">
        <f>VLOOKUP(Projeção[[#This Row],[Código]],BD_Produto[#All],6,FALSE)</f>
        <v xml:space="preserve">GRAMPOS ENAK 10MM </v>
      </c>
      <c r="C354" s="130">
        <v>0</v>
      </c>
      <c r="D354" s="130">
        <v>0</v>
      </c>
      <c r="E354" s="130">
        <v>0</v>
      </c>
      <c r="F354" s="130">
        <v>0</v>
      </c>
      <c r="G354" s="130">
        <v>0</v>
      </c>
      <c r="H354" s="130">
        <v>0</v>
      </c>
      <c r="I354" s="130">
        <v>0</v>
      </c>
      <c r="J354" s="130">
        <v>0</v>
      </c>
      <c r="K354" s="130">
        <v>0</v>
      </c>
      <c r="L354" s="130">
        <v>0</v>
      </c>
      <c r="M354" s="130">
        <v>0</v>
      </c>
      <c r="N354" s="130">
        <v>0</v>
      </c>
      <c r="O3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5" spans="1:15" ht="15" customHeight="1" x14ac:dyDescent="0.25">
      <c r="A355" s="15">
        <v>32060534786</v>
      </c>
      <c r="B355" s="16" t="str">
        <f>VLOOKUP(Projeção[[#This Row],[Código]],BD_Produto[#All],6,FALSE)</f>
        <v xml:space="preserve">GRAMPOS ENAK 13MM </v>
      </c>
      <c r="C355" s="130">
        <v>0</v>
      </c>
      <c r="D355" s="130">
        <v>0</v>
      </c>
      <c r="E355" s="130">
        <v>0</v>
      </c>
      <c r="F355" s="130">
        <v>0</v>
      </c>
      <c r="G355" s="130">
        <v>0</v>
      </c>
      <c r="H355" s="130">
        <v>0</v>
      </c>
      <c r="I355" s="130">
        <v>0</v>
      </c>
      <c r="J355" s="130">
        <v>0</v>
      </c>
      <c r="K355" s="130">
        <v>0</v>
      </c>
      <c r="L355" s="130">
        <v>0</v>
      </c>
      <c r="M355" s="130">
        <v>0</v>
      </c>
      <c r="N355" s="130">
        <v>0</v>
      </c>
      <c r="O3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6" spans="1:15" ht="15" customHeight="1" x14ac:dyDescent="0.25">
      <c r="A356" s="15">
        <v>32060534788</v>
      </c>
      <c r="B356" s="16" t="str">
        <f>VLOOKUP(Projeção[[#This Row],[Código]],BD_Produto[#All],6,FALSE)</f>
        <v xml:space="preserve">GRAMPOS ENAK 8MM </v>
      </c>
      <c r="C356" s="130">
        <v>0</v>
      </c>
      <c r="D356" s="130">
        <v>0</v>
      </c>
      <c r="E356" s="130">
        <v>0</v>
      </c>
      <c r="F356" s="130">
        <v>0</v>
      </c>
      <c r="G356" s="130">
        <v>0</v>
      </c>
      <c r="H356" s="130">
        <v>0</v>
      </c>
      <c r="I356" s="130">
        <v>0</v>
      </c>
      <c r="J356" s="130">
        <v>0</v>
      </c>
      <c r="K356" s="130">
        <v>0</v>
      </c>
      <c r="L356" s="130">
        <v>0</v>
      </c>
      <c r="M356" s="130">
        <v>0</v>
      </c>
      <c r="N356" s="130">
        <v>0</v>
      </c>
      <c r="O3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7" spans="1:15" ht="15" customHeight="1" x14ac:dyDescent="0.25">
      <c r="A357" s="15">
        <v>32070534592</v>
      </c>
      <c r="B357" s="16" t="str">
        <f>VLOOKUP(Projeção[[#This Row],[Código]],BD_Produto[#All],6,FALSE)</f>
        <v xml:space="preserve">GRAMPOS HT 10MM CAIXA C/5000 UNIDADES </v>
      </c>
      <c r="C357" s="130">
        <v>0</v>
      </c>
      <c r="D357" s="130">
        <v>0</v>
      </c>
      <c r="E357" s="130">
        <v>0</v>
      </c>
      <c r="F357" s="130">
        <v>0</v>
      </c>
      <c r="G357" s="130">
        <v>0</v>
      </c>
      <c r="H357" s="130">
        <v>0</v>
      </c>
      <c r="I357" s="130">
        <v>0</v>
      </c>
      <c r="J357" s="130">
        <v>0</v>
      </c>
      <c r="K357" s="130">
        <v>0</v>
      </c>
      <c r="L357" s="130">
        <v>0</v>
      </c>
      <c r="M357" s="130">
        <v>0</v>
      </c>
      <c r="N357" s="130">
        <v>0</v>
      </c>
      <c r="O3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8" spans="1:15" ht="15" customHeight="1" x14ac:dyDescent="0.25">
      <c r="A358" s="15">
        <v>32070534147</v>
      </c>
      <c r="B358" s="16" t="str">
        <f>VLOOKUP(Projeção[[#This Row],[Código]],BD_Produto[#All],6,FALSE)</f>
        <v xml:space="preserve">GRAMPOS HT 13MM CAIXA C/4000 UNIDADES </v>
      </c>
      <c r="C358" s="130">
        <v>0</v>
      </c>
      <c r="D358" s="130">
        <v>0</v>
      </c>
      <c r="E358" s="130">
        <v>0</v>
      </c>
      <c r="F358" s="130">
        <v>0</v>
      </c>
      <c r="G358" s="130">
        <v>0</v>
      </c>
      <c r="H358" s="130">
        <v>0</v>
      </c>
      <c r="I358" s="130">
        <v>0</v>
      </c>
      <c r="J358" s="130">
        <v>0</v>
      </c>
      <c r="K358" s="130">
        <v>0</v>
      </c>
      <c r="L358" s="130">
        <v>0</v>
      </c>
      <c r="M358" s="130">
        <v>0</v>
      </c>
      <c r="N358" s="130">
        <v>0</v>
      </c>
      <c r="O3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59" spans="1:15" ht="15" customHeight="1" x14ac:dyDescent="0.25">
      <c r="A359" s="15">
        <v>32060524133</v>
      </c>
      <c r="B359" s="16" t="str">
        <f>VLOOKUP(Projeção[[#This Row],[Código]],BD_Produto[#All],6,FALSE)</f>
        <v xml:space="preserve">GRAMPOS MICROSTAPLES 9/10MM CAIXA C/5000 UNIDADES </v>
      </c>
      <c r="C359" s="130">
        <v>0</v>
      </c>
      <c r="D359" s="130">
        <v>0</v>
      </c>
      <c r="E359" s="130">
        <v>0</v>
      </c>
      <c r="F359" s="130">
        <v>0</v>
      </c>
      <c r="G359" s="130">
        <v>0</v>
      </c>
      <c r="H359" s="130">
        <v>0</v>
      </c>
      <c r="I359" s="130">
        <v>0</v>
      </c>
      <c r="J359" s="130">
        <v>0</v>
      </c>
      <c r="K359" s="130">
        <v>0</v>
      </c>
      <c r="L359" s="130">
        <v>0</v>
      </c>
      <c r="M359" s="130">
        <v>0</v>
      </c>
      <c r="N359" s="130">
        <v>0</v>
      </c>
      <c r="O3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0" spans="1:15" ht="12.75" customHeight="1" x14ac:dyDescent="0.25">
      <c r="A360" s="15">
        <v>32060524134</v>
      </c>
      <c r="B360" s="16" t="str">
        <f>VLOOKUP(Projeção[[#This Row],[Código]],BD_Produto[#All],6,FALSE)</f>
        <v xml:space="preserve">GRAMPOS MICROSTAPLES 9/14MM CAIXA C/5000 UNIDADES </v>
      </c>
      <c r="C360" s="130">
        <v>0</v>
      </c>
      <c r="D360" s="130">
        <v>0</v>
      </c>
      <c r="E360" s="130">
        <v>0</v>
      </c>
      <c r="F360" s="130">
        <v>0</v>
      </c>
      <c r="G360" s="130">
        <v>0</v>
      </c>
      <c r="H360" s="130">
        <v>0</v>
      </c>
      <c r="I360" s="130">
        <v>0</v>
      </c>
      <c r="J360" s="130">
        <v>0</v>
      </c>
      <c r="K360" s="130">
        <v>0</v>
      </c>
      <c r="L360" s="130">
        <v>0</v>
      </c>
      <c r="M360" s="130">
        <v>0</v>
      </c>
      <c r="N360" s="130">
        <v>0</v>
      </c>
      <c r="O3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1" spans="1:15" ht="15" customHeight="1" x14ac:dyDescent="0.25">
      <c r="A361" s="15">
        <v>32070524649</v>
      </c>
      <c r="B361" s="16" t="str">
        <f>VLOOKUP(Projeção[[#This Row],[Código]],BD_Produto[#All],6,FALSE)</f>
        <v xml:space="preserve">GRAMPOS MICROSTAPLES A13/6 CAIXA C/5000 UNIDADES </v>
      </c>
      <c r="C361" s="130">
        <v>0</v>
      </c>
      <c r="D361" s="130">
        <v>0</v>
      </c>
      <c r="E361" s="130">
        <v>0</v>
      </c>
      <c r="F361" s="130">
        <v>0</v>
      </c>
      <c r="G361" s="130">
        <v>0</v>
      </c>
      <c r="H361" s="130">
        <v>0</v>
      </c>
      <c r="I361" s="130">
        <v>0</v>
      </c>
      <c r="J361" s="130">
        <v>0</v>
      </c>
      <c r="K361" s="130">
        <v>0</v>
      </c>
      <c r="L361" s="130">
        <v>0</v>
      </c>
      <c r="M361" s="130">
        <v>0</v>
      </c>
      <c r="N361" s="130">
        <v>0</v>
      </c>
      <c r="O3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2" spans="1:15" ht="15" customHeight="1" x14ac:dyDescent="0.25">
      <c r="A362" s="15">
        <v>32070524648</v>
      </c>
      <c r="B362" s="16" t="str">
        <f>VLOOKUP(Projeção[[#This Row],[Código]],BD_Produto[#All],6,FALSE)</f>
        <v xml:space="preserve">GRAMPOS MICROSTAPLES A13/8 CAIXA C/5000 UNIDADES </v>
      </c>
      <c r="C362" s="130">
        <v>0</v>
      </c>
      <c r="D362" s="130">
        <v>0</v>
      </c>
      <c r="E362" s="130">
        <v>0</v>
      </c>
      <c r="F362" s="130">
        <v>0</v>
      </c>
      <c r="G362" s="130">
        <v>0</v>
      </c>
      <c r="H362" s="130">
        <v>0</v>
      </c>
      <c r="I362" s="130">
        <v>0</v>
      </c>
      <c r="J362" s="130">
        <v>0</v>
      </c>
      <c r="K362" s="130">
        <v>0</v>
      </c>
      <c r="L362" s="130">
        <v>0</v>
      </c>
      <c r="M362" s="130">
        <v>0</v>
      </c>
      <c r="N362" s="130">
        <v>0</v>
      </c>
      <c r="O3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3" spans="1:15" ht="15" customHeight="1" x14ac:dyDescent="0.25">
      <c r="A363" s="15">
        <v>33060514905</v>
      </c>
      <c r="B363" s="16" t="str">
        <f>VLOOKUP(Projeção[[#This Row],[Código]],BD_Produto[#All],6,FALSE)</f>
        <v xml:space="preserve">GRAMPOS RAPID 26/8 CAIXA C/5MIL </v>
      </c>
      <c r="C363" s="130">
        <v>0</v>
      </c>
      <c r="D363" s="130">
        <v>0</v>
      </c>
      <c r="E363" s="130">
        <v>0</v>
      </c>
      <c r="F363" s="130">
        <v>0</v>
      </c>
      <c r="G363" s="130">
        <v>0</v>
      </c>
      <c r="H363" s="130">
        <v>0</v>
      </c>
      <c r="I363" s="130">
        <v>0</v>
      </c>
      <c r="J363" s="130">
        <v>0</v>
      </c>
      <c r="K363" s="130">
        <v>0</v>
      </c>
      <c r="L363" s="130">
        <v>0</v>
      </c>
      <c r="M363" s="130">
        <v>0</v>
      </c>
      <c r="N363" s="130">
        <v>0</v>
      </c>
      <c r="O3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4" spans="1:15" ht="15" customHeight="1" x14ac:dyDescent="0.25">
      <c r="A364" s="15">
        <v>33070514642</v>
      </c>
      <c r="B364" s="16" t="str">
        <f>VLOOKUP(Projeção[[#This Row],[Código]],BD_Produto[#All],6,FALSE)</f>
        <v xml:space="preserve">GRAMPOS RAPID 73/10 CAIXA C/5000 UNIDADES </v>
      </c>
      <c r="C364" s="130">
        <v>0</v>
      </c>
      <c r="D364" s="130">
        <v>0</v>
      </c>
      <c r="E364" s="130">
        <v>0</v>
      </c>
      <c r="F364" s="130">
        <v>0</v>
      </c>
      <c r="G364" s="130">
        <v>0</v>
      </c>
      <c r="H364" s="130">
        <v>0</v>
      </c>
      <c r="I364" s="130">
        <v>0</v>
      </c>
      <c r="J364" s="130">
        <v>0</v>
      </c>
      <c r="K364" s="130">
        <v>0</v>
      </c>
      <c r="L364" s="130">
        <v>0</v>
      </c>
      <c r="M364" s="130">
        <v>0</v>
      </c>
      <c r="N364" s="130">
        <v>0</v>
      </c>
      <c r="O3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5" spans="1:15" ht="15" customHeight="1" x14ac:dyDescent="0.25">
      <c r="A365" s="15">
        <v>33060514136</v>
      </c>
      <c r="B365" s="16" t="str">
        <f>VLOOKUP(Projeção[[#This Row],[Código]],BD_Produto[#All],6,FALSE)</f>
        <v xml:space="preserve">GRAMPOS RAPID 9/17MM CAIXA C/1000 UNIDADES </v>
      </c>
      <c r="C365" s="130">
        <v>0</v>
      </c>
      <c r="D365" s="130">
        <v>0</v>
      </c>
      <c r="E365" s="130">
        <v>0</v>
      </c>
      <c r="F365" s="130">
        <v>0</v>
      </c>
      <c r="G365" s="130">
        <v>0</v>
      </c>
      <c r="H365" s="130">
        <v>0</v>
      </c>
      <c r="I365" s="130">
        <v>0</v>
      </c>
      <c r="J365" s="130">
        <v>0</v>
      </c>
      <c r="K365" s="130">
        <v>0</v>
      </c>
      <c r="L365" s="130">
        <v>0</v>
      </c>
      <c r="M365" s="130">
        <v>0</v>
      </c>
      <c r="N365" s="130">
        <v>0</v>
      </c>
      <c r="O3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6" spans="1:15" ht="15" customHeight="1" x14ac:dyDescent="0.25">
      <c r="A366" s="15">
        <v>33062364500</v>
      </c>
      <c r="B366" s="16" t="str">
        <f>VLOOKUP(Projeção[[#This Row],[Código]],BD_Produto[#All],6,FALSE)</f>
        <v>Guilhotina Fellowes FUSION A3 - PN:5410901</v>
      </c>
      <c r="C366" s="130">
        <v>0.13333333333333333</v>
      </c>
      <c r="D366" s="130">
        <v>0.13333333333333333</v>
      </c>
      <c r="E366" s="130">
        <v>0.13333333333333333</v>
      </c>
      <c r="F366" s="130">
        <v>0.13333333333333333</v>
      </c>
      <c r="G366" s="130">
        <v>9.9999999999999992E-2</v>
      </c>
      <c r="H366" s="130">
        <v>9.9999999999999992E-2</v>
      </c>
      <c r="I366" s="130">
        <v>9.9999999999999992E-2</v>
      </c>
      <c r="J366" s="130">
        <v>9.9999999999999992E-2</v>
      </c>
      <c r="K366" s="130">
        <v>9.9999999999999992E-2</v>
      </c>
      <c r="L366" s="130">
        <v>0</v>
      </c>
      <c r="M366" s="130">
        <v>0</v>
      </c>
      <c r="N366" s="130">
        <v>0</v>
      </c>
      <c r="O3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367" spans="1:15" ht="15" customHeight="1" x14ac:dyDescent="0.25">
      <c r="A367" s="15">
        <v>33062364499</v>
      </c>
      <c r="B367" s="16" t="str">
        <f>VLOOKUP(Projeção[[#This Row],[Código]],BD_Produto[#All],6,FALSE)</f>
        <v>Guilhotina Fellowes FUSION A4 - PN:5410801</v>
      </c>
      <c r="C367" s="130">
        <v>0.13333333333333333</v>
      </c>
      <c r="D367" s="130">
        <v>0.13333333333333333</v>
      </c>
      <c r="E367" s="130">
        <v>0.13333333333333333</v>
      </c>
      <c r="F367" s="130">
        <v>0.13333333333333333</v>
      </c>
      <c r="G367" s="130">
        <v>6.6666666666666666E-2</v>
      </c>
      <c r="H367" s="130">
        <v>0.23333333333333328</v>
      </c>
      <c r="I367" s="130">
        <v>0.19999999999999998</v>
      </c>
      <c r="J367" s="130">
        <v>0.23333333333333328</v>
      </c>
      <c r="K367" s="130">
        <v>0.23333333333333328</v>
      </c>
      <c r="L367" s="130">
        <v>3.3333333333333333E-2</v>
      </c>
      <c r="M367" s="130">
        <v>9.9999999999999992E-2</v>
      </c>
      <c r="N367" s="130">
        <v>9.9999999999999992E-2</v>
      </c>
      <c r="O3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68" spans="1:15" ht="15" customHeight="1" x14ac:dyDescent="0.25">
      <c r="A368" s="15">
        <v>33062362840</v>
      </c>
      <c r="B368" s="16" t="str">
        <f>VLOOKUP(Projeção[[#This Row],[Código]],BD_Produto[#All],6,FALSE)</f>
        <v>Guilhotina Fellowes Plasma A3 - PN:5411101</v>
      </c>
      <c r="C368" s="130">
        <v>1.7999999999999998</v>
      </c>
      <c r="D368" s="130">
        <v>0.86666666666666681</v>
      </c>
      <c r="E368" s="130">
        <v>0.46666666666666656</v>
      </c>
      <c r="F368" s="130">
        <v>0.19999999999999998</v>
      </c>
      <c r="G368" s="130">
        <v>0.19999999999999998</v>
      </c>
      <c r="H368" s="130">
        <v>0.3666666666666667</v>
      </c>
      <c r="I368" s="130">
        <v>0.3666666666666667</v>
      </c>
      <c r="J368" s="130">
        <v>0.3666666666666667</v>
      </c>
      <c r="K368" s="130">
        <v>0.3666666666666667</v>
      </c>
      <c r="L368" s="130">
        <v>0.23333333333333334</v>
      </c>
      <c r="M368" s="130">
        <v>0.3</v>
      </c>
      <c r="N368" s="130">
        <v>0.19999999999999998</v>
      </c>
      <c r="O3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369" spans="1:15" ht="15" customHeight="1" x14ac:dyDescent="0.25">
      <c r="A369" s="15">
        <v>33062362846</v>
      </c>
      <c r="B369" s="16" t="str">
        <f>VLOOKUP(Projeção[[#This Row],[Código]],BD_Produto[#All],6,FALSE)</f>
        <v>Guilhotina Fellowes STELLAR A3 - PN:5438401</v>
      </c>
      <c r="C369" s="130">
        <v>0.83333333333333315</v>
      </c>
      <c r="D369" s="130">
        <v>0.3666666666666667</v>
      </c>
      <c r="E369" s="130">
        <v>0.3666666666666667</v>
      </c>
      <c r="F369" s="130">
        <v>0.23333333333333334</v>
      </c>
      <c r="G369" s="130">
        <v>0.13333333333333333</v>
      </c>
      <c r="H369" s="130">
        <v>9.9999999999999992E-2</v>
      </c>
      <c r="I369" s="130">
        <v>9.9999999999999992E-2</v>
      </c>
      <c r="J369" s="130">
        <v>0.43333333333333329</v>
      </c>
      <c r="K369" s="130">
        <v>9.9999999999999992E-2</v>
      </c>
      <c r="L369" s="130">
        <v>0.53333333333333333</v>
      </c>
      <c r="M369" s="130">
        <v>0.46666666666666656</v>
      </c>
      <c r="N369" s="130">
        <v>0.33333333333333326</v>
      </c>
      <c r="O3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1.4333333333333333</v>
      </c>
    </row>
    <row r="370" spans="1:15" ht="15" customHeight="1" x14ac:dyDescent="0.25">
      <c r="A370" s="15">
        <v>33062362845</v>
      </c>
      <c r="B370" s="16" t="str">
        <f>VLOOKUP(Projeção[[#This Row],[Código]],BD_Produto[#All],6,FALSE)</f>
        <v>Guilhotina Fellowes STELLAR A4  - PN:5438001</v>
      </c>
      <c r="C370" s="130">
        <v>0.19999999999999998</v>
      </c>
      <c r="D370" s="130">
        <v>0.19999999999999998</v>
      </c>
      <c r="E370" s="130">
        <v>0.19999999999999998</v>
      </c>
      <c r="F370" s="130">
        <v>0.19999999999999998</v>
      </c>
      <c r="G370" s="130">
        <v>0.19999999999999998</v>
      </c>
      <c r="H370" s="130">
        <v>0.3666666666666667</v>
      </c>
      <c r="I370" s="130">
        <v>0.3666666666666667</v>
      </c>
      <c r="J370" s="130">
        <v>0.3666666666666667</v>
      </c>
      <c r="K370" s="130">
        <v>0.3666666666666667</v>
      </c>
      <c r="L370" s="130">
        <v>3.3333333333333333E-2</v>
      </c>
      <c r="M370" s="130">
        <v>9.9999999999999992E-2</v>
      </c>
      <c r="N370" s="130">
        <v>9.9999999999999992E-2</v>
      </c>
      <c r="O3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371" spans="1:15" ht="15" customHeight="1" x14ac:dyDescent="0.25">
      <c r="A371" s="15">
        <v>33070118008</v>
      </c>
      <c r="B371" s="16" t="str">
        <f>VLOOKUP(Projeção[[#This Row],[Código]],BD_Produto[#All],6,FALSE)</f>
        <v>HB-GRAMPEADOR PNEUMATICO INDUSTRIAL PN-29150 (038046)</v>
      </c>
      <c r="C371" s="130">
        <v>0</v>
      </c>
      <c r="D371" s="130">
        <v>0</v>
      </c>
      <c r="E371" s="130">
        <v>0</v>
      </c>
      <c r="F371" s="130">
        <v>0</v>
      </c>
      <c r="G371" s="130">
        <v>0</v>
      </c>
      <c r="H371" s="130">
        <v>0</v>
      </c>
      <c r="I371" s="130">
        <v>0</v>
      </c>
      <c r="J371" s="130">
        <v>0</v>
      </c>
      <c r="K371" s="130">
        <v>0</v>
      </c>
      <c r="L371" s="130">
        <v>0</v>
      </c>
      <c r="M371" s="130">
        <v>0</v>
      </c>
      <c r="N371" s="130">
        <v>0</v>
      </c>
      <c r="O3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2" spans="1:15" ht="15" customHeight="1" x14ac:dyDescent="0.25">
      <c r="A372" s="15">
        <v>33070518006</v>
      </c>
      <c r="B372" s="16" t="str">
        <f>VLOOKUP(Projeção[[#This Row],[Código]],BD_Produto[#All],6,FALSE)</f>
        <v>HB-GRAMPO ESPECIAL BS29150C (048026)</v>
      </c>
      <c r="C372" s="130">
        <v>0</v>
      </c>
      <c r="D372" s="130">
        <v>0</v>
      </c>
      <c r="E372" s="130">
        <v>0</v>
      </c>
      <c r="F372" s="130">
        <v>0</v>
      </c>
      <c r="G372" s="130">
        <v>0</v>
      </c>
      <c r="H372" s="130">
        <v>0</v>
      </c>
      <c r="I372" s="130">
        <v>0</v>
      </c>
      <c r="J372" s="130">
        <v>0</v>
      </c>
      <c r="K372" s="130">
        <v>0</v>
      </c>
      <c r="L372" s="130">
        <v>0</v>
      </c>
      <c r="M372" s="130">
        <v>0</v>
      </c>
      <c r="N372" s="130">
        <v>0</v>
      </c>
      <c r="O3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3" spans="1:15" ht="15" customHeight="1" x14ac:dyDescent="0.25">
      <c r="A373" s="15">
        <v>33070518043</v>
      </c>
      <c r="B373" s="16" t="str">
        <f>VLOOKUP(Projeção[[#This Row],[Código]],BD_Produto[#All],6,FALSE)</f>
        <v>HB-GRAMPOS ESPECIAIS RB 29/76(048530)</v>
      </c>
      <c r="C373" s="130">
        <v>0</v>
      </c>
      <c r="D373" s="130">
        <v>0</v>
      </c>
      <c r="E373" s="130">
        <v>0</v>
      </c>
      <c r="F373" s="130">
        <v>0</v>
      </c>
      <c r="G373" s="130">
        <v>0</v>
      </c>
      <c r="H373" s="130">
        <v>0</v>
      </c>
      <c r="I373" s="130">
        <v>0</v>
      </c>
      <c r="J373" s="130">
        <v>0</v>
      </c>
      <c r="K373" s="130">
        <v>0</v>
      </c>
      <c r="L373" s="130">
        <v>0</v>
      </c>
      <c r="M373" s="130">
        <v>0</v>
      </c>
      <c r="N373" s="130">
        <v>0</v>
      </c>
      <c r="O3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4" spans="1:15" ht="15" customHeight="1" x14ac:dyDescent="0.25">
      <c r="A374" s="15">
        <v>33070518044</v>
      </c>
      <c r="B374" s="16" t="str">
        <f>VLOOKUP(Projeção[[#This Row],[Código]],BD_Produto[#All],6,FALSE)</f>
        <v>HB-GRAMPOS ESPECIAIS ST 750 C GALVANIZADOS(048695)</v>
      </c>
      <c r="C374" s="130">
        <v>0</v>
      </c>
      <c r="D374" s="130">
        <v>0</v>
      </c>
      <c r="E374" s="130">
        <v>0</v>
      </c>
      <c r="F374" s="130">
        <v>0</v>
      </c>
      <c r="G374" s="130">
        <v>0</v>
      </c>
      <c r="H374" s="130">
        <v>0</v>
      </c>
      <c r="I374" s="130">
        <v>0</v>
      </c>
      <c r="J374" s="130">
        <v>0</v>
      </c>
      <c r="K374" s="130">
        <v>0</v>
      </c>
      <c r="L374" s="130">
        <v>0</v>
      </c>
      <c r="M374" s="130">
        <v>0</v>
      </c>
      <c r="N374" s="130">
        <v>0</v>
      </c>
      <c r="O3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5" spans="1:15" ht="15" customHeight="1" x14ac:dyDescent="0.25">
      <c r="A375" s="15">
        <v>33070118001</v>
      </c>
      <c r="B375" s="16" t="str">
        <f>VLOOKUP(Projeção[[#This Row],[Código]],BD_Produto[#All],6,FALSE)</f>
        <v>HB-MAQUINA ESPECIAL P/ APLICACAO DE PREGOS RN-90PII (033502)</v>
      </c>
      <c r="C375" s="130">
        <v>0</v>
      </c>
      <c r="D375" s="130">
        <v>0</v>
      </c>
      <c r="E375" s="130">
        <v>0</v>
      </c>
      <c r="F375" s="130">
        <v>0</v>
      </c>
      <c r="G375" s="130">
        <v>0</v>
      </c>
      <c r="H375" s="130">
        <v>0</v>
      </c>
      <c r="I375" s="130">
        <v>0</v>
      </c>
      <c r="J375" s="130">
        <v>0</v>
      </c>
      <c r="K375" s="130">
        <v>0</v>
      </c>
      <c r="L375" s="130">
        <v>0</v>
      </c>
      <c r="M375" s="130">
        <v>0</v>
      </c>
      <c r="N375" s="130">
        <v>0</v>
      </c>
      <c r="O3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6" spans="1:15" x14ac:dyDescent="0.25">
      <c r="A376" s="15">
        <v>33070118002</v>
      </c>
      <c r="B376" s="16" t="str">
        <f>VLOOKUP(Projeção[[#This Row],[Código]],BD_Produto[#All],6,FALSE)</f>
        <v>HB-MAQUINA PARA APLICACAO DE GRAMPOS MANUAL PN-75085 (036819</v>
      </c>
      <c r="C376" s="130">
        <v>0</v>
      </c>
      <c r="D376" s="130">
        <v>0</v>
      </c>
      <c r="E376" s="130">
        <v>0</v>
      </c>
      <c r="F376" s="130">
        <v>0</v>
      </c>
      <c r="G376" s="130">
        <v>0</v>
      </c>
      <c r="H376" s="130">
        <v>0</v>
      </c>
      <c r="I376" s="130">
        <v>0</v>
      </c>
      <c r="J376" s="130">
        <v>0</v>
      </c>
      <c r="K376" s="130">
        <v>0</v>
      </c>
      <c r="L376" s="130">
        <v>0</v>
      </c>
      <c r="M376" s="130">
        <v>0</v>
      </c>
      <c r="N376" s="130">
        <v>0</v>
      </c>
      <c r="O3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7" spans="1:15" x14ac:dyDescent="0.25">
      <c r="A377" s="15">
        <v>33070118007</v>
      </c>
      <c r="B377" s="16" t="str">
        <f>VLOOKUP(Projeção[[#This Row],[Código]],BD_Produto[#All],6,FALSE)</f>
        <v>HB-MAQUINA PNEUMATICA P/ PREGOS RNC 90W (031008)</v>
      </c>
      <c r="C377" s="130">
        <v>0</v>
      </c>
      <c r="D377" s="130">
        <v>0</v>
      </c>
      <c r="E377" s="130">
        <v>0</v>
      </c>
      <c r="F377" s="130">
        <v>0</v>
      </c>
      <c r="G377" s="130">
        <v>0</v>
      </c>
      <c r="H377" s="130">
        <v>0</v>
      </c>
      <c r="I377" s="130">
        <v>0</v>
      </c>
      <c r="J377" s="130">
        <v>0</v>
      </c>
      <c r="K377" s="130">
        <v>0</v>
      </c>
      <c r="L377" s="130">
        <v>0</v>
      </c>
      <c r="M377" s="130">
        <v>0</v>
      </c>
      <c r="N377" s="130">
        <v>0</v>
      </c>
      <c r="O3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8" spans="1:15" x14ac:dyDescent="0.25">
      <c r="A378" s="15">
        <v>33070118000</v>
      </c>
      <c r="B378" s="16" t="str">
        <f>VLOOKUP(Projeção[[#This Row],[Código]],BD_Produto[#All],6,FALSE)</f>
        <v>HB-MAQUINA SINGEL P/ APLICACAO DE PREGOS RN-160RS (033284)</v>
      </c>
      <c r="C378" s="130">
        <v>0</v>
      </c>
      <c r="D378" s="130">
        <v>0</v>
      </c>
      <c r="E378" s="130">
        <v>0</v>
      </c>
      <c r="F378" s="130">
        <v>0</v>
      </c>
      <c r="G378" s="130">
        <v>0</v>
      </c>
      <c r="H378" s="130">
        <v>0</v>
      </c>
      <c r="I378" s="130">
        <v>0</v>
      </c>
      <c r="J378" s="130">
        <v>0</v>
      </c>
      <c r="K378" s="130">
        <v>0</v>
      </c>
      <c r="L378" s="130">
        <v>0</v>
      </c>
      <c r="M378" s="130">
        <v>0</v>
      </c>
      <c r="N378" s="130">
        <v>0</v>
      </c>
      <c r="O3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79" spans="1:15" x14ac:dyDescent="0.25">
      <c r="A379" s="15">
        <v>33070518003</v>
      </c>
      <c r="B379" s="16" t="str">
        <f>VLOOKUP(Projeção[[#This Row],[Código]],BD_Produto[#All],6,FALSE)</f>
        <v>HB-PREGOS DE ACO S/ ROSCA RB46/160 (044044)</v>
      </c>
      <c r="C379" s="130">
        <v>0</v>
      </c>
      <c r="D379" s="130">
        <v>0</v>
      </c>
      <c r="E379" s="130">
        <v>0</v>
      </c>
      <c r="F379" s="130">
        <v>0</v>
      </c>
      <c r="G379" s="130">
        <v>0</v>
      </c>
      <c r="H379" s="130">
        <v>0</v>
      </c>
      <c r="I379" s="130">
        <v>0</v>
      </c>
      <c r="J379" s="130">
        <v>0</v>
      </c>
      <c r="K379" s="130">
        <v>0</v>
      </c>
      <c r="L379" s="130">
        <v>0</v>
      </c>
      <c r="M379" s="130">
        <v>0</v>
      </c>
      <c r="N379" s="130">
        <v>0</v>
      </c>
      <c r="O3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0" spans="1:15" x14ac:dyDescent="0.25">
      <c r="A380" s="15">
        <v>33070518005</v>
      </c>
      <c r="B380" s="16" t="str">
        <f>VLOOKUP(Projeção[[#This Row],[Código]],BD_Produto[#All],6,FALSE)</f>
        <v>HB-PREGOS ESPECIAL DE ACO COM ROSCA RNCW 31/80 (043340)</v>
      </c>
      <c r="C380" s="130">
        <v>0</v>
      </c>
      <c r="D380" s="130">
        <v>0</v>
      </c>
      <c r="E380" s="130">
        <v>0</v>
      </c>
      <c r="F380" s="130">
        <v>0</v>
      </c>
      <c r="G380" s="130">
        <v>0</v>
      </c>
      <c r="H380" s="130">
        <v>0</v>
      </c>
      <c r="I380" s="130">
        <v>0</v>
      </c>
      <c r="J380" s="130">
        <v>0</v>
      </c>
      <c r="K380" s="130">
        <v>0</v>
      </c>
      <c r="L380" s="130">
        <v>0</v>
      </c>
      <c r="M380" s="130">
        <v>0</v>
      </c>
      <c r="N380" s="130">
        <v>0</v>
      </c>
      <c r="O3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1" spans="1:15" x14ac:dyDescent="0.25">
      <c r="A381" s="15">
        <v>33070518004</v>
      </c>
      <c r="B381" s="16" t="str">
        <f>VLOOKUP(Projeção[[#This Row],[Código]],BD_Produto[#All],6,FALSE)</f>
        <v>HB-PREGOS RB 31/82 DE ACO COM ROSCA (048647)</v>
      </c>
      <c r="C381" s="130">
        <v>0</v>
      </c>
      <c r="D381" s="130">
        <v>0</v>
      </c>
      <c r="E381" s="130">
        <v>0</v>
      </c>
      <c r="F381" s="130">
        <v>0</v>
      </c>
      <c r="G381" s="130">
        <v>0</v>
      </c>
      <c r="H381" s="130">
        <v>0</v>
      </c>
      <c r="I381" s="130">
        <v>0</v>
      </c>
      <c r="J381" s="130">
        <v>0</v>
      </c>
      <c r="K381" s="130">
        <v>0</v>
      </c>
      <c r="L381" s="130">
        <v>0</v>
      </c>
      <c r="M381" s="130">
        <v>0</v>
      </c>
      <c r="N381" s="130">
        <v>0</v>
      </c>
      <c r="O3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2" spans="1:15" x14ac:dyDescent="0.25">
      <c r="A382" s="15">
        <v>33105163075</v>
      </c>
      <c r="B382" s="16" t="str">
        <f>VLOOKUP(Projeção[[#This Row],[Código]],BD_Produto[#All],6,FALSE)</f>
        <v>IFILM - FILME DE PROTEÇÃO TRANSPARENTE BRILHO PARA FRENTE E VERSO DO IPAD 2 - YOUTS</v>
      </c>
      <c r="C382" s="130">
        <v>0</v>
      </c>
      <c r="D382" s="130">
        <v>0</v>
      </c>
      <c r="E382" s="130">
        <v>0</v>
      </c>
      <c r="F382" s="130">
        <v>0</v>
      </c>
      <c r="G382" s="130">
        <v>0</v>
      </c>
      <c r="H382" s="130">
        <v>0</v>
      </c>
      <c r="I382" s="130">
        <v>0</v>
      </c>
      <c r="J382" s="130">
        <v>0.16666666666666663</v>
      </c>
      <c r="K382" s="130">
        <v>3.3333333333333333E-2</v>
      </c>
      <c r="L382" s="130">
        <v>0.16666666666666663</v>
      </c>
      <c r="M382" s="130">
        <v>9.9999999999999992E-2</v>
      </c>
      <c r="N382" s="130">
        <v>9.9999999999999992E-2</v>
      </c>
      <c r="O3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0.36666666666666664</v>
      </c>
    </row>
    <row r="383" spans="1:15" x14ac:dyDescent="0.25">
      <c r="A383" s="15">
        <v>33105163080</v>
      </c>
      <c r="B383" s="16" t="str">
        <f>VLOOKUP(Projeção[[#This Row],[Código]],BD_Produto[#All],6,FALSE)</f>
        <v>IFILM - FILME DE PROTEÇÃO TRANSPARENTE BRILHO PARA IPHONE 3 - YOUTS</v>
      </c>
      <c r="C383" s="130">
        <v>0</v>
      </c>
      <c r="D383" s="130">
        <v>0</v>
      </c>
      <c r="E383" s="130">
        <v>0</v>
      </c>
      <c r="F383" s="130">
        <v>0</v>
      </c>
      <c r="G383" s="130">
        <v>0</v>
      </c>
      <c r="H383" s="130">
        <v>0</v>
      </c>
      <c r="I383" s="130">
        <v>0</v>
      </c>
      <c r="J383" s="130">
        <v>0</v>
      </c>
      <c r="K383" s="130">
        <v>0</v>
      </c>
      <c r="L383" s="130">
        <v>0</v>
      </c>
      <c r="M383" s="130">
        <v>0</v>
      </c>
      <c r="N383" s="130">
        <v>0</v>
      </c>
      <c r="O3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4" spans="1:15" x14ac:dyDescent="0.25">
      <c r="A384" s="15">
        <v>33105163079</v>
      </c>
      <c r="B384" s="16" t="str">
        <f>VLOOKUP(Projeção[[#This Row],[Código]],BD_Produto[#All],6,FALSE)</f>
        <v>IFILM - FILME DE PROTEÇÃO TRANSPARENTE BRILHO PARA IPHONE 4 - YOUTS</v>
      </c>
      <c r="C384" s="130">
        <v>9.9999999999999992E-2</v>
      </c>
      <c r="D384" s="130">
        <v>9.9999999999999992E-2</v>
      </c>
      <c r="E384" s="130">
        <v>0</v>
      </c>
      <c r="F384" s="130">
        <v>0</v>
      </c>
      <c r="G384" s="130">
        <v>0</v>
      </c>
      <c r="H384" s="130">
        <v>0</v>
      </c>
      <c r="I384" s="130">
        <v>0</v>
      </c>
      <c r="J384" s="130">
        <v>0</v>
      </c>
      <c r="K384" s="130">
        <v>0</v>
      </c>
      <c r="L384" s="130">
        <v>0</v>
      </c>
      <c r="M384" s="130">
        <v>0</v>
      </c>
      <c r="N384" s="130">
        <v>0</v>
      </c>
      <c r="O3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5" spans="1:15" ht="12.75" customHeight="1" x14ac:dyDescent="0.25">
      <c r="A385" s="15">
        <v>33105063109</v>
      </c>
      <c r="B385" s="16" t="str">
        <f>VLOOKUP(Projeção[[#This Row],[Código]],BD_Produto[#All],6,FALSE)</f>
        <v>IFLEX - CASE DE TPU TRANSPARENTE PARA IPHONE 4 - YOUTS</v>
      </c>
      <c r="C385" s="130">
        <v>0.13333333333333333</v>
      </c>
      <c r="D385" s="130">
        <v>9.9999999999999992E-2</v>
      </c>
      <c r="E385" s="130">
        <v>3.3333333333333333E-2</v>
      </c>
      <c r="F385" s="130">
        <v>3.3333333333333333E-2</v>
      </c>
      <c r="G385" s="130">
        <v>3.3333333333333333E-2</v>
      </c>
      <c r="H385" s="130">
        <v>0</v>
      </c>
      <c r="I385" s="130">
        <v>0</v>
      </c>
      <c r="J385" s="130">
        <v>0</v>
      </c>
      <c r="K385" s="130">
        <v>0</v>
      </c>
      <c r="L385" s="130">
        <v>0</v>
      </c>
      <c r="M385" s="130">
        <v>0</v>
      </c>
      <c r="N385" s="130">
        <v>0</v>
      </c>
      <c r="O3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86" spans="1:15" x14ac:dyDescent="0.25">
      <c r="A386" s="15">
        <v>33105063088</v>
      </c>
      <c r="B386" s="16" t="str">
        <f>VLOOKUP(Projeção[[#This Row],[Código]],BD_Produto[#All],6,FALSE)</f>
        <v>ILEATHER - CASE DE COURO LEGÍTIMO PARA IPAD 2 e NEW IPAD - YOUTS</v>
      </c>
      <c r="C386" s="130">
        <v>6.6666666666666666E-2</v>
      </c>
      <c r="D386" s="130">
        <v>6.6666666666666666E-2</v>
      </c>
      <c r="E386" s="130">
        <v>0.6333333333333333</v>
      </c>
      <c r="F386" s="130">
        <v>0.23333333333333328</v>
      </c>
      <c r="G386" s="130">
        <v>0.23333333333333328</v>
      </c>
      <c r="H386" s="130">
        <v>9.9999999999999992E-2</v>
      </c>
      <c r="I386" s="130">
        <v>9.9999999999999992E-2</v>
      </c>
      <c r="J386" s="130">
        <v>6.6666666666666666E-2</v>
      </c>
      <c r="K386" s="130">
        <v>9.9999999999999992E-2</v>
      </c>
      <c r="L386" s="130">
        <v>3.3333333333333333E-2</v>
      </c>
      <c r="M386" s="130">
        <v>3.3333333333333333E-2</v>
      </c>
      <c r="N386" s="130">
        <v>3.3333333333333333E-2</v>
      </c>
      <c r="O3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0.43333333333333329</v>
      </c>
    </row>
    <row r="387" spans="1:15" x14ac:dyDescent="0.25">
      <c r="A387" s="15">
        <v>33105063089</v>
      </c>
      <c r="B387" s="16" t="str">
        <f>VLOOKUP(Projeção[[#This Row],[Código]],BD_Produto[#All],6,FALSE)</f>
        <v>ISMART - CASE DE COURO SINTETICO PARA IPAD 2 e NEW IPAD / AMARELO - YOUTS</v>
      </c>
      <c r="C387" s="130">
        <v>3.3333333333333333E-2</v>
      </c>
      <c r="D387" s="130">
        <v>3.3333333333333333E-2</v>
      </c>
      <c r="E387" s="130">
        <v>0</v>
      </c>
      <c r="F387" s="130">
        <v>0</v>
      </c>
      <c r="G387" s="130">
        <v>0</v>
      </c>
      <c r="H387" s="130">
        <v>0</v>
      </c>
      <c r="I387" s="130">
        <v>0</v>
      </c>
      <c r="J387" s="130">
        <v>0</v>
      </c>
      <c r="K387" s="130">
        <v>0</v>
      </c>
      <c r="L387" s="130">
        <v>0</v>
      </c>
      <c r="M387" s="130">
        <v>0</v>
      </c>
      <c r="N387" s="130">
        <v>0</v>
      </c>
      <c r="O3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388" spans="1:15" x14ac:dyDescent="0.25">
      <c r="A388" s="15">
        <v>33105063090</v>
      </c>
      <c r="B388" s="16" t="str">
        <f>VLOOKUP(Projeção[[#This Row],[Código]],BD_Produto[#All],6,FALSE)</f>
        <v>ISMART - CASE DE COURO SINTETICO PARA IPAD 2 e NEW IPAD / AZUL - YOUTS</v>
      </c>
      <c r="C388" s="130">
        <v>4.0333333333333332</v>
      </c>
      <c r="D388" s="130">
        <v>1.2333333333333334</v>
      </c>
      <c r="E388" s="130">
        <v>1.7666666666666664</v>
      </c>
      <c r="F388" s="130">
        <v>0.43333333333333329</v>
      </c>
      <c r="G388" s="130">
        <v>0.43333333333333329</v>
      </c>
      <c r="H388" s="130">
        <v>0.3</v>
      </c>
      <c r="I388" s="130">
        <v>0.3</v>
      </c>
      <c r="J388" s="130">
        <v>0.46666666666666667</v>
      </c>
      <c r="K388" s="130">
        <v>0.3</v>
      </c>
      <c r="L388" s="130">
        <v>0.43333333333333329</v>
      </c>
      <c r="M388" s="130">
        <v>0.36666666666666664</v>
      </c>
      <c r="N388" s="130">
        <v>0.36666666666666664</v>
      </c>
      <c r="O3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0.33333333333333326</v>
      </c>
    </row>
    <row r="389" spans="1:15" x14ac:dyDescent="0.25">
      <c r="A389" s="15">
        <v>33105063091</v>
      </c>
      <c r="B389" s="16" t="str">
        <f>VLOOKUP(Projeção[[#This Row],[Código]],BD_Produto[#All],6,FALSE)</f>
        <v>ISMART - CASE DE COURO SINTETICO PARA IPAD 2 e NEW IPAD / LARANJA - YOUTS</v>
      </c>
      <c r="C389" s="130">
        <v>2.2999999999999998</v>
      </c>
      <c r="D389" s="130">
        <v>0.70000000000000007</v>
      </c>
      <c r="E389" s="130">
        <v>0.70000000000000007</v>
      </c>
      <c r="F389" s="130">
        <v>0.16666666666666666</v>
      </c>
      <c r="G389" s="130">
        <v>0.16666666666666666</v>
      </c>
      <c r="H389" s="130">
        <v>0.16666666666666666</v>
      </c>
      <c r="I389" s="130">
        <v>0.16666666666666666</v>
      </c>
      <c r="J389" s="130">
        <v>0.16666666666666666</v>
      </c>
      <c r="K389" s="130">
        <v>0.16666666666666666</v>
      </c>
      <c r="L389" s="130">
        <v>0.13333333333333333</v>
      </c>
      <c r="M389" s="130">
        <v>0.13333333333333333</v>
      </c>
      <c r="N389" s="130">
        <v>0.13333333333333333</v>
      </c>
      <c r="O3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390" spans="1:15" x14ac:dyDescent="0.25">
      <c r="A390" s="15">
        <v>33105063092</v>
      </c>
      <c r="B390" s="16" t="str">
        <f>VLOOKUP(Projeção[[#This Row],[Código]],BD_Produto[#All],6,FALSE)</f>
        <v>ISMART - CASE DE COURO SINTETICO PARA IPAD 2 e NEW IPAD / ROSA - YOUTS</v>
      </c>
      <c r="C390" s="130">
        <v>0.36666666666666664</v>
      </c>
      <c r="D390" s="130">
        <v>0.36666666666666664</v>
      </c>
      <c r="E390" s="130">
        <v>0.36666666666666664</v>
      </c>
      <c r="F390" s="130">
        <v>0.36666666666666664</v>
      </c>
      <c r="G390" s="130">
        <v>0.36666666666666664</v>
      </c>
      <c r="H390" s="130">
        <v>3.3333333333333333E-2</v>
      </c>
      <c r="I390" s="130">
        <v>3.3333333333333333E-2</v>
      </c>
      <c r="J390" s="130">
        <v>3.3333333333333333E-2</v>
      </c>
      <c r="K390" s="130">
        <v>3.3333333333333333E-2</v>
      </c>
      <c r="L390" s="130">
        <v>0</v>
      </c>
      <c r="M390" s="130">
        <v>0</v>
      </c>
      <c r="N390" s="130">
        <v>0</v>
      </c>
      <c r="O3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0.26666666666666666</v>
      </c>
    </row>
    <row r="391" spans="1:15" x14ac:dyDescent="0.25">
      <c r="A391" s="15">
        <v>33105063093</v>
      </c>
      <c r="B391" s="16" t="str">
        <f>VLOOKUP(Projeção[[#This Row],[Código]],BD_Produto[#All],6,FALSE)</f>
        <v>ISMART - CASE DE COURO SINTETICO PARA IPAD 2 e NEW IPAD / VERDE - YOUTS</v>
      </c>
      <c r="C391" s="130">
        <v>1.1333333333333331</v>
      </c>
      <c r="D391" s="130">
        <v>0.33333333333333326</v>
      </c>
      <c r="E391" s="130">
        <v>0.33333333333333326</v>
      </c>
      <c r="F391" s="130">
        <v>6.6666666666666666E-2</v>
      </c>
      <c r="G391" s="130">
        <v>6.6666666666666666E-2</v>
      </c>
      <c r="H391" s="130">
        <v>6.6666666666666666E-2</v>
      </c>
      <c r="I391" s="130">
        <v>6.6666666666666666E-2</v>
      </c>
      <c r="J391" s="130">
        <v>6.6666666666666666E-2</v>
      </c>
      <c r="K391" s="130">
        <v>6.6666666666666666E-2</v>
      </c>
      <c r="L391" s="130">
        <v>6.6666666666666666E-2</v>
      </c>
      <c r="M391" s="130">
        <v>6.6666666666666666E-2</v>
      </c>
      <c r="N391" s="130">
        <v>6.6666666666666666E-2</v>
      </c>
      <c r="O3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392" spans="1:15" x14ac:dyDescent="0.25">
      <c r="A392" s="15">
        <v>33105063084</v>
      </c>
      <c r="B392" s="16" t="str">
        <f>VLOOKUP(Projeção[[#This Row],[Código]],BD_Produto[#All],6,FALSE)</f>
        <v>ITURN - CASE DE COURO SINTETICO PARA IPAD 2 e NEW IPAD / AZUL - YOUTS</v>
      </c>
      <c r="C392" s="130">
        <v>0.43333333333333329</v>
      </c>
      <c r="D392" s="130">
        <v>0.43333333333333329</v>
      </c>
      <c r="E392" s="130">
        <v>0.26666666666666666</v>
      </c>
      <c r="F392" s="130">
        <v>0.26666666666666666</v>
      </c>
      <c r="G392" s="130">
        <v>0.16666666666666666</v>
      </c>
      <c r="H392" s="130">
        <v>0.16666666666666666</v>
      </c>
      <c r="I392" s="130">
        <v>0.13333333333333333</v>
      </c>
      <c r="J392" s="130">
        <v>0.16666666666666666</v>
      </c>
      <c r="K392" s="130">
        <v>0.16666666666666666</v>
      </c>
      <c r="L392" s="130">
        <v>0.16666666666666666</v>
      </c>
      <c r="M392" s="130">
        <v>0.23333333333333334</v>
      </c>
      <c r="N392" s="130">
        <v>0.23333333333333334</v>
      </c>
      <c r="O3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393" spans="1:15" x14ac:dyDescent="0.25">
      <c r="A393" s="15">
        <v>33105063085</v>
      </c>
      <c r="B393" s="16" t="str">
        <f>VLOOKUP(Projeção[[#This Row],[Código]],BD_Produto[#All],6,FALSE)</f>
        <v>ITURN - CASE DE COURO SINTETICO PARA IPAD 2 e NEW IPAD / ROSA - YOUTS</v>
      </c>
      <c r="C393" s="130">
        <v>2.0333333333333332</v>
      </c>
      <c r="D393" s="130">
        <v>0.83333333333333315</v>
      </c>
      <c r="E393" s="130">
        <v>0.79999999999999993</v>
      </c>
      <c r="F393" s="130">
        <v>2.1</v>
      </c>
      <c r="G393" s="130">
        <v>0.83333333333333315</v>
      </c>
      <c r="H393" s="130">
        <v>0.79999999999999993</v>
      </c>
      <c r="I393" s="130">
        <v>0.79999999999999993</v>
      </c>
      <c r="J393" s="130">
        <v>0.39999999999999997</v>
      </c>
      <c r="K393" s="130">
        <v>0.79999999999999993</v>
      </c>
      <c r="L393" s="130">
        <v>0.36666666666666664</v>
      </c>
      <c r="M393" s="130">
        <v>0.19999999999999998</v>
      </c>
      <c r="N393" s="130">
        <v>0.19999999999999998</v>
      </c>
      <c r="O3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394" spans="1:15" x14ac:dyDescent="0.25">
      <c r="A394" s="15">
        <v>33105063086</v>
      </c>
      <c r="B394" s="16" t="str">
        <f>VLOOKUP(Projeção[[#This Row],[Código]],BD_Produto[#All],6,FALSE)</f>
        <v>ITURN - CASE DE COURO SINTETICO PARA IPAD 2 e NEW IPAD / VERDE - YOUTS</v>
      </c>
      <c r="C394" s="130">
        <v>0.6333333333333333</v>
      </c>
      <c r="D394" s="130">
        <v>0.6333333333333333</v>
      </c>
      <c r="E394" s="130">
        <v>0.56666666666666665</v>
      </c>
      <c r="F394" s="130">
        <v>0.56666666666666665</v>
      </c>
      <c r="G394" s="130">
        <v>0.46666666666666667</v>
      </c>
      <c r="H394" s="130">
        <v>0.16666666666666666</v>
      </c>
      <c r="I394" s="130">
        <v>0.16666666666666666</v>
      </c>
      <c r="J394" s="130">
        <v>0.16666666666666666</v>
      </c>
      <c r="K394" s="130">
        <v>0.16666666666666666</v>
      </c>
      <c r="L394" s="130">
        <v>0.16666666666666666</v>
      </c>
      <c r="M394" s="130">
        <v>0</v>
      </c>
      <c r="N394" s="130">
        <v>0</v>
      </c>
      <c r="O3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95" spans="1:15" x14ac:dyDescent="0.25">
      <c r="A395" s="15">
        <v>33070118045</v>
      </c>
      <c r="B395" s="16" t="str">
        <f>VLOOKUP(Projeção[[#This Row],[Código]],BD_Produto[#All],6,FALSE)</f>
        <v>JK - GRAMPEADOR PNEUMATICO INDUSTRIAL JK-20T779L (126138)</v>
      </c>
      <c r="C395" s="130">
        <v>0</v>
      </c>
      <c r="D395" s="130">
        <v>0</v>
      </c>
      <c r="E395" s="130">
        <v>0</v>
      </c>
      <c r="F395" s="130">
        <v>0</v>
      </c>
      <c r="G395" s="130">
        <v>0</v>
      </c>
      <c r="H395" s="130">
        <v>0</v>
      </c>
      <c r="I395" s="130">
        <v>0</v>
      </c>
      <c r="J395" s="130">
        <v>0</v>
      </c>
      <c r="K395" s="130">
        <v>0</v>
      </c>
      <c r="L395" s="130">
        <v>0</v>
      </c>
      <c r="M395" s="130">
        <v>0</v>
      </c>
      <c r="N395" s="130">
        <v>0</v>
      </c>
      <c r="O3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96" spans="1:15" x14ac:dyDescent="0.25">
      <c r="A396" s="15">
        <v>33070463938</v>
      </c>
      <c r="B396" s="16" t="str">
        <f>VLOOKUP(Projeção[[#This Row],[Código]],BD_Produto[#All],6,FALSE)</f>
        <v>JK ,GRAMPEADOR JK35T590 ,LINGUETA DO ANTEPARO PN (158248)</v>
      </c>
      <c r="C396" s="130">
        <v>0</v>
      </c>
      <c r="D396" s="130">
        <v>0</v>
      </c>
      <c r="E396" s="130">
        <v>0</v>
      </c>
      <c r="F396" s="130">
        <v>0</v>
      </c>
      <c r="G396" s="130">
        <v>0</v>
      </c>
      <c r="H396" s="130">
        <v>0</v>
      </c>
      <c r="I396" s="130">
        <v>0</v>
      </c>
      <c r="J396" s="130">
        <v>0</v>
      </c>
      <c r="K396" s="130">
        <v>0</v>
      </c>
      <c r="L396" s="130">
        <v>0</v>
      </c>
      <c r="M396" s="130">
        <v>0</v>
      </c>
      <c r="N396" s="130">
        <v>0</v>
      </c>
      <c r="O3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97" spans="1:15" x14ac:dyDescent="0.25">
      <c r="A397" s="15">
        <v>33070463939</v>
      </c>
      <c r="B397" s="16" t="str">
        <f>VLOOKUP(Projeção[[#This Row],[Código]],BD_Produto[#All],6,FALSE)</f>
        <v>JK ,GRAMPEADOR JK35T590 ,SUPORTE DO ANTEPARO PN (176018)</v>
      </c>
      <c r="C397" s="130">
        <v>0</v>
      </c>
      <c r="D397" s="130">
        <v>0</v>
      </c>
      <c r="E397" s="130">
        <v>0</v>
      </c>
      <c r="F397" s="130">
        <v>0</v>
      </c>
      <c r="G397" s="130">
        <v>0</v>
      </c>
      <c r="H397" s="130">
        <v>0</v>
      </c>
      <c r="I397" s="130">
        <v>0</v>
      </c>
      <c r="J397" s="130">
        <v>0</v>
      </c>
      <c r="K397" s="130">
        <v>0</v>
      </c>
      <c r="L397" s="130">
        <v>0</v>
      </c>
      <c r="M397" s="130">
        <v>0</v>
      </c>
      <c r="N397" s="130">
        <v>0</v>
      </c>
      <c r="O3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98" spans="1:15" ht="12.75" customHeight="1" x14ac:dyDescent="0.25">
      <c r="A398" s="15">
        <v>33070118012</v>
      </c>
      <c r="B398" s="16" t="str">
        <f>VLOOKUP(Projeção[[#This Row],[Código]],BD_Produto[#All],6,FALSE)</f>
        <v>JK-APARELHO PARA CINTAR TIRAS DE ACO JK-1219 (129000)</v>
      </c>
      <c r="C398" s="130">
        <v>0</v>
      </c>
      <c r="D398" s="130">
        <v>0</v>
      </c>
      <c r="E398" s="130">
        <v>0</v>
      </c>
      <c r="F398" s="130">
        <v>0</v>
      </c>
      <c r="G398" s="130">
        <v>0</v>
      </c>
      <c r="H398" s="130">
        <v>0</v>
      </c>
      <c r="I398" s="130">
        <v>0</v>
      </c>
      <c r="J398" s="130">
        <v>0</v>
      </c>
      <c r="K398" s="130">
        <v>0</v>
      </c>
      <c r="L398" s="130">
        <v>0</v>
      </c>
      <c r="M398" s="130">
        <v>0</v>
      </c>
      <c r="N398" s="130">
        <v>0</v>
      </c>
      <c r="O3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399" spans="1:15" x14ac:dyDescent="0.25">
      <c r="A399" s="15">
        <v>33070118010</v>
      </c>
      <c r="B399" s="16" t="str">
        <f>VLOOKUP(Projeção[[#This Row],[Código]],BD_Produto[#All],6,FALSE)</f>
        <v>JK-GRAMPEADOR MANUAL PARA EMBALAGENS B-561 "BOTTOM STAPLER"(</v>
      </c>
      <c r="C399" s="130">
        <v>0</v>
      </c>
      <c r="D399" s="130">
        <v>0</v>
      </c>
      <c r="E399" s="130">
        <v>0</v>
      </c>
      <c r="F399" s="130">
        <v>0</v>
      </c>
      <c r="G399" s="130">
        <v>0</v>
      </c>
      <c r="H399" s="130">
        <v>0</v>
      </c>
      <c r="I399" s="130">
        <v>0</v>
      </c>
      <c r="J399" s="130">
        <v>0</v>
      </c>
      <c r="K399" s="130">
        <v>0</v>
      </c>
      <c r="L399" s="130">
        <v>0</v>
      </c>
      <c r="M399" s="130">
        <v>0</v>
      </c>
      <c r="N399" s="130">
        <v>0</v>
      </c>
      <c r="O3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0" spans="1:15" x14ac:dyDescent="0.25">
      <c r="A400" s="15">
        <v>33070118015</v>
      </c>
      <c r="B400" s="16" t="str">
        <f>VLOOKUP(Projeção[[#This Row],[Código]],BD_Produto[#All],6,FALSE)</f>
        <v>JK-GRAMPEADOR MANUAL PARA EMBALAGENS C-561M "TOP STAPLER"(12</v>
      </c>
      <c r="C400" s="130">
        <v>0</v>
      </c>
      <c r="D400" s="130">
        <v>0</v>
      </c>
      <c r="E400" s="130">
        <v>0</v>
      </c>
      <c r="F400" s="130">
        <v>0</v>
      </c>
      <c r="G400" s="130">
        <v>0</v>
      </c>
      <c r="H400" s="130">
        <v>0</v>
      </c>
      <c r="I400" s="130">
        <v>0</v>
      </c>
      <c r="J400" s="130">
        <v>0</v>
      </c>
      <c r="K400" s="130">
        <v>0</v>
      </c>
      <c r="L400" s="130">
        <v>0</v>
      </c>
      <c r="M400" s="130">
        <v>0</v>
      </c>
      <c r="N400" s="130">
        <v>0</v>
      </c>
      <c r="O4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1" spans="1:15" x14ac:dyDescent="0.25">
      <c r="A401" s="15">
        <v>33070118013</v>
      </c>
      <c r="B401" s="16" t="str">
        <f>VLOOKUP(Projeção[[#This Row],[Código]],BD_Produto[#All],6,FALSE)</f>
        <v>JK-GRAMPEADOR MANUAL PARA EMBALAGENS F-561 (120370)</v>
      </c>
      <c r="C401" s="130">
        <v>0</v>
      </c>
      <c r="D401" s="130">
        <v>0</v>
      </c>
      <c r="E401" s="130">
        <v>0</v>
      </c>
      <c r="F401" s="130">
        <v>0</v>
      </c>
      <c r="G401" s="130">
        <v>0</v>
      </c>
      <c r="H401" s="130">
        <v>0</v>
      </c>
      <c r="I401" s="130">
        <v>0</v>
      </c>
      <c r="J401" s="130">
        <v>0</v>
      </c>
      <c r="K401" s="130">
        <v>0</v>
      </c>
      <c r="L401" s="130">
        <v>0</v>
      </c>
      <c r="M401" s="130">
        <v>0</v>
      </c>
      <c r="N401" s="130">
        <v>0</v>
      </c>
      <c r="O4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2" spans="1:15" x14ac:dyDescent="0.25">
      <c r="A402" s="15">
        <v>33070160257</v>
      </c>
      <c r="B402" s="16" t="str">
        <f>VLOOKUP(Projeção[[#This Row],[Código]],BD_Produto[#All],6,FALSE)</f>
        <v>JK-GRAMPEADOR PNEUMATICO INDUSTRIAL JK 24-690 (126167)</v>
      </c>
      <c r="C402" s="130">
        <v>0</v>
      </c>
      <c r="D402" s="130">
        <v>0</v>
      </c>
      <c r="E402" s="130">
        <v>0</v>
      </c>
      <c r="F402" s="130">
        <v>0</v>
      </c>
      <c r="G402" s="130">
        <v>0</v>
      </c>
      <c r="H402" s="130">
        <v>0</v>
      </c>
      <c r="I402" s="130">
        <v>0</v>
      </c>
      <c r="J402" s="130">
        <v>0</v>
      </c>
      <c r="K402" s="130">
        <v>0</v>
      </c>
      <c r="L402" s="130">
        <v>0</v>
      </c>
      <c r="M402" s="130">
        <v>0</v>
      </c>
      <c r="N402" s="130">
        <v>0</v>
      </c>
      <c r="O4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3" spans="1:15" x14ac:dyDescent="0.25">
      <c r="A403" s="15">
        <v>33070118020</v>
      </c>
      <c r="B403" s="16" t="str">
        <f>VLOOKUP(Projeção[[#This Row],[Código]],BD_Produto[#All],6,FALSE)</f>
        <v>JK-GRAMPEADOR PNEUMATICO INDUSTRIAL JK-20-670 (126030)</v>
      </c>
      <c r="C403" s="130">
        <v>0</v>
      </c>
      <c r="D403" s="130">
        <v>0</v>
      </c>
      <c r="E403" s="130">
        <v>0</v>
      </c>
      <c r="F403" s="130">
        <v>0</v>
      </c>
      <c r="G403" s="130">
        <v>0</v>
      </c>
      <c r="H403" s="130">
        <v>0</v>
      </c>
      <c r="I403" s="130">
        <v>0</v>
      </c>
      <c r="J403" s="130">
        <v>0</v>
      </c>
      <c r="K403" s="130">
        <v>0</v>
      </c>
      <c r="L403" s="130">
        <v>0</v>
      </c>
      <c r="M403" s="130">
        <v>0</v>
      </c>
      <c r="N403" s="130">
        <v>0</v>
      </c>
      <c r="O4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4" spans="1:15" x14ac:dyDescent="0.25">
      <c r="A404" s="15">
        <v>33070118022</v>
      </c>
      <c r="B404" s="16" t="str">
        <f>VLOOKUP(Projeção[[#This Row],[Código]],BD_Produto[#All],6,FALSE)</f>
        <v>JK-GRAMPEADOR PNEUMATICO INDUSTRIAL JK-20A670 (126032)</v>
      </c>
      <c r="C404" s="130">
        <v>0</v>
      </c>
      <c r="D404" s="130">
        <v>0</v>
      </c>
      <c r="E404" s="130">
        <v>0</v>
      </c>
      <c r="F404" s="130">
        <v>0</v>
      </c>
      <c r="G404" s="130">
        <v>0</v>
      </c>
      <c r="H404" s="130">
        <v>0</v>
      </c>
      <c r="I404" s="130">
        <v>0</v>
      </c>
      <c r="J404" s="130">
        <v>0</v>
      </c>
      <c r="K404" s="130">
        <v>0</v>
      </c>
      <c r="L404" s="130">
        <v>0</v>
      </c>
      <c r="M404" s="130">
        <v>0</v>
      </c>
      <c r="N404" s="130">
        <v>0</v>
      </c>
      <c r="O4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5" spans="1:15" x14ac:dyDescent="0.25">
      <c r="A405" s="15">
        <v>33070160258</v>
      </c>
      <c r="B405" s="16" t="str">
        <f>VLOOKUP(Projeção[[#This Row],[Código]],BD_Produto[#All],6,FALSE)</f>
        <v>JK-GRAMPEADOR PNEUMATICO INDUSTRIAL JK20T777L (126202)</v>
      </c>
      <c r="C405" s="130">
        <v>0</v>
      </c>
      <c r="D405" s="130">
        <v>0</v>
      </c>
      <c r="E405" s="130">
        <v>0</v>
      </c>
      <c r="F405" s="130">
        <v>0</v>
      </c>
      <c r="G405" s="130">
        <v>0</v>
      </c>
      <c r="H405" s="130">
        <v>0</v>
      </c>
      <c r="I405" s="130">
        <v>0</v>
      </c>
      <c r="J405" s="130">
        <v>0</v>
      </c>
      <c r="K405" s="130">
        <v>0</v>
      </c>
      <c r="L405" s="130">
        <v>0</v>
      </c>
      <c r="M405" s="130">
        <v>0</v>
      </c>
      <c r="N405" s="130">
        <v>0</v>
      </c>
      <c r="O4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6" spans="1:15" x14ac:dyDescent="0.25">
      <c r="A406" s="15">
        <v>33070118027</v>
      </c>
      <c r="B406" s="16" t="str">
        <f>VLOOKUP(Projeção[[#This Row],[Código]],BD_Produto[#All],6,FALSE)</f>
        <v>JK-GRAMPEADOR PNEUMATICO INDUSTRIAL JK-20V779L "SISAL PLIER"</v>
      </c>
      <c r="C406" s="130">
        <v>0</v>
      </c>
      <c r="D406" s="130">
        <v>0</v>
      </c>
      <c r="E406" s="130">
        <v>0</v>
      </c>
      <c r="F406" s="130">
        <v>0</v>
      </c>
      <c r="G406" s="130">
        <v>0</v>
      </c>
      <c r="H406" s="130">
        <v>0</v>
      </c>
      <c r="I406" s="130">
        <v>0</v>
      </c>
      <c r="J406" s="130">
        <v>0</v>
      </c>
      <c r="K406" s="130">
        <v>0</v>
      </c>
      <c r="L406" s="130">
        <v>0</v>
      </c>
      <c r="M406" s="130">
        <v>0</v>
      </c>
      <c r="N406" s="130">
        <v>0</v>
      </c>
      <c r="O4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7" spans="1:15" x14ac:dyDescent="0.25">
      <c r="A407" s="15">
        <v>33070160259</v>
      </c>
      <c r="B407" s="16" t="str">
        <f>VLOOKUP(Projeção[[#This Row],[Código]],BD_Produto[#All],6,FALSE)</f>
        <v>JK-GRAMPEADOR PNEUMATICO INDUSTRIAL JK35T590 (126289)</v>
      </c>
      <c r="C407" s="130">
        <v>0</v>
      </c>
      <c r="D407" s="130">
        <v>0</v>
      </c>
      <c r="E407" s="130">
        <v>0</v>
      </c>
      <c r="F407" s="130">
        <v>0</v>
      </c>
      <c r="G407" s="130">
        <v>0</v>
      </c>
      <c r="H407" s="130">
        <v>0</v>
      </c>
      <c r="I407" s="130">
        <v>0</v>
      </c>
      <c r="J407" s="130">
        <v>0</v>
      </c>
      <c r="K407" s="130">
        <v>0</v>
      </c>
      <c r="L407" s="130">
        <v>0</v>
      </c>
      <c r="M407" s="130">
        <v>0</v>
      </c>
      <c r="N407" s="130">
        <v>0</v>
      </c>
      <c r="O4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8" spans="1:15" x14ac:dyDescent="0.25">
      <c r="A408" s="15">
        <v>33070118025</v>
      </c>
      <c r="B408" s="16" t="str">
        <f>VLOOKUP(Projeção[[#This Row],[Código]],BD_Produto[#All],6,FALSE)</f>
        <v>JK-GRAMPEADOR PNEUMATICO INDUSTRIAL JK-45-783 (126305)</v>
      </c>
      <c r="C408" s="130">
        <v>0</v>
      </c>
      <c r="D408" s="130">
        <v>0</v>
      </c>
      <c r="E408" s="130">
        <v>0</v>
      </c>
      <c r="F408" s="130">
        <v>0</v>
      </c>
      <c r="G408" s="130">
        <v>0</v>
      </c>
      <c r="H408" s="130">
        <v>0</v>
      </c>
      <c r="I408" s="130">
        <v>0</v>
      </c>
      <c r="J408" s="130">
        <v>0</v>
      </c>
      <c r="K408" s="130">
        <v>0</v>
      </c>
      <c r="L408" s="130">
        <v>0</v>
      </c>
      <c r="M408" s="130">
        <v>0</v>
      </c>
      <c r="N408" s="130">
        <v>0</v>
      </c>
      <c r="O4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09" spans="1:15" x14ac:dyDescent="0.25">
      <c r="A409" s="15">
        <v>33070118024</v>
      </c>
      <c r="B409" s="16" t="str">
        <f>VLOOKUP(Projeção[[#This Row],[Código]],BD_Produto[#All],6,FALSE)</f>
        <v>JK-GRAMPEADOR PNEUMATICO INDUSTRIAL PN JK-28-781 (126335)</v>
      </c>
      <c r="C409" s="130">
        <v>0</v>
      </c>
      <c r="D409" s="130">
        <v>0</v>
      </c>
      <c r="E409" s="130">
        <v>0</v>
      </c>
      <c r="F409" s="130">
        <v>0</v>
      </c>
      <c r="G409" s="130">
        <v>0</v>
      </c>
      <c r="H409" s="130">
        <v>0</v>
      </c>
      <c r="I409" s="130">
        <v>0</v>
      </c>
      <c r="J409" s="130">
        <v>0</v>
      </c>
      <c r="K409" s="130">
        <v>0</v>
      </c>
      <c r="L409" s="130">
        <v>0</v>
      </c>
      <c r="M409" s="130">
        <v>0</v>
      </c>
      <c r="N409" s="130">
        <v>0</v>
      </c>
      <c r="O4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0" spans="1:15" x14ac:dyDescent="0.25">
      <c r="A410" s="15">
        <v>33070163821</v>
      </c>
      <c r="B410" s="16" t="str">
        <f>VLOOKUP(Projeção[[#This Row],[Código]],BD_Produto[#All],6,FALSE)</f>
        <v>JK-GRAMPEADOR PNEUMATICO INDUSTRIAL PN JK-30-781 ( 126363 )</v>
      </c>
      <c r="C410" s="130">
        <v>0</v>
      </c>
      <c r="D410" s="130">
        <v>0</v>
      </c>
      <c r="E410" s="130">
        <v>0</v>
      </c>
      <c r="F410" s="130">
        <v>0</v>
      </c>
      <c r="G410" s="130">
        <v>0</v>
      </c>
      <c r="H410" s="130">
        <v>0</v>
      </c>
      <c r="I410" s="130">
        <v>0</v>
      </c>
      <c r="J410" s="130">
        <v>0</v>
      </c>
      <c r="K410" s="130">
        <v>0</v>
      </c>
      <c r="L410" s="130">
        <v>0</v>
      </c>
      <c r="M410" s="130">
        <v>0</v>
      </c>
      <c r="N410" s="130">
        <v>0</v>
      </c>
      <c r="O4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1" spans="1:15" x14ac:dyDescent="0.25">
      <c r="A411" s="15">
        <v>33070161319</v>
      </c>
      <c r="B411" s="16" t="str">
        <f>VLOOKUP(Projeção[[#This Row],[Código]],BD_Produto[#All],6,FALSE)</f>
        <v>JK-GRAMPEADOR PNEUMATICO JK20T 779L22 (033399)</v>
      </c>
      <c r="C411" s="130">
        <v>0</v>
      </c>
      <c r="D411" s="130">
        <v>0</v>
      </c>
      <c r="E411" s="130">
        <v>0</v>
      </c>
      <c r="F411" s="130">
        <v>0</v>
      </c>
      <c r="G411" s="130">
        <v>0</v>
      </c>
      <c r="H411" s="130">
        <v>0</v>
      </c>
      <c r="I411" s="130">
        <v>0</v>
      </c>
      <c r="J411" s="130">
        <v>0</v>
      </c>
      <c r="K411" s="130">
        <v>0</v>
      </c>
      <c r="L411" s="130">
        <v>0</v>
      </c>
      <c r="M411" s="130">
        <v>0</v>
      </c>
      <c r="N411" s="130">
        <v>0</v>
      </c>
      <c r="O4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2" spans="1:15" x14ac:dyDescent="0.25">
      <c r="A412" s="15">
        <v>33070118011</v>
      </c>
      <c r="B412" s="16" t="str">
        <f>VLOOKUP(Projeção[[#This Row],[Código]],BD_Produto[#All],6,FALSE)</f>
        <v>JK-GRAMPEADOR PNEUMATICO PARA EMBALAGENS B-561PN "BOTTOM STA</v>
      </c>
      <c r="C412" s="130">
        <v>0</v>
      </c>
      <c r="D412" s="130">
        <v>0</v>
      </c>
      <c r="E412" s="130">
        <v>0</v>
      </c>
      <c r="F412" s="130">
        <v>0</v>
      </c>
      <c r="G412" s="130">
        <v>0</v>
      </c>
      <c r="H412" s="130">
        <v>0</v>
      </c>
      <c r="I412" s="130">
        <v>0</v>
      </c>
      <c r="J412" s="130">
        <v>0</v>
      </c>
      <c r="K412" s="130">
        <v>0</v>
      </c>
      <c r="L412" s="130">
        <v>0</v>
      </c>
      <c r="M412" s="130">
        <v>0</v>
      </c>
      <c r="N412" s="130">
        <v>0</v>
      </c>
      <c r="O4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3" spans="1:15" x14ac:dyDescent="0.25">
      <c r="A413" s="15">
        <v>33070118017</v>
      </c>
      <c r="B413" s="16" t="str">
        <f>VLOOKUP(Projeção[[#This Row],[Código]],BD_Produto[#All],6,FALSE)</f>
        <v>JK-GRAMPEADOR PNEUMATICO PARA EMBALAGENS C-561PN "TOP STAPLE</v>
      </c>
      <c r="C413" s="130">
        <v>0</v>
      </c>
      <c r="D413" s="130">
        <v>0</v>
      </c>
      <c r="E413" s="130">
        <v>0</v>
      </c>
      <c r="F413" s="130">
        <v>0</v>
      </c>
      <c r="G413" s="130">
        <v>0</v>
      </c>
      <c r="H413" s="130">
        <v>0</v>
      </c>
      <c r="I413" s="130">
        <v>0</v>
      </c>
      <c r="J413" s="130">
        <v>0</v>
      </c>
      <c r="K413" s="130">
        <v>0</v>
      </c>
      <c r="L413" s="130">
        <v>0</v>
      </c>
      <c r="M413" s="130">
        <v>0</v>
      </c>
      <c r="N413" s="130">
        <v>0</v>
      </c>
      <c r="O4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4" spans="1:15" ht="15" customHeight="1" x14ac:dyDescent="0.25">
      <c r="A414" s="15">
        <v>33070118014</v>
      </c>
      <c r="B414" s="16" t="str">
        <f>VLOOKUP(Projeção[[#This Row],[Código]],BD_Produto[#All],6,FALSE)</f>
        <v>JK-GRAMPEADOR PNEUMATICO PARA EMBALAGENS F-561PN (120560)</v>
      </c>
      <c r="C414" s="130">
        <v>0</v>
      </c>
      <c r="D414" s="130">
        <v>0</v>
      </c>
      <c r="E414" s="130">
        <v>0</v>
      </c>
      <c r="F414" s="130">
        <v>0</v>
      </c>
      <c r="G414" s="130">
        <v>0</v>
      </c>
      <c r="H414" s="130">
        <v>0</v>
      </c>
      <c r="I414" s="130">
        <v>0</v>
      </c>
      <c r="J414" s="130">
        <v>0</v>
      </c>
      <c r="K414" s="130">
        <v>0</v>
      </c>
      <c r="L414" s="130">
        <v>0</v>
      </c>
      <c r="M414" s="130">
        <v>0</v>
      </c>
      <c r="N414" s="130">
        <v>0</v>
      </c>
      <c r="O4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5" spans="1:15" x14ac:dyDescent="0.25">
      <c r="A415" s="15">
        <v>33070160256</v>
      </c>
      <c r="B415" s="16" t="str">
        <f>VLOOKUP(Projeção[[#This Row],[Código]],BD_Produto[#All],6,FALSE)</f>
        <v>JK-GRAMPEADOR PNEUMATICO PARA EMBALAGENS JK-A-560 PN TOP STA</v>
      </c>
      <c r="C415" s="130">
        <v>0</v>
      </c>
      <c r="D415" s="130">
        <v>0</v>
      </c>
      <c r="E415" s="130">
        <v>0</v>
      </c>
      <c r="F415" s="130">
        <v>0</v>
      </c>
      <c r="G415" s="130">
        <v>0</v>
      </c>
      <c r="H415" s="130">
        <v>0</v>
      </c>
      <c r="I415" s="130">
        <v>0</v>
      </c>
      <c r="J415" s="130">
        <v>0</v>
      </c>
      <c r="K415" s="130">
        <v>0</v>
      </c>
      <c r="L415" s="130">
        <v>0</v>
      </c>
      <c r="M415" s="130">
        <v>0</v>
      </c>
      <c r="N415" s="130">
        <v>0</v>
      </c>
      <c r="O4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6" spans="1:15" x14ac:dyDescent="0.25">
      <c r="A416" s="15">
        <v>33070118018</v>
      </c>
      <c r="B416" s="16" t="str">
        <f>VLOOKUP(Projeção[[#This Row],[Código]],BD_Produto[#All],6,FALSE)</f>
        <v>JK-GRAMPEADOR PNEUMATICO PARA EMBALAGENS R-555PN "TOP STAPLE</v>
      </c>
      <c r="C416" s="130">
        <v>0</v>
      </c>
      <c r="D416" s="130">
        <v>0</v>
      </c>
      <c r="E416" s="130">
        <v>0</v>
      </c>
      <c r="F416" s="130">
        <v>0</v>
      </c>
      <c r="G416" s="130">
        <v>0</v>
      </c>
      <c r="H416" s="130">
        <v>0</v>
      </c>
      <c r="I416" s="130">
        <v>0</v>
      </c>
      <c r="J416" s="130">
        <v>0</v>
      </c>
      <c r="K416" s="130">
        <v>0</v>
      </c>
      <c r="L416" s="130">
        <v>0</v>
      </c>
      <c r="M416" s="130">
        <v>0</v>
      </c>
      <c r="N416" s="130">
        <v>0</v>
      </c>
      <c r="O4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7" spans="1:15" x14ac:dyDescent="0.25">
      <c r="A417" s="15">
        <v>33070518035</v>
      </c>
      <c r="B417" s="16" t="str">
        <f>VLOOKUP(Projeção[[#This Row],[Código]],BD_Produto[#All],6,FALSE)</f>
        <v>JK-GRAMPO JK781-30CC( Caixa com 5.000 )(400408)</v>
      </c>
      <c r="C417" s="130">
        <v>0</v>
      </c>
      <c r="D417" s="130">
        <v>0</v>
      </c>
      <c r="E417" s="130">
        <v>0</v>
      </c>
      <c r="F417" s="130">
        <v>0</v>
      </c>
      <c r="G417" s="130">
        <v>0</v>
      </c>
      <c r="H417" s="130">
        <v>0</v>
      </c>
      <c r="I417" s="130">
        <v>0</v>
      </c>
      <c r="J417" s="130">
        <v>0</v>
      </c>
      <c r="K417" s="130">
        <v>0</v>
      </c>
      <c r="L417" s="130">
        <v>0</v>
      </c>
      <c r="M417" s="130">
        <v>0</v>
      </c>
      <c r="N417" s="130">
        <v>0</v>
      </c>
      <c r="O4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8" spans="1:15" x14ac:dyDescent="0.25">
      <c r="A418" s="15">
        <v>33070560255</v>
      </c>
      <c r="B418" s="16" t="str">
        <f>VLOOKUP(Projeção[[#This Row],[Código]],BD_Produto[#All],6,FALSE)</f>
        <v>JK-GRAMPOS 560-18 (2M) (400858)</v>
      </c>
      <c r="C418" s="130">
        <v>0</v>
      </c>
      <c r="D418" s="130">
        <v>0</v>
      </c>
      <c r="E418" s="130">
        <v>0</v>
      </c>
      <c r="F418" s="130">
        <v>0</v>
      </c>
      <c r="G418" s="130">
        <v>0</v>
      </c>
      <c r="H418" s="130">
        <v>0</v>
      </c>
      <c r="I418" s="130">
        <v>0</v>
      </c>
      <c r="J418" s="130">
        <v>0</v>
      </c>
      <c r="K418" s="130">
        <v>0</v>
      </c>
      <c r="L418" s="130">
        <v>0</v>
      </c>
      <c r="M418" s="130">
        <v>0</v>
      </c>
      <c r="N418" s="130">
        <v>0</v>
      </c>
      <c r="O4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19" spans="1:15" x14ac:dyDescent="0.25">
      <c r="A419" s="15">
        <v>33070560252</v>
      </c>
      <c r="B419" s="16" t="str">
        <f>VLOOKUP(Projeção[[#This Row],[Código]],BD_Produto[#All],6,FALSE)</f>
        <v>JK-GRAMPOS JK 590-22 (5M) (400518)</v>
      </c>
      <c r="C419" s="130">
        <v>0</v>
      </c>
      <c r="D419" s="130">
        <v>0</v>
      </c>
      <c r="E419" s="130">
        <v>0</v>
      </c>
      <c r="F419" s="130">
        <v>0</v>
      </c>
      <c r="G419" s="130">
        <v>0</v>
      </c>
      <c r="H419" s="130">
        <v>0</v>
      </c>
      <c r="I419" s="130">
        <v>0</v>
      </c>
      <c r="J419" s="130">
        <v>0</v>
      </c>
      <c r="K419" s="130">
        <v>0</v>
      </c>
      <c r="L419" s="130">
        <v>0</v>
      </c>
      <c r="M419" s="130">
        <v>0</v>
      </c>
      <c r="N419" s="130">
        <v>0</v>
      </c>
      <c r="O4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0" spans="1:15" x14ac:dyDescent="0.25">
      <c r="A420" s="15">
        <v>33070560253</v>
      </c>
      <c r="B420" s="16" t="str">
        <f>VLOOKUP(Projeção[[#This Row],[Código]],BD_Produto[#All],6,FALSE)</f>
        <v>JK-GRAMPOS JK 590-28 (5M) (400520)</v>
      </c>
      <c r="C420" s="130">
        <v>0</v>
      </c>
      <c r="D420" s="130">
        <v>0</v>
      </c>
      <c r="E420" s="130">
        <v>0</v>
      </c>
      <c r="F420" s="130">
        <v>0</v>
      </c>
      <c r="G420" s="130">
        <v>0</v>
      </c>
      <c r="H420" s="130">
        <v>0</v>
      </c>
      <c r="I420" s="130">
        <v>0</v>
      </c>
      <c r="J420" s="130">
        <v>0</v>
      </c>
      <c r="K420" s="130">
        <v>0</v>
      </c>
      <c r="L420" s="130">
        <v>0</v>
      </c>
      <c r="M420" s="130">
        <v>0</v>
      </c>
      <c r="N420" s="130">
        <v>0</v>
      </c>
      <c r="O4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1" spans="1:15" x14ac:dyDescent="0.25">
      <c r="A421" s="15">
        <v>33070560249</v>
      </c>
      <c r="B421" s="16" t="str">
        <f>VLOOKUP(Projeção[[#This Row],[Código]],BD_Produto[#All],6,FALSE)</f>
        <v>JK-GRAMPOS JK 777-10 (2,4M) (400449)</v>
      </c>
      <c r="C421" s="130">
        <v>0</v>
      </c>
      <c r="D421" s="130">
        <v>0</v>
      </c>
      <c r="E421" s="130">
        <v>0</v>
      </c>
      <c r="F421" s="130">
        <v>0</v>
      </c>
      <c r="G421" s="130">
        <v>0</v>
      </c>
      <c r="H421" s="130">
        <v>0</v>
      </c>
      <c r="I421" s="130">
        <v>0</v>
      </c>
      <c r="J421" s="130">
        <v>0</v>
      </c>
      <c r="K421" s="130">
        <v>0</v>
      </c>
      <c r="L421" s="130">
        <v>0</v>
      </c>
      <c r="M421" s="130">
        <v>0</v>
      </c>
      <c r="N421" s="130">
        <v>0</v>
      </c>
      <c r="O4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2" spans="1:15" ht="12.75" customHeight="1" x14ac:dyDescent="0.25">
      <c r="A422" s="15">
        <v>33070560250</v>
      </c>
      <c r="B422" s="16" t="str">
        <f>VLOOKUP(Projeção[[#This Row],[Código]],BD_Produto[#All],6,FALSE)</f>
        <v>JK-GRAMPOS JK 777-16 (2,4M) (400451)</v>
      </c>
      <c r="C422" s="130">
        <v>0</v>
      </c>
      <c r="D422" s="130">
        <v>0</v>
      </c>
      <c r="E422" s="130">
        <v>0</v>
      </c>
      <c r="F422" s="130">
        <v>0</v>
      </c>
      <c r="G422" s="130">
        <v>0</v>
      </c>
      <c r="H422" s="130">
        <v>0</v>
      </c>
      <c r="I422" s="130">
        <v>0</v>
      </c>
      <c r="J422" s="130">
        <v>0</v>
      </c>
      <c r="K422" s="130">
        <v>0</v>
      </c>
      <c r="L422" s="130">
        <v>0</v>
      </c>
      <c r="M422" s="130">
        <v>0</v>
      </c>
      <c r="N422" s="130">
        <v>0</v>
      </c>
      <c r="O4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3" spans="1:15" x14ac:dyDescent="0.25">
      <c r="A423" s="15">
        <v>33070560248</v>
      </c>
      <c r="B423" s="16" t="str">
        <f>VLOOKUP(Projeção[[#This Row],[Código]],BD_Produto[#All],6,FALSE)</f>
        <v>JK-GRAMPOS JK 779-16 (5M) (400375)</v>
      </c>
      <c r="C423" s="130">
        <v>0</v>
      </c>
      <c r="D423" s="130">
        <v>0</v>
      </c>
      <c r="E423" s="130">
        <v>0</v>
      </c>
      <c r="F423" s="130">
        <v>0</v>
      </c>
      <c r="G423" s="130">
        <v>0</v>
      </c>
      <c r="H423" s="130">
        <v>0</v>
      </c>
      <c r="I423" s="130">
        <v>0</v>
      </c>
      <c r="J423" s="130">
        <v>0</v>
      </c>
      <c r="K423" s="130">
        <v>0</v>
      </c>
      <c r="L423" s="130">
        <v>0</v>
      </c>
      <c r="M423" s="130">
        <v>0</v>
      </c>
      <c r="N423" s="130">
        <v>0</v>
      </c>
      <c r="O4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4" spans="1:15" x14ac:dyDescent="0.25">
      <c r="A424" s="15">
        <v>33070518031</v>
      </c>
      <c r="B424" s="16" t="str">
        <f>VLOOKUP(Projeção[[#This Row],[Código]],BD_Produto[#All],6,FALSE)</f>
        <v>JK-GRAMPOS JK555-15(20M)(185004)</v>
      </c>
      <c r="C424" s="130">
        <v>0</v>
      </c>
      <c r="D424" s="130">
        <v>0</v>
      </c>
      <c r="E424" s="130">
        <v>0</v>
      </c>
      <c r="F424" s="130">
        <v>0</v>
      </c>
      <c r="G424" s="130">
        <v>0</v>
      </c>
      <c r="H424" s="130">
        <v>0</v>
      </c>
      <c r="I424" s="130">
        <v>0</v>
      </c>
      <c r="J424" s="130">
        <v>0</v>
      </c>
      <c r="K424" s="130">
        <v>0</v>
      </c>
      <c r="L424" s="130">
        <v>0</v>
      </c>
      <c r="M424" s="130">
        <v>0</v>
      </c>
      <c r="N424" s="130">
        <v>0</v>
      </c>
      <c r="O4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5" spans="1:15" x14ac:dyDescent="0.25">
      <c r="A425" s="15">
        <v>33070518029</v>
      </c>
      <c r="B425" s="16" t="str">
        <f>VLOOKUP(Projeção[[#This Row],[Código]],BD_Produto[#All],6,FALSE)</f>
        <v>JK-GRAMPOS JK561-15K(2,5M)(400145)</v>
      </c>
      <c r="C425" s="130">
        <v>0</v>
      </c>
      <c r="D425" s="130">
        <v>0</v>
      </c>
      <c r="E425" s="130">
        <v>0</v>
      </c>
      <c r="F425" s="130">
        <v>0</v>
      </c>
      <c r="G425" s="130">
        <v>0</v>
      </c>
      <c r="H425" s="130">
        <v>0</v>
      </c>
      <c r="I425" s="130">
        <v>0</v>
      </c>
      <c r="J425" s="130">
        <v>0</v>
      </c>
      <c r="K425" s="130">
        <v>0</v>
      </c>
      <c r="L425" s="130">
        <v>0</v>
      </c>
      <c r="M425" s="130">
        <v>0</v>
      </c>
      <c r="N425" s="130">
        <v>0</v>
      </c>
      <c r="O4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6" spans="1:15" x14ac:dyDescent="0.25">
      <c r="A426" s="15">
        <v>33070518030</v>
      </c>
      <c r="B426" s="16" t="str">
        <f>VLOOKUP(Projeção[[#This Row],[Código]],BD_Produto[#All],6,FALSE)</f>
        <v>JK-GRAMPOS JK561-18K(2,5M)(400153)</v>
      </c>
      <c r="C426" s="130">
        <v>0</v>
      </c>
      <c r="D426" s="130">
        <v>0</v>
      </c>
      <c r="E426" s="130">
        <v>0</v>
      </c>
      <c r="F426" s="130">
        <v>0</v>
      </c>
      <c r="G426" s="130">
        <v>0</v>
      </c>
      <c r="H426" s="130">
        <v>0</v>
      </c>
      <c r="I426" s="130">
        <v>0</v>
      </c>
      <c r="J426" s="130">
        <v>0</v>
      </c>
      <c r="K426" s="130">
        <v>0</v>
      </c>
      <c r="L426" s="130">
        <v>0</v>
      </c>
      <c r="M426" s="130">
        <v>0</v>
      </c>
      <c r="N426" s="130">
        <v>0</v>
      </c>
      <c r="O4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7" spans="1:15" x14ac:dyDescent="0.25">
      <c r="A427" s="15">
        <v>33070560251</v>
      </c>
      <c r="B427" s="16" t="str">
        <f>VLOOKUP(Projeção[[#This Row],[Código]],BD_Produto[#All],6,FALSE)</f>
        <v>JK-GRAMPOS JK590-19 (SM) (400517)</v>
      </c>
      <c r="C427" s="130">
        <v>0.33333333333333331</v>
      </c>
      <c r="D427" s="130">
        <v>0.33333333333333331</v>
      </c>
      <c r="E427" s="130">
        <v>0.33333333333333331</v>
      </c>
      <c r="F427" s="130">
        <v>0</v>
      </c>
      <c r="G427" s="130">
        <v>0</v>
      </c>
      <c r="H427" s="130">
        <v>0</v>
      </c>
      <c r="I427" s="130">
        <v>0</v>
      </c>
      <c r="J427" s="130">
        <v>0</v>
      </c>
      <c r="K427" s="130">
        <v>0</v>
      </c>
      <c r="L427" s="130">
        <v>0</v>
      </c>
      <c r="M427" s="130">
        <v>0</v>
      </c>
      <c r="N427" s="130">
        <v>0</v>
      </c>
      <c r="O4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8" spans="1:15" x14ac:dyDescent="0.25">
      <c r="A428" s="15">
        <v>33070518032</v>
      </c>
      <c r="B428" s="16" t="str">
        <f>VLOOKUP(Projeção[[#This Row],[Código]],BD_Produto[#All],6,FALSE)</f>
        <v>JK-GRAMPOS JK670-10(20M)(400256)</v>
      </c>
      <c r="C428" s="130">
        <v>0</v>
      </c>
      <c r="D428" s="130">
        <v>0</v>
      </c>
      <c r="E428" s="130">
        <v>0</v>
      </c>
      <c r="F428" s="130">
        <v>0</v>
      </c>
      <c r="G428" s="130">
        <v>0</v>
      </c>
      <c r="H428" s="130">
        <v>0</v>
      </c>
      <c r="I428" s="130">
        <v>0</v>
      </c>
      <c r="J428" s="130">
        <v>0</v>
      </c>
      <c r="K428" s="130">
        <v>0</v>
      </c>
      <c r="L428" s="130">
        <v>0</v>
      </c>
      <c r="M428" s="130">
        <v>0</v>
      </c>
      <c r="N428" s="130">
        <v>0</v>
      </c>
      <c r="O4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29" spans="1:15" x14ac:dyDescent="0.25">
      <c r="A429" s="15">
        <v>33070518033</v>
      </c>
      <c r="B429" s="16" t="str">
        <f>VLOOKUP(Projeção[[#This Row],[Código]],BD_Produto[#All],6,FALSE)</f>
        <v>JK-GRAMPOS JK670-12(20M)(400262)</v>
      </c>
      <c r="C429" s="130">
        <v>0</v>
      </c>
      <c r="D429" s="130">
        <v>0</v>
      </c>
      <c r="E429" s="130">
        <v>0</v>
      </c>
      <c r="F429" s="130">
        <v>0</v>
      </c>
      <c r="G429" s="130">
        <v>0</v>
      </c>
      <c r="H429" s="130">
        <v>0</v>
      </c>
      <c r="I429" s="130">
        <v>0</v>
      </c>
      <c r="J429" s="130">
        <v>0</v>
      </c>
      <c r="K429" s="130">
        <v>0</v>
      </c>
      <c r="L429" s="130">
        <v>0</v>
      </c>
      <c r="M429" s="130">
        <v>0</v>
      </c>
      <c r="N429" s="130">
        <v>0</v>
      </c>
      <c r="O4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0" spans="1:15" x14ac:dyDescent="0.25">
      <c r="A430" s="15">
        <v>33070518038</v>
      </c>
      <c r="B430" s="16" t="str">
        <f>VLOOKUP(Projeção[[#This Row],[Código]],BD_Produto[#All],6,FALSE)</f>
        <v>JK-GRAMPOS JK779-10(5M)(400370)</v>
      </c>
      <c r="C430" s="130">
        <v>0</v>
      </c>
      <c r="D430" s="130">
        <v>0</v>
      </c>
      <c r="E430" s="130">
        <v>0</v>
      </c>
      <c r="F430" s="130">
        <v>0</v>
      </c>
      <c r="G430" s="130">
        <v>0</v>
      </c>
      <c r="H430" s="130">
        <v>0</v>
      </c>
      <c r="I430" s="130">
        <v>0</v>
      </c>
      <c r="J430" s="130">
        <v>0</v>
      </c>
      <c r="K430" s="130">
        <v>0</v>
      </c>
      <c r="L430" s="130">
        <v>0</v>
      </c>
      <c r="M430" s="130">
        <v>0</v>
      </c>
      <c r="N430" s="130">
        <v>0</v>
      </c>
      <c r="O4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1" spans="1:15" x14ac:dyDescent="0.25">
      <c r="A431" s="15">
        <v>33070518039</v>
      </c>
      <c r="B431" s="16" t="str">
        <f>VLOOKUP(Projeção[[#This Row],[Código]],BD_Produto[#All],6,FALSE)</f>
        <v>JK-GRAMPOS JK779-20(5M)(400548)</v>
      </c>
      <c r="C431" s="130">
        <v>0</v>
      </c>
      <c r="D431" s="130">
        <v>0</v>
      </c>
      <c r="E431" s="130">
        <v>0</v>
      </c>
      <c r="F431" s="130">
        <v>0</v>
      </c>
      <c r="G431" s="130">
        <v>0</v>
      </c>
      <c r="H431" s="130">
        <v>0</v>
      </c>
      <c r="I431" s="130">
        <v>0</v>
      </c>
      <c r="J431" s="130">
        <v>0</v>
      </c>
      <c r="K431" s="130">
        <v>0</v>
      </c>
      <c r="L431" s="130">
        <v>0</v>
      </c>
      <c r="M431" s="130">
        <v>0</v>
      </c>
      <c r="N431" s="130">
        <v>0</v>
      </c>
      <c r="O4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2" spans="1:15" x14ac:dyDescent="0.25">
      <c r="A432" s="15">
        <v>33070561320</v>
      </c>
      <c r="B432" s="16" t="str">
        <f>VLOOKUP(Projeção[[#This Row],[Código]],BD_Produto[#All],6,FALSE)</f>
        <v>JK-GRAMPOS JK779-22 (5M) (400377) CAIXA COM 5 MIL GRAMPOS</v>
      </c>
      <c r="C432" s="130">
        <v>0</v>
      </c>
      <c r="D432" s="130">
        <v>0</v>
      </c>
      <c r="E432" s="130">
        <v>0</v>
      </c>
      <c r="F432" s="130">
        <v>0</v>
      </c>
      <c r="G432" s="130">
        <v>0</v>
      </c>
      <c r="H432" s="130">
        <v>0</v>
      </c>
      <c r="I432" s="130">
        <v>0</v>
      </c>
      <c r="J432" s="130">
        <v>0</v>
      </c>
      <c r="K432" s="130">
        <v>0</v>
      </c>
      <c r="L432" s="130">
        <v>0</v>
      </c>
      <c r="M432" s="130">
        <v>0</v>
      </c>
      <c r="N432" s="130">
        <v>0</v>
      </c>
      <c r="O4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3" spans="1:15" x14ac:dyDescent="0.25">
      <c r="A433" s="15">
        <v>33070518034</v>
      </c>
      <c r="B433" s="16" t="str">
        <f>VLOOKUP(Projeção[[#This Row],[Código]],BD_Produto[#All],6,FALSE)</f>
        <v>JK-GRAMPOS JK781-18CC(5M)(400393)</v>
      </c>
      <c r="C433" s="130">
        <v>0</v>
      </c>
      <c r="D433" s="130">
        <v>0</v>
      </c>
      <c r="E433" s="130">
        <v>0</v>
      </c>
      <c r="F433" s="130">
        <v>0</v>
      </c>
      <c r="G433" s="130">
        <v>0</v>
      </c>
      <c r="H433" s="130">
        <v>0</v>
      </c>
      <c r="I433" s="130">
        <v>0</v>
      </c>
      <c r="J433" s="130">
        <v>0</v>
      </c>
      <c r="K433" s="130">
        <v>0</v>
      </c>
      <c r="L433" s="130">
        <v>0</v>
      </c>
      <c r="M433" s="130">
        <v>0</v>
      </c>
      <c r="N433" s="130">
        <v>0</v>
      </c>
      <c r="O4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4" spans="1:15" x14ac:dyDescent="0.25">
      <c r="A434" s="15">
        <v>33070518036</v>
      </c>
      <c r="B434" s="16" t="str">
        <f>VLOOKUP(Projeção[[#This Row],[Código]],BD_Produto[#All],6,FALSE)</f>
        <v>JK-GRAMPOS JK783-25CC(10M)(400433)</v>
      </c>
      <c r="C434" s="130">
        <v>0</v>
      </c>
      <c r="D434" s="130">
        <v>0</v>
      </c>
      <c r="E434" s="130">
        <v>0</v>
      </c>
      <c r="F434" s="130">
        <v>0</v>
      </c>
      <c r="G434" s="130">
        <v>0</v>
      </c>
      <c r="H434" s="130">
        <v>0</v>
      </c>
      <c r="I434" s="130">
        <v>0</v>
      </c>
      <c r="J434" s="130">
        <v>0</v>
      </c>
      <c r="K434" s="130">
        <v>0</v>
      </c>
      <c r="L434" s="130">
        <v>0</v>
      </c>
      <c r="M434" s="130">
        <v>0</v>
      </c>
      <c r="N434" s="130">
        <v>0</v>
      </c>
      <c r="O4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5" spans="1:15" x14ac:dyDescent="0.25">
      <c r="A435" s="15">
        <v>33070518037</v>
      </c>
      <c r="B435" s="16" t="str">
        <f>VLOOKUP(Projeção[[#This Row],[Código]],BD_Produto[#All],6,FALSE)</f>
        <v>JK-GRAMPOS JK783-51CC(10M)(400439)</v>
      </c>
      <c r="C435" s="130">
        <v>0</v>
      </c>
      <c r="D435" s="130">
        <v>0</v>
      </c>
      <c r="E435" s="130">
        <v>0</v>
      </c>
      <c r="F435" s="130">
        <v>0</v>
      </c>
      <c r="G435" s="130">
        <v>0</v>
      </c>
      <c r="H435" s="130">
        <v>0</v>
      </c>
      <c r="I435" s="130">
        <v>0</v>
      </c>
      <c r="J435" s="130">
        <v>0</v>
      </c>
      <c r="K435" s="130">
        <v>0</v>
      </c>
      <c r="L435" s="130">
        <v>0</v>
      </c>
      <c r="M435" s="130">
        <v>0</v>
      </c>
      <c r="N435" s="130">
        <v>0</v>
      </c>
      <c r="O4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6" spans="1:15" x14ac:dyDescent="0.25">
      <c r="A436" s="15">
        <v>33070560254</v>
      </c>
      <c r="B436" s="16" t="str">
        <f>VLOOKUP(Projeção[[#This Row],[Código]],BD_Produto[#All],6,FALSE)</f>
        <v>JK-GRAMPOS-JK 560-15 (2M) (400607)</v>
      </c>
      <c r="C436" s="130">
        <v>0</v>
      </c>
      <c r="D436" s="130">
        <v>0</v>
      </c>
      <c r="E436" s="130">
        <v>0</v>
      </c>
      <c r="F436" s="130">
        <v>0</v>
      </c>
      <c r="G436" s="130">
        <v>0</v>
      </c>
      <c r="H436" s="130">
        <v>0</v>
      </c>
      <c r="I436" s="130">
        <v>0</v>
      </c>
      <c r="J436" s="130">
        <v>0</v>
      </c>
      <c r="K436" s="130">
        <v>0</v>
      </c>
      <c r="L436" s="130">
        <v>0</v>
      </c>
      <c r="M436" s="130">
        <v>0</v>
      </c>
      <c r="N436" s="130">
        <v>0</v>
      </c>
      <c r="O4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7" spans="1:15" x14ac:dyDescent="0.25">
      <c r="A437" s="15">
        <v>33070418028</v>
      </c>
      <c r="B437" s="16" t="str">
        <f>VLOOKUP(Projeção[[#This Row],[Código]],BD_Produto[#All],6,FALSE)</f>
        <v>JK-KIT DE REPARO DE GRAMPEADOR JK-20T779 (143126)</v>
      </c>
      <c r="C437" s="130">
        <v>0</v>
      </c>
      <c r="D437" s="130">
        <v>0</v>
      </c>
      <c r="E437" s="130">
        <v>0</v>
      </c>
      <c r="F437" s="130">
        <v>0</v>
      </c>
      <c r="G437" s="130">
        <v>0</v>
      </c>
      <c r="H437" s="130">
        <v>0</v>
      </c>
      <c r="I437" s="130">
        <v>0</v>
      </c>
      <c r="J437" s="130">
        <v>0</v>
      </c>
      <c r="K437" s="130">
        <v>0</v>
      </c>
      <c r="L437" s="130">
        <v>0</v>
      </c>
      <c r="M437" s="130">
        <v>0</v>
      </c>
      <c r="N437" s="130">
        <v>0</v>
      </c>
      <c r="O4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8" spans="1:15" x14ac:dyDescent="0.25">
      <c r="A438" s="15">
        <v>33070418021</v>
      </c>
      <c r="B438" s="16" t="str">
        <f>VLOOKUP(Projeção[[#This Row],[Código]],BD_Produto[#All],6,FALSE)</f>
        <v>JK-KIT DE REPARO GRAMPEADOR A-560PN (143110)</v>
      </c>
      <c r="C438" s="130">
        <v>0</v>
      </c>
      <c r="D438" s="130">
        <v>0</v>
      </c>
      <c r="E438" s="130">
        <v>0</v>
      </c>
      <c r="F438" s="130">
        <v>0</v>
      </c>
      <c r="G438" s="130">
        <v>0</v>
      </c>
      <c r="H438" s="130">
        <v>0</v>
      </c>
      <c r="I438" s="130">
        <v>0</v>
      </c>
      <c r="J438" s="130">
        <v>0</v>
      </c>
      <c r="K438" s="130">
        <v>0</v>
      </c>
      <c r="L438" s="130">
        <v>0</v>
      </c>
      <c r="M438" s="130">
        <v>0</v>
      </c>
      <c r="N438" s="130">
        <v>0</v>
      </c>
      <c r="O4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39" spans="1:15" x14ac:dyDescent="0.25">
      <c r="A439" s="15">
        <v>33070460260</v>
      </c>
      <c r="B439" s="16" t="str">
        <f>VLOOKUP(Projeção[[#This Row],[Código]],BD_Produto[#All],6,FALSE)</f>
        <v>JK-KIT DE REPARO GRAMPEADOR JK 20T 777 PN (143058)</v>
      </c>
      <c r="C439" s="130">
        <v>0</v>
      </c>
      <c r="D439" s="130">
        <v>0</v>
      </c>
      <c r="E439" s="130">
        <v>0</v>
      </c>
      <c r="F439" s="130">
        <v>0</v>
      </c>
      <c r="G439" s="130">
        <v>0</v>
      </c>
      <c r="H439" s="130">
        <v>0</v>
      </c>
      <c r="I439" s="130">
        <v>0</v>
      </c>
      <c r="J439" s="130">
        <v>0</v>
      </c>
      <c r="K439" s="130">
        <v>0</v>
      </c>
      <c r="L439" s="130">
        <v>0</v>
      </c>
      <c r="M439" s="130">
        <v>0</v>
      </c>
      <c r="N439" s="130">
        <v>0</v>
      </c>
      <c r="O4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0" spans="1:15" x14ac:dyDescent="0.25">
      <c r="A440" s="15">
        <v>33070460261</v>
      </c>
      <c r="B440" s="16" t="str">
        <f>VLOOKUP(Projeção[[#This Row],[Código]],BD_Produto[#All],6,FALSE)</f>
        <v>JK-KIT DE REPARO GRAMPEADOR JK 24-690 PN (143038)</v>
      </c>
      <c r="C440" s="130">
        <v>0</v>
      </c>
      <c r="D440" s="130">
        <v>0</v>
      </c>
      <c r="E440" s="130">
        <v>0</v>
      </c>
      <c r="F440" s="130">
        <v>0</v>
      </c>
      <c r="G440" s="130">
        <v>0</v>
      </c>
      <c r="H440" s="130">
        <v>0</v>
      </c>
      <c r="I440" s="130">
        <v>0</v>
      </c>
      <c r="J440" s="130">
        <v>0</v>
      </c>
      <c r="K440" s="130">
        <v>0</v>
      </c>
      <c r="L440" s="130">
        <v>0</v>
      </c>
      <c r="M440" s="130">
        <v>0</v>
      </c>
      <c r="N440" s="130">
        <v>0</v>
      </c>
      <c r="O4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1" spans="1:15" ht="15" customHeight="1" x14ac:dyDescent="0.25">
      <c r="A441" s="15">
        <v>33070460262</v>
      </c>
      <c r="B441" s="16" t="str">
        <f>VLOOKUP(Projeção[[#This Row],[Código]],BD_Produto[#All],6,FALSE)</f>
        <v>JK-KIT DE REPARO GRAMPEADOR JK35T590 PN (143050)</v>
      </c>
      <c r="C441" s="130">
        <v>0</v>
      </c>
      <c r="D441" s="130">
        <v>0</v>
      </c>
      <c r="E441" s="130">
        <v>0</v>
      </c>
      <c r="F441" s="130">
        <v>0</v>
      </c>
      <c r="G441" s="130">
        <v>0</v>
      </c>
      <c r="H441" s="130">
        <v>0</v>
      </c>
      <c r="I441" s="130">
        <v>0</v>
      </c>
      <c r="J441" s="130">
        <v>0</v>
      </c>
      <c r="K441" s="130">
        <v>0</v>
      </c>
      <c r="L441" s="130">
        <v>0</v>
      </c>
      <c r="M441" s="130">
        <v>0</v>
      </c>
      <c r="N441" s="130">
        <v>0</v>
      </c>
      <c r="O4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2" spans="1:15" x14ac:dyDescent="0.25">
      <c r="A442" s="15">
        <v>33070418016</v>
      </c>
      <c r="B442" s="16" t="str">
        <f>VLOOKUP(Projeção[[#This Row],[Código]],BD_Produto[#All],6,FALSE)</f>
        <v>JK-KIT DE REPARO P/ GRAMPEADOR C-561M (143138)</v>
      </c>
      <c r="C442" s="130">
        <v>0</v>
      </c>
      <c r="D442" s="130">
        <v>0</v>
      </c>
      <c r="E442" s="130">
        <v>0</v>
      </c>
      <c r="F442" s="130">
        <v>0</v>
      </c>
      <c r="G442" s="130">
        <v>0</v>
      </c>
      <c r="H442" s="130">
        <v>0</v>
      </c>
      <c r="I442" s="130">
        <v>0</v>
      </c>
      <c r="J442" s="130">
        <v>0</v>
      </c>
      <c r="K442" s="130">
        <v>0</v>
      </c>
      <c r="L442" s="130">
        <v>0</v>
      </c>
      <c r="M442" s="130">
        <v>0</v>
      </c>
      <c r="N442" s="130">
        <v>0</v>
      </c>
      <c r="O4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3" spans="1:15" x14ac:dyDescent="0.25">
      <c r="A443" s="15">
        <v>33070418023</v>
      </c>
      <c r="B443" s="16" t="str">
        <f>VLOOKUP(Projeção[[#This Row],[Código]],BD_Produto[#All],6,FALSE)</f>
        <v>JK-KIT DE REPARO P/ GRAMPEADOR JK-20A670 (143118)</v>
      </c>
      <c r="C443" s="130">
        <v>0</v>
      </c>
      <c r="D443" s="130">
        <v>0</v>
      </c>
      <c r="E443" s="130">
        <v>0</v>
      </c>
      <c r="F443" s="130">
        <v>0</v>
      </c>
      <c r="G443" s="130">
        <v>0</v>
      </c>
      <c r="H443" s="130">
        <v>0</v>
      </c>
      <c r="I443" s="130">
        <v>0</v>
      </c>
      <c r="J443" s="130">
        <v>0</v>
      </c>
      <c r="K443" s="130">
        <v>0</v>
      </c>
      <c r="L443" s="130">
        <v>0</v>
      </c>
      <c r="M443" s="130">
        <v>0</v>
      </c>
      <c r="N443" s="130">
        <v>0</v>
      </c>
      <c r="O4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4" spans="1:15" x14ac:dyDescent="0.25">
      <c r="A444" s="15">
        <v>33070418026</v>
      </c>
      <c r="B444" s="16" t="str">
        <f>VLOOKUP(Projeção[[#This Row],[Código]],BD_Produto[#All],6,FALSE)</f>
        <v>JK-KIT DE REPARO P/ GRAMPEADOR JK-45-783 (143067)</v>
      </c>
      <c r="C444" s="130">
        <v>0</v>
      </c>
      <c r="D444" s="130">
        <v>0</v>
      </c>
      <c r="E444" s="130">
        <v>0</v>
      </c>
      <c r="F444" s="130">
        <v>0</v>
      </c>
      <c r="G444" s="130">
        <v>0</v>
      </c>
      <c r="H444" s="130">
        <v>0</v>
      </c>
      <c r="I444" s="130">
        <v>0</v>
      </c>
      <c r="J444" s="130">
        <v>0</v>
      </c>
      <c r="K444" s="130">
        <v>0</v>
      </c>
      <c r="L444" s="130">
        <v>0</v>
      </c>
      <c r="M444" s="130">
        <v>0</v>
      </c>
      <c r="N444" s="130">
        <v>0</v>
      </c>
      <c r="O4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5" spans="1:15" x14ac:dyDescent="0.25">
      <c r="A445" s="15">
        <v>33070418009</v>
      </c>
      <c r="B445" s="16" t="str">
        <f>VLOOKUP(Projeção[[#This Row],[Código]],BD_Produto[#All],6,FALSE)</f>
        <v>JK-KIT DE REPARO P/GRAMPEADOR C-561PN (143133)</v>
      </c>
      <c r="C445" s="130">
        <v>0</v>
      </c>
      <c r="D445" s="130">
        <v>0</v>
      </c>
      <c r="E445" s="130">
        <v>0</v>
      </c>
      <c r="F445" s="130">
        <v>0</v>
      </c>
      <c r="G445" s="130">
        <v>0</v>
      </c>
      <c r="H445" s="130">
        <v>0</v>
      </c>
      <c r="I445" s="130">
        <v>0</v>
      </c>
      <c r="J445" s="130">
        <v>0</v>
      </c>
      <c r="K445" s="130">
        <v>0</v>
      </c>
      <c r="L445" s="130">
        <v>0</v>
      </c>
      <c r="M445" s="130">
        <v>0</v>
      </c>
      <c r="N445" s="130">
        <v>0</v>
      </c>
      <c r="O4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6" spans="1:15" x14ac:dyDescent="0.25">
      <c r="A446" s="15">
        <v>33070418042</v>
      </c>
      <c r="B446" s="16" t="str">
        <f>VLOOKUP(Projeção[[#This Row],[Código]],BD_Produto[#All],6,FALSE)</f>
        <v>JK-KIT DE REPARO PARA HH561(143053)</v>
      </c>
      <c r="C446" s="130">
        <v>0</v>
      </c>
      <c r="D446" s="130">
        <v>0</v>
      </c>
      <c r="E446" s="130">
        <v>0</v>
      </c>
      <c r="F446" s="130">
        <v>0</v>
      </c>
      <c r="G446" s="130">
        <v>0</v>
      </c>
      <c r="H446" s="130">
        <v>0</v>
      </c>
      <c r="I446" s="130">
        <v>0</v>
      </c>
      <c r="J446" s="130">
        <v>0</v>
      </c>
      <c r="K446" s="130">
        <v>0</v>
      </c>
      <c r="L446" s="130">
        <v>0</v>
      </c>
      <c r="M446" s="130">
        <v>0</v>
      </c>
      <c r="N446" s="130">
        <v>0</v>
      </c>
      <c r="O4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7" spans="1:15" x14ac:dyDescent="0.25">
      <c r="A447" s="15">
        <v>33070418019</v>
      </c>
      <c r="B447" s="16" t="str">
        <f>VLOOKUP(Projeção[[#This Row],[Código]],BD_Produto[#All],6,FALSE)</f>
        <v>JK-KIT DE REPARO PARA JK-1219 (143051)</v>
      </c>
      <c r="C447" s="130">
        <v>0</v>
      </c>
      <c r="D447" s="130">
        <v>0</v>
      </c>
      <c r="E447" s="130">
        <v>0</v>
      </c>
      <c r="F447" s="130">
        <v>0</v>
      </c>
      <c r="G447" s="130">
        <v>0</v>
      </c>
      <c r="H447" s="130">
        <v>0</v>
      </c>
      <c r="I447" s="130">
        <v>0</v>
      </c>
      <c r="J447" s="130">
        <v>0</v>
      </c>
      <c r="K447" s="130">
        <v>0</v>
      </c>
      <c r="L447" s="130">
        <v>0</v>
      </c>
      <c r="M447" s="130">
        <v>0</v>
      </c>
      <c r="N447" s="130">
        <v>0</v>
      </c>
      <c r="O4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8" spans="1:15" x14ac:dyDescent="0.25">
      <c r="A448" s="15">
        <v>33070418041</v>
      </c>
      <c r="B448" s="16" t="str">
        <f>VLOOKUP(Projeção[[#This Row],[Código]],BD_Produto[#All],6,FALSE)</f>
        <v>JK-KIT DE REPARO PARA JK20-670(143116)</v>
      </c>
      <c r="C448" s="130">
        <v>0</v>
      </c>
      <c r="D448" s="130">
        <v>0</v>
      </c>
      <c r="E448" s="130">
        <v>0</v>
      </c>
      <c r="F448" s="130">
        <v>0</v>
      </c>
      <c r="G448" s="130">
        <v>0</v>
      </c>
      <c r="H448" s="130">
        <v>0</v>
      </c>
      <c r="I448" s="130">
        <v>0</v>
      </c>
      <c r="J448" s="130">
        <v>0</v>
      </c>
      <c r="K448" s="130">
        <v>0</v>
      </c>
      <c r="L448" s="130">
        <v>0</v>
      </c>
      <c r="M448" s="130">
        <v>0</v>
      </c>
      <c r="N448" s="130">
        <v>0</v>
      </c>
      <c r="O4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49" spans="1:15" x14ac:dyDescent="0.25">
      <c r="A449" s="15">
        <v>33070418040</v>
      </c>
      <c r="B449" s="16" t="str">
        <f>VLOOKUP(Projeção[[#This Row],[Código]],BD_Produto[#All],6,FALSE)</f>
        <v>JK-KIT DE REPARO PARA JK28-781(143106)</v>
      </c>
      <c r="C449" s="130">
        <v>0</v>
      </c>
      <c r="D449" s="130">
        <v>0</v>
      </c>
      <c r="E449" s="130">
        <v>0</v>
      </c>
      <c r="F449" s="130">
        <v>0</v>
      </c>
      <c r="G449" s="130">
        <v>0</v>
      </c>
      <c r="H449" s="130">
        <v>0</v>
      </c>
      <c r="I449" s="130">
        <v>0</v>
      </c>
      <c r="J449" s="130">
        <v>0</v>
      </c>
      <c r="K449" s="130">
        <v>0</v>
      </c>
      <c r="L449" s="130">
        <v>0</v>
      </c>
      <c r="M449" s="130">
        <v>0</v>
      </c>
      <c r="N449" s="130">
        <v>0</v>
      </c>
      <c r="O4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0" spans="1:15" ht="15" customHeight="1" x14ac:dyDescent="0.25">
      <c r="A450" s="15">
        <v>33070460223</v>
      </c>
      <c r="B450" s="16" t="str">
        <f>VLOOKUP(Projeção[[#This Row],[Código]],BD_Produto[#All],6,FALSE)</f>
        <v>JK-TONGUE JK20T - (158223)</v>
      </c>
      <c r="C450" s="130">
        <v>0</v>
      </c>
      <c r="D450" s="130">
        <v>0</v>
      </c>
      <c r="E450" s="130">
        <v>0</v>
      </c>
      <c r="F450" s="130">
        <v>0</v>
      </c>
      <c r="G450" s="130">
        <v>0</v>
      </c>
      <c r="H450" s="130">
        <v>0</v>
      </c>
      <c r="I450" s="130">
        <v>0</v>
      </c>
      <c r="J450" s="130">
        <v>0</v>
      </c>
      <c r="K450" s="130">
        <v>0</v>
      </c>
      <c r="L450" s="130">
        <v>0</v>
      </c>
      <c r="M450" s="130">
        <v>0</v>
      </c>
      <c r="N450" s="130">
        <v>0</v>
      </c>
      <c r="O4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1" spans="1:15" ht="15" customHeight="1" x14ac:dyDescent="0.25">
      <c r="A451" s="15">
        <v>33063263624</v>
      </c>
      <c r="B451" s="16" t="str">
        <f>VLOOKUP(Projeção[[#This Row],[Código]],BD_Produto[#All],6,FALSE)</f>
        <v>Leitz Alpha, Pasta Suspensa - p/ documento avulso- branca - PN:1925-30-01</v>
      </c>
      <c r="C451" s="130">
        <v>0</v>
      </c>
      <c r="D451" s="130">
        <v>0</v>
      </c>
      <c r="E451" s="130">
        <v>0</v>
      </c>
      <c r="F451" s="130">
        <v>0</v>
      </c>
      <c r="G451" s="130">
        <v>0</v>
      </c>
      <c r="H451" s="130">
        <v>0</v>
      </c>
      <c r="I451" s="130">
        <v>0</v>
      </c>
      <c r="J451" s="130">
        <v>0</v>
      </c>
      <c r="K451" s="130">
        <v>0</v>
      </c>
      <c r="L451" s="130">
        <v>0</v>
      </c>
      <c r="M451" s="130">
        <v>0</v>
      </c>
      <c r="N451" s="130">
        <v>0</v>
      </c>
      <c r="O4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2" spans="1:15" ht="15" customHeight="1" x14ac:dyDescent="0.25">
      <c r="A452" s="15">
        <v>33063263625</v>
      </c>
      <c r="B452" s="16" t="str">
        <f>VLOOKUP(Projeção[[#This Row],[Código]],BD_Produto[#All],6,FALSE)</f>
        <v>Leitz Alpha, Pasta Suspensa - p/ documento avulso- preta - PN:1925-30-01</v>
      </c>
      <c r="C452" s="130">
        <v>0</v>
      </c>
      <c r="D452" s="130">
        <v>0</v>
      </c>
      <c r="E452" s="130">
        <v>0</v>
      </c>
      <c r="F452" s="130">
        <v>0</v>
      </c>
      <c r="G452" s="130">
        <v>0</v>
      </c>
      <c r="H452" s="130">
        <v>0</v>
      </c>
      <c r="I452" s="130">
        <v>0</v>
      </c>
      <c r="J452" s="130">
        <v>0</v>
      </c>
      <c r="K452" s="130">
        <v>0</v>
      </c>
      <c r="L452" s="130">
        <v>0</v>
      </c>
      <c r="M452" s="130">
        <v>0</v>
      </c>
      <c r="N452" s="130">
        <v>0</v>
      </c>
      <c r="O4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3" spans="1:15" ht="15" customHeight="1" x14ac:dyDescent="0.25">
      <c r="A453" s="15">
        <v>33063263622</v>
      </c>
      <c r="B453" s="16" t="str">
        <f>VLOOKUP(Projeção[[#This Row],[Código]],BD_Produto[#All],6,FALSE)</f>
        <v>Leitz Alpha, Pasta Suspensa - p/ documento perfurado - branca - PN:1924-30-01</v>
      </c>
      <c r="C453" s="130">
        <v>0</v>
      </c>
      <c r="D453" s="130">
        <v>0</v>
      </c>
      <c r="E453" s="130">
        <v>0</v>
      </c>
      <c r="F453" s="130">
        <v>0</v>
      </c>
      <c r="G453" s="130">
        <v>0</v>
      </c>
      <c r="H453" s="130">
        <v>0</v>
      </c>
      <c r="I453" s="130">
        <v>0</v>
      </c>
      <c r="J453" s="130">
        <v>0</v>
      </c>
      <c r="K453" s="130">
        <v>0</v>
      </c>
      <c r="L453" s="130">
        <v>0</v>
      </c>
      <c r="M453" s="130">
        <v>0</v>
      </c>
      <c r="N453" s="130">
        <v>0</v>
      </c>
      <c r="O4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4" spans="1:15" ht="15" customHeight="1" x14ac:dyDescent="0.25">
      <c r="A454" s="15">
        <v>33063263623</v>
      </c>
      <c r="B454" s="16" t="str">
        <f>VLOOKUP(Projeção[[#This Row],[Código]],BD_Produto[#All],6,FALSE)</f>
        <v>Leitz Alpha, Pasta Suspensa - p/ documento perfurado - preta - PN:1924-30-95</v>
      </c>
      <c r="C454" s="130">
        <v>0</v>
      </c>
      <c r="D454" s="130">
        <v>0</v>
      </c>
      <c r="E454" s="130">
        <v>0</v>
      </c>
      <c r="F454" s="130">
        <v>0</v>
      </c>
      <c r="G454" s="130">
        <v>0</v>
      </c>
      <c r="H454" s="130">
        <v>0</v>
      </c>
      <c r="I454" s="130">
        <v>0</v>
      </c>
      <c r="J454" s="130">
        <v>0</v>
      </c>
      <c r="K454" s="130">
        <v>0</v>
      </c>
      <c r="L454" s="130">
        <v>0</v>
      </c>
      <c r="M454" s="130">
        <v>0</v>
      </c>
      <c r="N454" s="130">
        <v>0</v>
      </c>
      <c r="O4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5" spans="1:15" ht="15" customHeight="1" x14ac:dyDescent="0.25">
      <c r="A455" s="15">
        <v>33063563618</v>
      </c>
      <c r="B455" s="16" t="str">
        <f>VLOOKUP(Projeção[[#This Row],[Código]],BD_Produto[#All],6,FALSE)</f>
        <v>Leitz, Bolsa c/ folha de proteção - A4 - Clear - PN:4764-00-00</v>
      </c>
      <c r="C455" s="130">
        <v>0</v>
      </c>
      <c r="D455" s="130">
        <v>0</v>
      </c>
      <c r="E455" s="130">
        <v>0</v>
      </c>
      <c r="F455" s="130">
        <v>0</v>
      </c>
      <c r="G455" s="130">
        <v>0</v>
      </c>
      <c r="H455" s="130">
        <v>0</v>
      </c>
      <c r="I455" s="130">
        <v>0</v>
      </c>
      <c r="J455" s="130">
        <v>0</v>
      </c>
      <c r="K455" s="130">
        <v>0</v>
      </c>
      <c r="L455" s="130">
        <v>0</v>
      </c>
      <c r="M455" s="130">
        <v>0</v>
      </c>
      <c r="N455" s="130">
        <v>0</v>
      </c>
      <c r="O4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6" spans="1:15" ht="15" customHeight="1" x14ac:dyDescent="0.25">
      <c r="A456" s="15">
        <v>33063563621</v>
      </c>
      <c r="B456" s="16" t="str">
        <f>VLOOKUP(Projeção[[#This Row],[Código]],BD_Produto[#All],6,FALSE)</f>
        <v>Leitz, Bolsa Colors - A4 - 0,15 mm -Sortida ( 2 vermelhas, 2 azuis e 2 amarelas) - PN:4100-60-99</v>
      </c>
      <c r="C456" s="130">
        <v>0</v>
      </c>
      <c r="D456" s="130">
        <v>0</v>
      </c>
      <c r="E456" s="130">
        <v>0</v>
      </c>
      <c r="F456" s="130">
        <v>0</v>
      </c>
      <c r="G456" s="130">
        <v>0</v>
      </c>
      <c r="H456" s="130">
        <v>0</v>
      </c>
      <c r="I456" s="130">
        <v>0</v>
      </c>
      <c r="J456" s="130">
        <v>0</v>
      </c>
      <c r="K456" s="130">
        <v>0</v>
      </c>
      <c r="L456" s="130">
        <v>0</v>
      </c>
      <c r="M456" s="130">
        <v>0</v>
      </c>
      <c r="N456" s="130">
        <v>0</v>
      </c>
      <c r="O4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7" spans="1:15" ht="15" customHeight="1" x14ac:dyDescent="0.25">
      <c r="A457" s="15">
        <v>33063563619</v>
      </c>
      <c r="B457" s="16" t="str">
        <f>VLOOKUP(Projeção[[#This Row],[Código]],BD_Produto[#All],6,FALSE)</f>
        <v>Leitz, Bolsa com abertura superior e lateral - A4 - 0,09 mm- Clear - PN:4797-00-00</v>
      </c>
      <c r="C457" s="130">
        <v>0</v>
      </c>
      <c r="D457" s="130">
        <v>0</v>
      </c>
      <c r="E457" s="130">
        <v>0</v>
      </c>
      <c r="F457" s="130">
        <v>0</v>
      </c>
      <c r="G457" s="130">
        <v>0</v>
      </c>
      <c r="H457" s="130">
        <v>0</v>
      </c>
      <c r="I457" s="130">
        <v>0</v>
      </c>
      <c r="J457" s="130">
        <v>0</v>
      </c>
      <c r="K457" s="130">
        <v>0</v>
      </c>
      <c r="L457" s="130">
        <v>0</v>
      </c>
      <c r="M457" s="130">
        <v>0</v>
      </c>
      <c r="N457" s="130">
        <v>0</v>
      </c>
      <c r="O4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8" spans="1:15" ht="15" customHeight="1" x14ac:dyDescent="0.25">
      <c r="A458" s="15">
        <v>33063563620</v>
      </c>
      <c r="B458" s="16" t="str">
        <f>VLOOKUP(Projeção[[#This Row],[Código]],BD_Produto[#All],6,FALSE)</f>
        <v>Leitz, Bolsa Especial para uso intenso - A4 - 0,16 mm -Cristal Transparente - PN:4020-00-03</v>
      </c>
      <c r="C458" s="130">
        <v>0</v>
      </c>
      <c r="D458" s="130">
        <v>0</v>
      </c>
      <c r="E458" s="130">
        <v>0</v>
      </c>
      <c r="F458" s="130">
        <v>0</v>
      </c>
      <c r="G458" s="130">
        <v>0</v>
      </c>
      <c r="H458" s="130">
        <v>0</v>
      </c>
      <c r="I458" s="130">
        <v>0</v>
      </c>
      <c r="J458" s="130">
        <v>0</v>
      </c>
      <c r="K458" s="130">
        <v>0</v>
      </c>
      <c r="L458" s="130">
        <v>0</v>
      </c>
      <c r="M458" s="130">
        <v>0</v>
      </c>
      <c r="N458" s="130">
        <v>0</v>
      </c>
      <c r="O4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59" spans="1:15" ht="15" customHeight="1" x14ac:dyDescent="0.25">
      <c r="A459" s="15">
        <v>33063563611</v>
      </c>
      <c r="B459" s="16" t="str">
        <f>VLOOKUP(Projeção[[#This Row],[Código]],BD_Produto[#All],6,FALSE)</f>
        <v>Leitz, Bolsa Essencial A4 c/ 15 - 0,08 mm Cristal Transparente - PN:4770-60-02</v>
      </c>
      <c r="C459" s="130">
        <v>0</v>
      </c>
      <c r="D459" s="130">
        <v>0</v>
      </c>
      <c r="E459" s="130">
        <v>0</v>
      </c>
      <c r="F459" s="130">
        <v>0</v>
      </c>
      <c r="G459" s="130">
        <v>0</v>
      </c>
      <c r="H459" s="130">
        <v>0</v>
      </c>
      <c r="I459" s="130">
        <v>0</v>
      </c>
      <c r="J459" s="130">
        <v>0</v>
      </c>
      <c r="K459" s="130">
        <v>0</v>
      </c>
      <c r="L459" s="130">
        <v>0</v>
      </c>
      <c r="M459" s="130">
        <v>0</v>
      </c>
      <c r="N459" s="130">
        <v>0</v>
      </c>
      <c r="O4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0" spans="1:15" ht="15" customHeight="1" x14ac:dyDescent="0.25">
      <c r="A460" s="15">
        <v>33063563610</v>
      </c>
      <c r="B460" s="16" t="str">
        <f>VLOOKUP(Projeção[[#This Row],[Código]],BD_Produto[#All],6,FALSE)</f>
        <v>Leitz, Bolsa Essencial A4 c/ 25 - 0,10 mm Cristal - PN:4704-00-00</v>
      </c>
      <c r="C460" s="130">
        <v>0</v>
      </c>
      <c r="D460" s="130">
        <v>0</v>
      </c>
      <c r="E460" s="130">
        <v>0</v>
      </c>
      <c r="F460" s="130">
        <v>0</v>
      </c>
      <c r="G460" s="130">
        <v>0</v>
      </c>
      <c r="H460" s="130">
        <v>0</v>
      </c>
      <c r="I460" s="130">
        <v>0</v>
      </c>
      <c r="J460" s="130">
        <v>0</v>
      </c>
      <c r="K460" s="130">
        <v>0</v>
      </c>
      <c r="L460" s="130">
        <v>0</v>
      </c>
      <c r="M460" s="130">
        <v>0</v>
      </c>
      <c r="N460" s="130">
        <v>0</v>
      </c>
      <c r="O4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1" spans="1:15" ht="15" customHeight="1" x14ac:dyDescent="0.25">
      <c r="A461" s="15">
        <v>33063563612</v>
      </c>
      <c r="B461" s="16" t="str">
        <f>VLOOKUP(Projeção[[#This Row],[Código]],BD_Produto[#All],6,FALSE)</f>
        <v>Leitz, Bolsa Essencial A5 c/ 15 - 0,08 mm - Cristal Transparente - PN:4775-60-02</v>
      </c>
      <c r="C461" s="130">
        <v>0</v>
      </c>
      <c r="D461" s="130">
        <v>0</v>
      </c>
      <c r="E461" s="130">
        <v>0</v>
      </c>
      <c r="F461" s="130">
        <v>0</v>
      </c>
      <c r="G461" s="130">
        <v>0</v>
      </c>
      <c r="H461" s="130">
        <v>0</v>
      </c>
      <c r="I461" s="130">
        <v>0</v>
      </c>
      <c r="J461" s="130">
        <v>0</v>
      </c>
      <c r="K461" s="130">
        <v>0</v>
      </c>
      <c r="L461" s="130">
        <v>0</v>
      </c>
      <c r="M461" s="130">
        <v>0</v>
      </c>
      <c r="N461" s="130">
        <v>0</v>
      </c>
      <c r="O4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2" spans="1:15" ht="15" customHeight="1" x14ac:dyDescent="0.25">
      <c r="A462" s="15">
        <v>33063563613</v>
      </c>
      <c r="B462" s="16" t="str">
        <f>VLOOKUP(Projeção[[#This Row],[Código]],BD_Produto[#All],6,FALSE)</f>
        <v>Leitz, Bolsa Essencial Foolscap c/ 15 - 0,07 mm - PN:4792-00-00</v>
      </c>
      <c r="C462" s="130">
        <v>0</v>
      </c>
      <c r="D462" s="130">
        <v>0</v>
      </c>
      <c r="E462" s="130">
        <v>0</v>
      </c>
      <c r="F462" s="130">
        <v>0</v>
      </c>
      <c r="G462" s="130">
        <v>0</v>
      </c>
      <c r="H462" s="130">
        <v>0</v>
      </c>
      <c r="I462" s="130">
        <v>0</v>
      </c>
      <c r="J462" s="130">
        <v>0</v>
      </c>
      <c r="K462" s="130">
        <v>0</v>
      </c>
      <c r="L462" s="130">
        <v>0</v>
      </c>
      <c r="M462" s="130">
        <v>0</v>
      </c>
      <c r="N462" s="130">
        <v>0</v>
      </c>
      <c r="O4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3" spans="1:15" ht="15" customHeight="1" x14ac:dyDescent="0.25">
      <c r="A463" s="15">
        <v>33063563616</v>
      </c>
      <c r="B463" s="16" t="str">
        <f>VLOOKUP(Projeção[[#This Row],[Código]],BD_Produto[#All],6,FALSE)</f>
        <v>Leitz, Bolsa Extra Forte - Tearproof - A4 - Clear - PN:4720-00-03</v>
      </c>
      <c r="C463" s="130">
        <v>0</v>
      </c>
      <c r="D463" s="130">
        <v>0</v>
      </c>
      <c r="E463" s="130">
        <v>0</v>
      </c>
      <c r="F463" s="130">
        <v>0</v>
      </c>
      <c r="G463" s="130">
        <v>0</v>
      </c>
      <c r="H463" s="130">
        <v>0</v>
      </c>
      <c r="I463" s="130">
        <v>0</v>
      </c>
      <c r="J463" s="130">
        <v>0</v>
      </c>
      <c r="K463" s="130">
        <v>0</v>
      </c>
      <c r="L463" s="130">
        <v>0</v>
      </c>
      <c r="M463" s="130">
        <v>0</v>
      </c>
      <c r="N463" s="130">
        <v>0</v>
      </c>
      <c r="O4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4" spans="1:15" ht="15" customHeight="1" x14ac:dyDescent="0.25">
      <c r="A464" s="15">
        <v>33063563617</v>
      </c>
      <c r="B464" s="16" t="str">
        <f>VLOOKUP(Projeção[[#This Row],[Código]],BD_Produto[#All],6,FALSE)</f>
        <v>Leitz, Bolsa Extra Forte - Tearproof - A5 - Clear - PN:4725-00-03</v>
      </c>
      <c r="C464" s="130">
        <v>0</v>
      </c>
      <c r="D464" s="130">
        <v>0</v>
      </c>
      <c r="E464" s="130">
        <v>0</v>
      </c>
      <c r="F464" s="130">
        <v>0</v>
      </c>
      <c r="G464" s="130">
        <v>0</v>
      </c>
      <c r="H464" s="130">
        <v>0</v>
      </c>
      <c r="I464" s="130">
        <v>0</v>
      </c>
      <c r="J464" s="130">
        <v>0</v>
      </c>
      <c r="K464" s="130">
        <v>0</v>
      </c>
      <c r="L464" s="130">
        <v>0</v>
      </c>
      <c r="M464" s="130">
        <v>0</v>
      </c>
      <c r="N464" s="130">
        <v>0</v>
      </c>
      <c r="O4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5" spans="1:15" ht="15" customHeight="1" x14ac:dyDescent="0.25">
      <c r="A465" s="15">
        <v>33063563614</v>
      </c>
      <c r="B465" s="16" t="str">
        <f>VLOOKUP(Projeção[[#This Row],[Código]],BD_Produto[#All],6,FALSE)</f>
        <v>Leitz, Bolsa Extra Forte A4 - Clear - PN:4700-00-03</v>
      </c>
      <c r="C465" s="130">
        <v>0</v>
      </c>
      <c r="D465" s="130">
        <v>0</v>
      </c>
      <c r="E465" s="130">
        <v>0</v>
      </c>
      <c r="F465" s="130">
        <v>0</v>
      </c>
      <c r="G465" s="130">
        <v>0</v>
      </c>
      <c r="H465" s="130">
        <v>0</v>
      </c>
      <c r="I465" s="130">
        <v>0</v>
      </c>
      <c r="J465" s="130">
        <v>0</v>
      </c>
      <c r="K465" s="130">
        <v>0</v>
      </c>
      <c r="L465" s="130">
        <v>0</v>
      </c>
      <c r="M465" s="130">
        <v>0</v>
      </c>
      <c r="N465" s="130">
        <v>0</v>
      </c>
      <c r="O4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6" spans="1:15" ht="15" customHeight="1" x14ac:dyDescent="0.25">
      <c r="A466" s="15">
        <v>33063563615</v>
      </c>
      <c r="B466" s="16" t="str">
        <f>VLOOKUP(Projeção[[#This Row],[Código]],BD_Produto[#All],6,FALSE)</f>
        <v>Leitz, Bolsa Extra Forte A5 - Clear - PN:4705-00-03</v>
      </c>
      <c r="C466" s="130">
        <v>0</v>
      </c>
      <c r="D466" s="130">
        <v>0</v>
      </c>
      <c r="E466" s="130">
        <v>0</v>
      </c>
      <c r="F466" s="130">
        <v>0</v>
      </c>
      <c r="G466" s="130">
        <v>0</v>
      </c>
      <c r="H466" s="130">
        <v>0</v>
      </c>
      <c r="I466" s="130">
        <v>0</v>
      </c>
      <c r="J466" s="130">
        <v>0</v>
      </c>
      <c r="K466" s="130">
        <v>0</v>
      </c>
      <c r="L466" s="130">
        <v>0</v>
      </c>
      <c r="M466" s="130">
        <v>0</v>
      </c>
      <c r="N466" s="130">
        <v>0</v>
      </c>
      <c r="O4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7" spans="1:15" ht="15" customHeight="1" x14ac:dyDescent="0.25">
      <c r="A467" s="15">
        <v>33062563646</v>
      </c>
      <c r="B467" s="16" t="str">
        <f>VLOOKUP(Projeção[[#This Row],[Código]],BD_Produto[#All],6,FALSE)</f>
        <v>Leitz, Bolsa para plastificação A4 UDT 100 mic - pacote com 100 - PN: 74780000</v>
      </c>
      <c r="C467" s="130">
        <v>0</v>
      </c>
      <c r="D467" s="130">
        <v>0</v>
      </c>
      <c r="E467" s="130">
        <v>0</v>
      </c>
      <c r="F467" s="130">
        <v>0</v>
      </c>
      <c r="G467" s="130">
        <v>0</v>
      </c>
      <c r="H467" s="130">
        <v>0</v>
      </c>
      <c r="I467" s="130">
        <v>0</v>
      </c>
      <c r="J467" s="130">
        <v>0</v>
      </c>
      <c r="K467" s="130">
        <v>0</v>
      </c>
      <c r="L467" s="130">
        <v>0</v>
      </c>
      <c r="M467" s="130">
        <v>0</v>
      </c>
      <c r="N467" s="130">
        <v>0</v>
      </c>
      <c r="O4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8" spans="1:15" ht="15" customHeight="1" x14ac:dyDescent="0.25">
      <c r="A468" s="15">
        <v>33062563647</v>
      </c>
      <c r="B468" s="16" t="str">
        <f>VLOOKUP(Projeção[[#This Row],[Código]],BD_Produto[#All],6,FALSE)</f>
        <v>Leitz, Bolsa para plastificação A4 UDT 125 mic - pacote com 100 - PN: 74810000</v>
      </c>
      <c r="C468" s="130">
        <v>0</v>
      </c>
      <c r="D468" s="130">
        <v>0</v>
      </c>
      <c r="E468" s="130">
        <v>0</v>
      </c>
      <c r="F468" s="130">
        <v>0</v>
      </c>
      <c r="G468" s="130">
        <v>0</v>
      </c>
      <c r="H468" s="130">
        <v>0</v>
      </c>
      <c r="I468" s="130">
        <v>0</v>
      </c>
      <c r="J468" s="130">
        <v>0</v>
      </c>
      <c r="K468" s="130">
        <v>0</v>
      </c>
      <c r="L468" s="130">
        <v>0</v>
      </c>
      <c r="M468" s="130">
        <v>0</v>
      </c>
      <c r="N468" s="130">
        <v>0</v>
      </c>
      <c r="O4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69" spans="1:15" ht="15" customHeight="1" x14ac:dyDescent="0.25">
      <c r="A469" s="15">
        <v>33062563648</v>
      </c>
      <c r="B469" s="16" t="str">
        <f>VLOOKUP(Projeção[[#This Row],[Código]],BD_Produto[#All],6,FALSE)</f>
        <v>Leitz, Bolsa para plastificação A4 UDT 250 mic - pacote com 100 - PN: 74840000</v>
      </c>
      <c r="C469" s="130">
        <v>0</v>
      </c>
      <c r="D469" s="130">
        <v>0</v>
      </c>
      <c r="E469" s="130">
        <v>0</v>
      </c>
      <c r="F469" s="130">
        <v>0</v>
      </c>
      <c r="G469" s="130">
        <v>0</v>
      </c>
      <c r="H469" s="130">
        <v>0</v>
      </c>
      <c r="I469" s="130">
        <v>0</v>
      </c>
      <c r="J469" s="130">
        <v>0</v>
      </c>
      <c r="K469" s="130">
        <v>0</v>
      </c>
      <c r="L469" s="130">
        <v>0</v>
      </c>
      <c r="M469" s="130">
        <v>0</v>
      </c>
      <c r="N469" s="130">
        <v>0</v>
      </c>
      <c r="O4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0" spans="1:15" ht="15" customHeight="1" x14ac:dyDescent="0.25">
      <c r="A470" s="15">
        <v>33062563644</v>
      </c>
      <c r="B470" s="16" t="str">
        <f>VLOOKUP(Projeção[[#This Row],[Código]],BD_Produto[#All],6,FALSE)</f>
        <v>Leitz, Bolsa para plastificação A4 UDT 80 mic - pacote com 100 - PN: 74780000</v>
      </c>
      <c r="C470" s="130">
        <v>0</v>
      </c>
      <c r="D470" s="130">
        <v>0</v>
      </c>
      <c r="E470" s="130">
        <v>0</v>
      </c>
      <c r="F470" s="130">
        <v>0</v>
      </c>
      <c r="G470" s="130">
        <v>0</v>
      </c>
      <c r="H470" s="130">
        <v>0</v>
      </c>
      <c r="I470" s="130">
        <v>0</v>
      </c>
      <c r="J470" s="130">
        <v>0</v>
      </c>
      <c r="K470" s="130">
        <v>0</v>
      </c>
      <c r="L470" s="130">
        <v>0</v>
      </c>
      <c r="M470" s="130">
        <v>0</v>
      </c>
      <c r="N470" s="130">
        <v>0</v>
      </c>
      <c r="O4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1" spans="1:15" ht="15" customHeight="1" x14ac:dyDescent="0.25">
      <c r="A471" s="15">
        <v>33062563645</v>
      </c>
      <c r="B471" s="16" t="str">
        <f>VLOOKUP(Projeção[[#This Row],[Código]],BD_Produto[#All],6,FALSE)</f>
        <v>Leitz, Bolsa para plastificação A4 UDT 80 mic - pacote com 25 - PN: 74790000</v>
      </c>
      <c r="C471" s="130">
        <v>0</v>
      </c>
      <c r="D471" s="130">
        <v>0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  <c r="J471" s="130">
        <v>0</v>
      </c>
      <c r="K471" s="130">
        <v>0</v>
      </c>
      <c r="L471" s="130">
        <v>0</v>
      </c>
      <c r="M471" s="130">
        <v>0</v>
      </c>
      <c r="N471" s="130">
        <v>0</v>
      </c>
      <c r="O4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2" spans="1:15" ht="15" customHeight="1" x14ac:dyDescent="0.25">
      <c r="A472" s="15">
        <v>33062563651</v>
      </c>
      <c r="B472" s="16" t="str">
        <f>VLOOKUP(Projeção[[#This Row],[Código]],BD_Produto[#All],6,FALSE)</f>
        <v>Leitz, Bolsa para plastificação UDT A3 125 mic - pacote com 100 - PN: 74880000</v>
      </c>
      <c r="C472" s="130">
        <v>0</v>
      </c>
      <c r="D472" s="130">
        <v>0</v>
      </c>
      <c r="E472" s="130">
        <v>0</v>
      </c>
      <c r="F472" s="130">
        <v>0</v>
      </c>
      <c r="G472" s="130">
        <v>0</v>
      </c>
      <c r="H472" s="130">
        <v>0</v>
      </c>
      <c r="I472" s="130">
        <v>0</v>
      </c>
      <c r="J472" s="130">
        <v>0</v>
      </c>
      <c r="K472" s="130">
        <v>0</v>
      </c>
      <c r="L472" s="130">
        <v>0</v>
      </c>
      <c r="M472" s="130">
        <v>0</v>
      </c>
      <c r="N472" s="130">
        <v>0</v>
      </c>
      <c r="O4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3" spans="1:15" ht="15" customHeight="1" x14ac:dyDescent="0.25">
      <c r="A473" s="15">
        <v>33062563652</v>
      </c>
      <c r="B473" s="16" t="str">
        <f>VLOOKUP(Projeção[[#This Row],[Código]],BD_Produto[#All],6,FALSE)</f>
        <v>Leitz, Bolsa para plastificação UDT A3 250 mic- pacote com 25 - PN: 74910000</v>
      </c>
      <c r="C473" s="130">
        <v>0</v>
      </c>
      <c r="D473" s="130">
        <v>0</v>
      </c>
      <c r="E473" s="130">
        <v>0</v>
      </c>
      <c r="F473" s="130">
        <v>0</v>
      </c>
      <c r="G473" s="130">
        <v>0</v>
      </c>
      <c r="H473" s="130">
        <v>0</v>
      </c>
      <c r="I473" s="130">
        <v>0</v>
      </c>
      <c r="J473" s="130">
        <v>0</v>
      </c>
      <c r="K473" s="130">
        <v>0</v>
      </c>
      <c r="L473" s="130">
        <v>0</v>
      </c>
      <c r="M473" s="130">
        <v>0</v>
      </c>
      <c r="N473" s="130">
        <v>0</v>
      </c>
      <c r="O4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4" spans="1:15" ht="15" customHeight="1" x14ac:dyDescent="0.25">
      <c r="A474" s="15">
        <v>33062563649</v>
      </c>
      <c r="B474" s="16" t="str">
        <f>VLOOKUP(Projeção[[#This Row],[Código]],BD_Produto[#All],6,FALSE)</f>
        <v>Leitz, Bolsa para plastificação UDT A3 80 mic - pacote com 100 - PN: 74850000</v>
      </c>
      <c r="C474" s="130">
        <v>0</v>
      </c>
      <c r="D474" s="130">
        <v>0</v>
      </c>
      <c r="E474" s="130">
        <v>0</v>
      </c>
      <c r="F474" s="130">
        <v>0</v>
      </c>
      <c r="G474" s="130">
        <v>0</v>
      </c>
      <c r="H474" s="130">
        <v>0</v>
      </c>
      <c r="I474" s="130">
        <v>0</v>
      </c>
      <c r="J474" s="130">
        <v>0</v>
      </c>
      <c r="K474" s="130">
        <v>0</v>
      </c>
      <c r="L474" s="130">
        <v>0</v>
      </c>
      <c r="M474" s="130">
        <v>0</v>
      </c>
      <c r="N474" s="130">
        <v>0</v>
      </c>
      <c r="O4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5" spans="1:15" ht="15" customHeight="1" x14ac:dyDescent="0.25">
      <c r="A475" s="15">
        <v>33062563650</v>
      </c>
      <c r="B475" s="16" t="str">
        <f>VLOOKUP(Projeção[[#This Row],[Código]],BD_Produto[#All],6,FALSE)</f>
        <v>Leitz, Bolsa para plastificação UDT A3 80 mic - pacote com 25 - PN: 74860000</v>
      </c>
      <c r="C475" s="130">
        <v>0</v>
      </c>
      <c r="D475" s="130">
        <v>0</v>
      </c>
      <c r="E475" s="130">
        <v>0</v>
      </c>
      <c r="F475" s="130">
        <v>0</v>
      </c>
      <c r="G475" s="130">
        <v>0</v>
      </c>
      <c r="H475" s="130">
        <v>0</v>
      </c>
      <c r="I475" s="130">
        <v>0</v>
      </c>
      <c r="J475" s="130">
        <v>0</v>
      </c>
      <c r="K475" s="130">
        <v>0</v>
      </c>
      <c r="L475" s="130">
        <v>0</v>
      </c>
      <c r="M475" s="130">
        <v>0</v>
      </c>
      <c r="N475" s="130">
        <v>0</v>
      </c>
      <c r="O4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6" spans="1:15" ht="15" customHeight="1" x14ac:dyDescent="0.25">
      <c r="A476" s="15">
        <v>33062563653</v>
      </c>
      <c r="B476" s="16" t="str">
        <f>VLOOKUP(Projeção[[#This Row],[Código]],BD_Produto[#All],6,FALSE)</f>
        <v>Leitz, Bolsa para plastificação UDT A5 80 mic - pacote com 100 - PN: 74920000</v>
      </c>
      <c r="C476" s="130">
        <v>0</v>
      </c>
      <c r="D476" s="130">
        <v>0</v>
      </c>
      <c r="E476" s="130">
        <v>0</v>
      </c>
      <c r="F476" s="130">
        <v>0</v>
      </c>
      <c r="G476" s="130">
        <v>0</v>
      </c>
      <c r="H476" s="130">
        <v>0</v>
      </c>
      <c r="I476" s="130">
        <v>0</v>
      </c>
      <c r="J476" s="130">
        <v>0</v>
      </c>
      <c r="K476" s="130">
        <v>0</v>
      </c>
      <c r="L476" s="130">
        <v>0</v>
      </c>
      <c r="M476" s="130">
        <v>0</v>
      </c>
      <c r="N476" s="130">
        <v>0</v>
      </c>
      <c r="O4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7" spans="1:15" ht="15" customHeight="1" x14ac:dyDescent="0.25">
      <c r="A477" s="15">
        <v>33063563608</v>
      </c>
      <c r="B477" s="16" t="str">
        <f>VLOOKUP(Projeção[[#This Row],[Código]],BD_Produto[#All],6,FALSE)</f>
        <v>Leitz, Bolsa re:cycle para 25 folhas - PN:4623-00-03</v>
      </c>
      <c r="C477" s="130">
        <v>0</v>
      </c>
      <c r="D477" s="130">
        <v>0</v>
      </c>
      <c r="E477" s="130">
        <v>0</v>
      </c>
      <c r="F477" s="130">
        <v>0</v>
      </c>
      <c r="G477" s="130">
        <v>0</v>
      </c>
      <c r="H477" s="130">
        <v>0</v>
      </c>
      <c r="I477" s="130">
        <v>0</v>
      </c>
      <c r="J477" s="130">
        <v>0</v>
      </c>
      <c r="K477" s="130">
        <v>0</v>
      </c>
      <c r="L477" s="130">
        <v>0</v>
      </c>
      <c r="M477" s="130">
        <v>0</v>
      </c>
      <c r="N477" s="130">
        <v>0</v>
      </c>
      <c r="O4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8" spans="1:15" ht="15" customHeight="1" x14ac:dyDescent="0.25">
      <c r="A478" s="15">
        <v>33063563609</v>
      </c>
      <c r="B478" s="16" t="str">
        <f>VLOOKUP(Projeção[[#This Row],[Código]],BD_Produto[#All],6,FALSE)</f>
        <v>Leitz, Bolsa re:cycle para 40 folhas - PN:4001-10-03</v>
      </c>
      <c r="C478" s="130">
        <v>0</v>
      </c>
      <c r="D478" s="130">
        <v>0</v>
      </c>
      <c r="E478" s="130">
        <v>0</v>
      </c>
      <c r="F478" s="130">
        <v>0</v>
      </c>
      <c r="G478" s="130">
        <v>0</v>
      </c>
      <c r="H478" s="130">
        <v>0</v>
      </c>
      <c r="I478" s="130">
        <v>0</v>
      </c>
      <c r="J478" s="130">
        <v>0</v>
      </c>
      <c r="K478" s="130">
        <v>0</v>
      </c>
      <c r="L478" s="130">
        <v>0</v>
      </c>
      <c r="M478" s="130">
        <v>0</v>
      </c>
      <c r="N478" s="130">
        <v>0</v>
      </c>
      <c r="O4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479" spans="1:15" ht="15" customHeight="1" x14ac:dyDescent="0.25">
      <c r="A479" s="15">
        <v>33063063481</v>
      </c>
      <c r="B479" s="16" t="str">
        <f>VLOOKUP(Projeção[[#This Row],[Código]],BD_Produto[#All],6,FALSE)</f>
        <v>Leitz, Conjunto com 3 pastas A4 Combifile Expansível TR Azul - PN:4727-00-35</v>
      </c>
      <c r="C479" s="130">
        <v>1.3666666666666665</v>
      </c>
      <c r="D479" s="130">
        <v>0.56666666666666654</v>
      </c>
      <c r="E479" s="130">
        <v>0.56666666666666654</v>
      </c>
      <c r="F479" s="130">
        <v>0.3</v>
      </c>
      <c r="G479" s="130">
        <v>9.9999999999999992E-2</v>
      </c>
      <c r="H479" s="130">
        <v>6.6666666666666666E-2</v>
      </c>
      <c r="I479" s="130">
        <v>0</v>
      </c>
      <c r="J479" s="130">
        <v>6.6666666666666666E-2</v>
      </c>
      <c r="K479" s="130">
        <v>6.6666666666666666E-2</v>
      </c>
      <c r="L479" s="130">
        <v>6.6666666666666666E-2</v>
      </c>
      <c r="M479" s="130">
        <v>6.6666666666666666E-2</v>
      </c>
      <c r="N479" s="130">
        <v>0.76666666666666672</v>
      </c>
      <c r="O4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480" spans="1:15" ht="15" customHeight="1" x14ac:dyDescent="0.25">
      <c r="A480" s="15">
        <v>33063063480</v>
      </c>
      <c r="B480" s="16" t="str">
        <f>VLOOKUP(Projeção[[#This Row],[Código]],BD_Produto[#All],6,FALSE)</f>
        <v>Leitz, Conjunto com 3 pastas A4 Combifile Expansível TR Clear - PN:4727-00-03</v>
      </c>
      <c r="C480" s="130">
        <v>1.1333333333333331</v>
      </c>
      <c r="D480" s="130">
        <v>2.0333333333333337</v>
      </c>
      <c r="E480" s="130">
        <v>0.83333333333333337</v>
      </c>
      <c r="F480" s="130">
        <v>0.56666666666666665</v>
      </c>
      <c r="G480" s="130">
        <v>0.16666666666666666</v>
      </c>
      <c r="H480" s="130">
        <v>0.16666666666666666</v>
      </c>
      <c r="I480" s="130">
        <v>0</v>
      </c>
      <c r="J480" s="130">
        <v>0.16666666666666666</v>
      </c>
      <c r="K480" s="130">
        <v>0.16666666666666666</v>
      </c>
      <c r="L480" s="130">
        <v>0.16666666666666666</v>
      </c>
      <c r="M480" s="130">
        <v>0.16666666666666666</v>
      </c>
      <c r="N480" s="130">
        <v>0.86666666666666659</v>
      </c>
      <c r="O4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481" spans="1:15" ht="15" customHeight="1" x14ac:dyDescent="0.25">
      <c r="A481" s="15">
        <v>33063063485</v>
      </c>
      <c r="B481" s="16" t="str">
        <f>VLOOKUP(Projeção[[#This Row],[Código]],BD_Produto[#All],6,FALSE)</f>
        <v>Leitz, Conjunto com 3 pastas A4 Combifile Organizadora TR Azul - PN:4729-00-35</v>
      </c>
      <c r="C481" s="130">
        <v>1.2999999999999998</v>
      </c>
      <c r="D481" s="130">
        <v>2.1999999999999997</v>
      </c>
      <c r="E481" s="130">
        <v>1</v>
      </c>
      <c r="F481" s="130">
        <v>0.73333333333333339</v>
      </c>
      <c r="G481" s="130">
        <v>0.33333333333333331</v>
      </c>
      <c r="H481" s="130">
        <v>0.33333333333333331</v>
      </c>
      <c r="I481" s="130">
        <v>6.6666666666666666E-2</v>
      </c>
      <c r="J481" s="130">
        <v>0.33333333333333331</v>
      </c>
      <c r="K481" s="130">
        <v>0.33333333333333331</v>
      </c>
      <c r="L481" s="130">
        <v>0.33333333333333331</v>
      </c>
      <c r="M481" s="130">
        <v>0.16666666666666666</v>
      </c>
      <c r="N481" s="130">
        <v>0.86666666666666659</v>
      </c>
      <c r="O4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0.33333333333333326</v>
      </c>
    </row>
    <row r="482" spans="1:15" ht="15" customHeight="1" x14ac:dyDescent="0.25">
      <c r="A482" s="15">
        <v>33063063484</v>
      </c>
      <c r="B482" s="16" t="str">
        <f>VLOOKUP(Projeção[[#This Row],[Código]],BD_Produto[#All],6,FALSE)</f>
        <v>Leitz, Conjunto com 3 pastas A4 Combifile Organizadora TR Clear - PN:4729-00-03</v>
      </c>
      <c r="C482" s="130">
        <v>11.333333333333334</v>
      </c>
      <c r="D482" s="130">
        <v>3.3333333333333335</v>
      </c>
      <c r="E482" s="130">
        <v>3.3333333333333335</v>
      </c>
      <c r="F482" s="130">
        <v>0.66666666666666663</v>
      </c>
      <c r="G482" s="130">
        <v>0.66666666666666663</v>
      </c>
      <c r="H482" s="130">
        <v>0.66666666666666663</v>
      </c>
      <c r="I482" s="130">
        <v>0.5</v>
      </c>
      <c r="J482" s="130">
        <v>2.3333333333333335</v>
      </c>
      <c r="K482" s="130">
        <v>0.66666666666666663</v>
      </c>
      <c r="L482" s="130">
        <v>2.3333333333333335</v>
      </c>
      <c r="M482" s="130">
        <v>1.6666666666666667</v>
      </c>
      <c r="N482" s="130">
        <v>2.3666666666666663</v>
      </c>
      <c r="O4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1.1666666666666665</v>
      </c>
    </row>
    <row r="483" spans="1:15" ht="15" customHeight="1" x14ac:dyDescent="0.25">
      <c r="A483" s="15">
        <v>33063063483</v>
      </c>
      <c r="B483" s="16" t="str">
        <f>VLOOKUP(Projeção[[#This Row],[Código]],BD_Produto[#All],6,FALSE)</f>
        <v>Leitz, Conjunto com 3 pastas A4 Combifile Rígida TR Azul - PN:4728-00-35</v>
      </c>
      <c r="C483" s="130">
        <v>4.5333333333333323</v>
      </c>
      <c r="D483" s="130">
        <v>3.0333333333333332</v>
      </c>
      <c r="E483" s="130">
        <v>1.833333333333333</v>
      </c>
      <c r="F483" s="130">
        <v>0.76666666666666661</v>
      </c>
      <c r="G483" s="130">
        <v>0.36666666666666664</v>
      </c>
      <c r="H483" s="130">
        <v>0.36666666666666664</v>
      </c>
      <c r="I483" s="130">
        <v>6.6666666666666666E-2</v>
      </c>
      <c r="J483" s="130">
        <v>0.36666666666666664</v>
      </c>
      <c r="K483" s="130">
        <v>0.36666666666666664</v>
      </c>
      <c r="L483" s="130">
        <v>0.36666666666666664</v>
      </c>
      <c r="M483" s="130">
        <v>0.36666666666666664</v>
      </c>
      <c r="N483" s="130">
        <v>2.4666666666666668</v>
      </c>
      <c r="O4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0.33333333333333331</v>
      </c>
    </row>
    <row r="484" spans="1:15" ht="15" customHeight="1" x14ac:dyDescent="0.25">
      <c r="A484" s="15">
        <v>33063063482</v>
      </c>
      <c r="B484" s="16" t="str">
        <f>VLOOKUP(Projeção[[#This Row],[Código]],BD_Produto[#All],6,FALSE)</f>
        <v>Leitz, Conjunto com 3 pastas A4 Combifile Rígida TR Clear - PN:4728-00-03</v>
      </c>
      <c r="C484" s="130">
        <v>1.7</v>
      </c>
      <c r="D484" s="130">
        <v>0.5</v>
      </c>
      <c r="E484" s="130">
        <v>0.5</v>
      </c>
      <c r="F484" s="130">
        <v>9.9999999999999992E-2</v>
      </c>
      <c r="G484" s="130">
        <v>9.9999999999999992E-2</v>
      </c>
      <c r="H484" s="130">
        <v>9.9999999999999992E-2</v>
      </c>
      <c r="I484" s="130">
        <v>0</v>
      </c>
      <c r="J484" s="130">
        <v>9.9999999999999992E-2</v>
      </c>
      <c r="K484" s="130">
        <v>9.9999999999999992E-2</v>
      </c>
      <c r="L484" s="130">
        <v>1.9333333333333331</v>
      </c>
      <c r="M484" s="130">
        <v>2.6666666666666665</v>
      </c>
      <c r="N484" s="130">
        <v>3.4333333333333331</v>
      </c>
      <c r="O4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9.5666666666666664</v>
      </c>
    </row>
    <row r="485" spans="1:15" ht="15" customHeight="1" x14ac:dyDescent="0.25">
      <c r="A485" s="15">
        <v>33063063479</v>
      </c>
      <c r="B485" s="16" t="str">
        <f>VLOOKUP(Projeção[[#This Row],[Código]],BD_Produto[#All],6,FALSE)</f>
        <v>Leitz, Conjunto com 5 pastas A4 Combifile TR Azul - PN:4726-00-35</v>
      </c>
      <c r="C485" s="130">
        <v>4.6333333333333329</v>
      </c>
      <c r="D485" s="130">
        <v>1.4333333333333333</v>
      </c>
      <c r="E485" s="130">
        <v>1.4333333333333333</v>
      </c>
      <c r="F485" s="130">
        <v>0.26666666666666666</v>
      </c>
      <c r="G485" s="130">
        <v>0.26666666666666666</v>
      </c>
      <c r="H485" s="130">
        <v>0.26666666666666666</v>
      </c>
      <c r="I485" s="130">
        <v>6.6666666666666666E-2</v>
      </c>
      <c r="J485" s="130">
        <v>0.26666666666666666</v>
      </c>
      <c r="K485" s="130">
        <v>0.26666666666666666</v>
      </c>
      <c r="L485" s="130">
        <v>0.26666666666666666</v>
      </c>
      <c r="M485" s="130">
        <v>0.26666666666666666</v>
      </c>
      <c r="N485" s="130">
        <v>0.96666666666666656</v>
      </c>
      <c r="O4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486" spans="1:15" ht="15" customHeight="1" x14ac:dyDescent="0.25">
      <c r="A486" s="15">
        <v>33063063478</v>
      </c>
      <c r="B486" s="16" t="str">
        <f>VLOOKUP(Projeção[[#This Row],[Código]],BD_Produto[#All],6,FALSE)</f>
        <v>Leitz, Conjunto com 5 pastas A4 Combifile TR Clear - PN:4726-00-03</v>
      </c>
      <c r="C486" s="130">
        <v>4.5333333333333323</v>
      </c>
      <c r="D486" s="130">
        <v>1.333333333333333</v>
      </c>
      <c r="E486" s="130">
        <v>1.333333333333333</v>
      </c>
      <c r="F486" s="130">
        <v>1.4000000000000001</v>
      </c>
      <c r="G486" s="130">
        <v>0.6</v>
      </c>
      <c r="H486" s="130">
        <v>0.6</v>
      </c>
      <c r="I486" s="130">
        <v>0.43333333333333329</v>
      </c>
      <c r="J486" s="130">
        <v>0.33333333333333331</v>
      </c>
      <c r="K486" s="130">
        <v>0.6</v>
      </c>
      <c r="L486" s="130">
        <v>0.33333333333333331</v>
      </c>
      <c r="M486" s="130">
        <v>0.33333333333333331</v>
      </c>
      <c r="N486" s="130">
        <v>1.0333333333333332</v>
      </c>
      <c r="O4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487" spans="1:15" ht="15" customHeight="1" x14ac:dyDescent="0.25">
      <c r="A487" s="15">
        <v>33063063503</v>
      </c>
      <c r="B487" s="16" t="str">
        <f>VLOOKUP(Projeção[[#This Row],[Código]],BD_Produto[#All],6,FALSE)</f>
        <v>Leitz, Pasta Catálogo - 20 bolsas - Bebop Azul - PN:4564-0037</v>
      </c>
      <c r="C487" s="130">
        <v>3.3333333333333333E-2</v>
      </c>
      <c r="D487" s="130">
        <v>3.3333333333333333E-2</v>
      </c>
      <c r="E487" s="130">
        <v>3.3333333333333333E-2</v>
      </c>
      <c r="F487" s="130">
        <v>1.1666666666666665</v>
      </c>
      <c r="G487" s="130">
        <v>0.36666666666666664</v>
      </c>
      <c r="H487" s="130">
        <v>0.36666666666666664</v>
      </c>
      <c r="I487" s="130">
        <v>0.36666666666666664</v>
      </c>
      <c r="J487" s="130">
        <v>9.9999999999999992E-2</v>
      </c>
      <c r="K487" s="130">
        <v>0.36666666666666664</v>
      </c>
      <c r="L487" s="130">
        <v>6.6666666666666666E-2</v>
      </c>
      <c r="M487" s="130">
        <v>6.6666666666666666E-2</v>
      </c>
      <c r="N487" s="130">
        <v>6.1333333333333337</v>
      </c>
      <c r="O4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</v>
      </c>
    </row>
    <row r="488" spans="1:15" ht="15" customHeight="1" x14ac:dyDescent="0.25">
      <c r="A488" s="15">
        <v>33063063504</v>
      </c>
      <c r="B488" s="16" t="str">
        <f>VLOOKUP(Projeção[[#This Row],[Código]],BD_Produto[#All],6,FALSE)</f>
        <v>Leitz, Pasta Catálogo - 20 bolsas - Bebop Laranja - PN:4564-0045</v>
      </c>
      <c r="C488" s="130">
        <v>0.23333333333333334</v>
      </c>
      <c r="D488" s="130">
        <v>0.23333333333333334</v>
      </c>
      <c r="E488" s="130">
        <v>0.23333333333333334</v>
      </c>
      <c r="F488" s="130">
        <v>0.23333333333333334</v>
      </c>
      <c r="G488" s="130">
        <v>0.19999999999999998</v>
      </c>
      <c r="H488" s="130">
        <v>0.19999999999999998</v>
      </c>
      <c r="I488" s="130">
        <v>0.19999999999999998</v>
      </c>
      <c r="J488" s="130">
        <v>0.19999999999999998</v>
      </c>
      <c r="K488" s="130">
        <v>0.19999999999999998</v>
      </c>
      <c r="L488" s="130">
        <v>0</v>
      </c>
      <c r="M488" s="130">
        <v>1.1666666666666665</v>
      </c>
      <c r="N488" s="130">
        <v>7.2333333333333325</v>
      </c>
      <c r="O4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5.1666666666666661</v>
      </c>
    </row>
    <row r="489" spans="1:15" ht="15" customHeight="1" x14ac:dyDescent="0.25">
      <c r="A489" s="15">
        <v>33063063502</v>
      </c>
      <c r="B489" s="16" t="str">
        <f>VLOOKUP(Projeção[[#This Row],[Código]],BD_Produto[#All],6,FALSE)</f>
        <v>Leitz, Pasta Catálogo - 20 bolsas - Bebop Vermelha - PN:4564-0025</v>
      </c>
      <c r="C489" s="130">
        <v>0</v>
      </c>
      <c r="D489" s="130">
        <v>0</v>
      </c>
      <c r="E489" s="130">
        <v>0</v>
      </c>
      <c r="F489" s="130">
        <v>1.1333333333333331</v>
      </c>
      <c r="G489" s="130">
        <v>0.89999999999999991</v>
      </c>
      <c r="H489" s="130">
        <v>0.66666666666666652</v>
      </c>
      <c r="I489" s="130">
        <v>0.66666666666666652</v>
      </c>
      <c r="J489" s="130">
        <v>0.39999999999999997</v>
      </c>
      <c r="K489" s="130">
        <v>0.66666666666666652</v>
      </c>
      <c r="L489" s="130">
        <v>0.13333333333333333</v>
      </c>
      <c r="M489" s="130">
        <v>1.4333333333333333</v>
      </c>
      <c r="N489" s="130">
        <v>7.4333333333333345</v>
      </c>
      <c r="O4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5.1666666666666661</v>
      </c>
    </row>
    <row r="490" spans="1:15" ht="15" customHeight="1" x14ac:dyDescent="0.25">
      <c r="A490" s="15">
        <v>33063063508</v>
      </c>
      <c r="B490" s="16" t="str">
        <f>VLOOKUP(Projeção[[#This Row],[Código]],BD_Produto[#All],6,FALSE)</f>
        <v>Leitz, Pasta Catálogo - 20 bolsas - Prestige Azul Marinho - PN:4610-00-35</v>
      </c>
      <c r="C490" s="130">
        <v>6.4666666666666668</v>
      </c>
      <c r="D490" s="130">
        <v>2.4333333333333336</v>
      </c>
      <c r="E490" s="130">
        <v>2.4333333333333336</v>
      </c>
      <c r="F490" s="130">
        <v>3.1666666666666665</v>
      </c>
      <c r="G490" s="130">
        <v>1.5666666666666667</v>
      </c>
      <c r="H490" s="130">
        <v>4.5666666666666664</v>
      </c>
      <c r="I490" s="130">
        <v>4.3666666666666663</v>
      </c>
      <c r="J490" s="130">
        <v>4.0333333333333332</v>
      </c>
      <c r="K490" s="130">
        <v>4.5666666666666664</v>
      </c>
      <c r="L490" s="130">
        <v>1.2333333333333334</v>
      </c>
      <c r="M490" s="130">
        <v>3.6333333333333337</v>
      </c>
      <c r="N490" s="130">
        <v>11.333333333333334</v>
      </c>
      <c r="O4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11.966666666666665</v>
      </c>
    </row>
    <row r="491" spans="1:15" ht="15" customHeight="1" x14ac:dyDescent="0.25">
      <c r="A491" s="15">
        <v>33063063509</v>
      </c>
      <c r="B491" s="16" t="str">
        <f>VLOOKUP(Projeção[[#This Row],[Código]],BD_Produto[#All],6,FALSE)</f>
        <v>Leitz, Pasta Catálogo - 20 bolsas - Prestige Mogno - PN:4610-00-76</v>
      </c>
      <c r="C491" s="130">
        <v>0.23333333333333334</v>
      </c>
      <c r="D491" s="130">
        <v>0.19999999999999998</v>
      </c>
      <c r="E491" s="130">
        <v>5.666666666666667</v>
      </c>
      <c r="F491" s="130">
        <v>2.2333333333333329</v>
      </c>
      <c r="G491" s="130">
        <v>1.833333333333333</v>
      </c>
      <c r="H491" s="130">
        <v>3.8333333333333335</v>
      </c>
      <c r="I491" s="130">
        <v>3.566666666666666</v>
      </c>
      <c r="J491" s="130">
        <v>3.7</v>
      </c>
      <c r="K491" s="130">
        <v>3.8333333333333335</v>
      </c>
      <c r="L491" s="130">
        <v>1.0333333333333334</v>
      </c>
      <c r="M491" s="130">
        <v>2.3666666666666667</v>
      </c>
      <c r="N491" s="130">
        <v>10.066666666666666</v>
      </c>
      <c r="O4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14.566666666666668</v>
      </c>
    </row>
    <row r="492" spans="1:15" ht="15" customHeight="1" x14ac:dyDescent="0.25">
      <c r="A492" s="15">
        <v>33063063510</v>
      </c>
      <c r="B492" s="16" t="str">
        <f>VLOOKUP(Projeção[[#This Row],[Código]],BD_Produto[#All],6,FALSE)</f>
        <v>Leitz, Pasta Catálogo - 20 bolsas - Prestige Preto - PN:4610-00-95</v>
      </c>
      <c r="C492" s="130">
        <v>6.9333333333333345</v>
      </c>
      <c r="D492" s="130">
        <v>2.2666666666666666</v>
      </c>
      <c r="E492" s="130">
        <v>2.2666666666666666</v>
      </c>
      <c r="F492" s="130">
        <v>0.93333333333333335</v>
      </c>
      <c r="G492" s="130">
        <v>6</v>
      </c>
      <c r="H492" s="130">
        <v>5.333333333333333</v>
      </c>
      <c r="I492" s="130">
        <v>5.1333333333333329</v>
      </c>
      <c r="J492" s="130">
        <v>5.333333333333333</v>
      </c>
      <c r="K492" s="130">
        <v>5.333333333333333</v>
      </c>
      <c r="L492" s="130">
        <v>1.3333333333333333</v>
      </c>
      <c r="M492" s="130">
        <v>4.5</v>
      </c>
      <c r="N492" s="130">
        <v>11.533333333333333</v>
      </c>
      <c r="O4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14.733333333333331</v>
      </c>
    </row>
    <row r="493" spans="1:15" ht="15" customHeight="1" x14ac:dyDescent="0.25">
      <c r="A493" s="15">
        <v>33063063506</v>
      </c>
      <c r="B493" s="16" t="str">
        <f>VLOOKUP(Projeção[[#This Row],[Código]],BD_Produto[#All],6,FALSE)</f>
        <v>Leitz, Pasta Catálogo - 40 bolsas - Bebop Azul - PN:4565-0037</v>
      </c>
      <c r="C493" s="130">
        <v>5.7666666666666675</v>
      </c>
      <c r="D493" s="130">
        <v>1.7666666666666668</v>
      </c>
      <c r="E493" s="130">
        <v>1.7666666666666668</v>
      </c>
      <c r="F493" s="130">
        <v>0.39999999999999997</v>
      </c>
      <c r="G493" s="130">
        <v>6.0333333333333332</v>
      </c>
      <c r="H493" s="130">
        <v>3.7</v>
      </c>
      <c r="I493" s="130">
        <v>3.7</v>
      </c>
      <c r="J493" s="130">
        <v>3.7</v>
      </c>
      <c r="K493" s="130">
        <v>3.7</v>
      </c>
      <c r="L493" s="130">
        <v>1</v>
      </c>
      <c r="M493" s="130">
        <v>2.3333333333333335</v>
      </c>
      <c r="N493" s="130">
        <v>7.7333333333333325</v>
      </c>
      <c r="O4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10.3</v>
      </c>
    </row>
    <row r="494" spans="1:15" ht="15" customHeight="1" x14ac:dyDescent="0.25">
      <c r="A494" s="15">
        <v>33063063507</v>
      </c>
      <c r="B494" s="16" t="str">
        <f>VLOOKUP(Projeção[[#This Row],[Código]],BD_Produto[#All],6,FALSE)</f>
        <v>Leitz, Pasta Catálogo - 40 bolsas - Bebop Laranja - PN:4565-0045</v>
      </c>
      <c r="C494" s="130">
        <v>5.9</v>
      </c>
      <c r="D494" s="130">
        <v>1.9</v>
      </c>
      <c r="E494" s="130">
        <v>1.9</v>
      </c>
      <c r="F494" s="130">
        <v>0.56666666666666665</v>
      </c>
      <c r="G494" s="130">
        <v>6.2333333333333334</v>
      </c>
      <c r="H494" s="130">
        <v>2.2333333333333334</v>
      </c>
      <c r="I494" s="130">
        <v>2.2333333333333334</v>
      </c>
      <c r="J494" s="130">
        <v>2.2333333333333334</v>
      </c>
      <c r="K494" s="130">
        <v>2.2333333333333334</v>
      </c>
      <c r="L494" s="130">
        <v>0.66666666666666663</v>
      </c>
      <c r="M494" s="130">
        <v>1.3333333333333333</v>
      </c>
      <c r="N494" s="130">
        <v>6.7333333333333325</v>
      </c>
      <c r="O4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10.3</v>
      </c>
    </row>
    <row r="495" spans="1:15" ht="15" customHeight="1" x14ac:dyDescent="0.25">
      <c r="A495" s="15">
        <v>33063063505</v>
      </c>
      <c r="B495" s="16" t="str">
        <f>VLOOKUP(Projeção[[#This Row],[Código]],BD_Produto[#All],6,FALSE)</f>
        <v>Leitz, Pasta Catálogo - 40 bolsas - Bebop Vermelha - PN:4565-0025</v>
      </c>
      <c r="C495" s="130">
        <v>5.7</v>
      </c>
      <c r="D495" s="130">
        <v>1.7</v>
      </c>
      <c r="E495" s="130">
        <v>1.7</v>
      </c>
      <c r="F495" s="130">
        <v>0.36666666666666664</v>
      </c>
      <c r="G495" s="130">
        <v>0.36666666666666664</v>
      </c>
      <c r="H495" s="130">
        <v>0.36666666666666664</v>
      </c>
      <c r="I495" s="130">
        <v>0.36666666666666664</v>
      </c>
      <c r="J495" s="130">
        <v>0.36666666666666664</v>
      </c>
      <c r="K495" s="130">
        <v>0.36666666666666664</v>
      </c>
      <c r="L495" s="130">
        <v>0.33333333333333331</v>
      </c>
      <c r="M495" s="130">
        <v>0.33333333333333331</v>
      </c>
      <c r="N495" s="130">
        <v>6.3999999999999995</v>
      </c>
      <c r="O4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10.399999999999999</v>
      </c>
    </row>
    <row r="496" spans="1:15" ht="15" customHeight="1" x14ac:dyDescent="0.25">
      <c r="A496" s="15">
        <v>33063063511</v>
      </c>
      <c r="B496" s="16" t="str">
        <f>VLOOKUP(Projeção[[#This Row],[Código]],BD_Produto[#All],6,FALSE)</f>
        <v>Leitz, Pasta Catálogo - 40 bolsas - Prestige Azul Marinho - PN:4611-00-35</v>
      </c>
      <c r="C496" s="130">
        <v>7.4333333333333318</v>
      </c>
      <c r="D496" s="130">
        <v>2.2333333333333329</v>
      </c>
      <c r="E496" s="130">
        <v>2.2333333333333329</v>
      </c>
      <c r="F496" s="130">
        <v>0.5</v>
      </c>
      <c r="G496" s="130">
        <v>0.5</v>
      </c>
      <c r="H496" s="130">
        <v>0.46666666666666667</v>
      </c>
      <c r="I496" s="130">
        <v>0.16666666666666666</v>
      </c>
      <c r="J496" s="130">
        <v>0.46666666666666667</v>
      </c>
      <c r="K496" s="130">
        <v>0.46666666666666667</v>
      </c>
      <c r="L496" s="130">
        <v>0.43333333333333329</v>
      </c>
      <c r="M496" s="130">
        <v>1.5999999999999999</v>
      </c>
      <c r="N496" s="130">
        <v>9.2999999999999989</v>
      </c>
      <c r="O4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10.933333333333332</v>
      </c>
    </row>
    <row r="497" spans="1:15" ht="15" customHeight="1" x14ac:dyDescent="0.25">
      <c r="A497" s="15">
        <v>33063063512</v>
      </c>
      <c r="B497" s="16" t="str">
        <f>VLOOKUP(Projeção[[#This Row],[Código]],BD_Produto[#All],6,FALSE)</f>
        <v>Leitz, Pasta Catálogo - 40 bolsas - Prestige Mogno - PN:4611-00-76</v>
      </c>
      <c r="C497" s="130">
        <v>0</v>
      </c>
      <c r="D497" s="130">
        <v>0</v>
      </c>
      <c r="E497" s="130">
        <v>0</v>
      </c>
      <c r="F497" s="130">
        <v>0.56666666666666654</v>
      </c>
      <c r="G497" s="130">
        <v>0.16666666666666663</v>
      </c>
      <c r="H497" s="130">
        <v>0.16666666666666663</v>
      </c>
      <c r="I497" s="130">
        <v>0</v>
      </c>
      <c r="J497" s="130">
        <v>3.3333333333333333E-2</v>
      </c>
      <c r="K497" s="130">
        <v>0.16666666666666663</v>
      </c>
      <c r="L497" s="130">
        <v>3.3333333333333333E-2</v>
      </c>
      <c r="M497" s="130">
        <v>3.3333333333333333E-2</v>
      </c>
      <c r="N497" s="130">
        <v>7.7333333333333325</v>
      </c>
      <c r="O4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10.766666666666667</v>
      </c>
    </row>
    <row r="498" spans="1:15" ht="15" customHeight="1" x14ac:dyDescent="0.25">
      <c r="A498" s="15">
        <v>33063063513</v>
      </c>
      <c r="B498" s="16" t="str">
        <f>VLOOKUP(Projeção[[#This Row],[Código]],BD_Produto[#All],6,FALSE)</f>
        <v>Leitz, Pasta Catálogo - 40 bolsas - Prestige Preto - PN:4611-00-95</v>
      </c>
      <c r="C498" s="130">
        <v>6.6666666666666666E-2</v>
      </c>
      <c r="D498" s="130">
        <v>6.6666666666666666E-2</v>
      </c>
      <c r="E498" s="130">
        <v>6.6666666666666666E-2</v>
      </c>
      <c r="F498" s="130">
        <v>3.3333333333333333E-2</v>
      </c>
      <c r="G498" s="130">
        <v>3.3333333333333333E-2</v>
      </c>
      <c r="H498" s="130">
        <v>3.3333333333333333E-2</v>
      </c>
      <c r="I498" s="130">
        <v>0</v>
      </c>
      <c r="J498" s="130">
        <v>3.3333333333333333E-2</v>
      </c>
      <c r="K498" s="130">
        <v>3.3333333333333333E-2</v>
      </c>
      <c r="L498" s="130">
        <v>0</v>
      </c>
      <c r="M498" s="130">
        <v>1.1666666666666665</v>
      </c>
      <c r="N498" s="130">
        <v>8.8666666666666671</v>
      </c>
      <c r="O4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15.033333333333331</v>
      </c>
    </row>
    <row r="499" spans="1:15" ht="15" customHeight="1" x14ac:dyDescent="0.25">
      <c r="A499" s="15">
        <v>33063063487</v>
      </c>
      <c r="B499" s="16" t="str">
        <f>VLOOKUP(Projeção[[#This Row],[Código]],BD_Produto[#All],6,FALSE)</f>
        <v>Leitz, Pasta com Elástico A4 Bebop Azul - PN:4563-00-37</v>
      </c>
      <c r="C499" s="130">
        <v>3.1666666666666665</v>
      </c>
      <c r="D499" s="130">
        <v>1.9666666666666663</v>
      </c>
      <c r="E499" s="130">
        <v>0.6333333333333333</v>
      </c>
      <c r="F499" s="130">
        <v>0.66666666666666652</v>
      </c>
      <c r="G499" s="130">
        <v>0.26666666666666666</v>
      </c>
      <c r="H499" s="130">
        <v>0.26666666666666666</v>
      </c>
      <c r="I499" s="130">
        <v>0.26666666666666666</v>
      </c>
      <c r="J499" s="130">
        <v>0.13333333333333333</v>
      </c>
      <c r="K499" s="130">
        <v>0.26666666666666666</v>
      </c>
      <c r="L499" s="130">
        <v>0.13333333333333333</v>
      </c>
      <c r="M499" s="130">
        <v>0.13333333333333333</v>
      </c>
      <c r="N499" s="130">
        <v>4.8</v>
      </c>
      <c r="O4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16.399999999999999</v>
      </c>
    </row>
    <row r="500" spans="1:15" ht="15" customHeight="1" x14ac:dyDescent="0.25">
      <c r="A500" s="15">
        <v>33063063489</v>
      </c>
      <c r="B500" s="16" t="str">
        <f>VLOOKUP(Projeção[[#This Row],[Código]],BD_Produto[#All],6,FALSE)</f>
        <v>Leitz, Pasta com Elástico A4 Bebop Branco - PN:4563-00-01</v>
      </c>
      <c r="C500" s="130">
        <v>1.3333333333333333</v>
      </c>
      <c r="D500" s="130">
        <v>3.0333333333333337</v>
      </c>
      <c r="E500" s="130">
        <v>0.5</v>
      </c>
      <c r="F500" s="130">
        <v>3.3333333333333326</v>
      </c>
      <c r="G500" s="130">
        <v>0.93333333333333335</v>
      </c>
      <c r="H500" s="130">
        <v>0.93333333333333335</v>
      </c>
      <c r="I500" s="130">
        <v>0.53333333333333333</v>
      </c>
      <c r="J500" s="130">
        <v>0.26666666666666666</v>
      </c>
      <c r="K500" s="130">
        <v>0.93333333333333335</v>
      </c>
      <c r="L500" s="130">
        <v>0.26666666666666666</v>
      </c>
      <c r="M500" s="130">
        <v>0.26666666666666666</v>
      </c>
      <c r="N500" s="130">
        <v>6.1</v>
      </c>
      <c r="O5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11.233333333333333</v>
      </c>
    </row>
    <row r="501" spans="1:15" ht="15" customHeight="1" x14ac:dyDescent="0.25">
      <c r="A501" s="15">
        <v>33063063488</v>
      </c>
      <c r="B501" s="16" t="str">
        <f>VLOOKUP(Projeção[[#This Row],[Código]],BD_Produto[#All],6,FALSE)</f>
        <v>Leitz, Pasta com Elástico A4 Bebop Laranja - PN:4563-00-45</v>
      </c>
      <c r="C501" s="130">
        <v>1.4666666666666666</v>
      </c>
      <c r="D501" s="130">
        <v>1.4666666666666666</v>
      </c>
      <c r="E501" s="130">
        <v>0.13333333333333333</v>
      </c>
      <c r="F501" s="130">
        <v>0.56666666666666654</v>
      </c>
      <c r="G501" s="130">
        <v>0.16666666666666663</v>
      </c>
      <c r="H501" s="130">
        <v>0.16666666666666663</v>
      </c>
      <c r="I501" s="130">
        <v>0</v>
      </c>
      <c r="J501" s="130">
        <v>3.3333333333333333E-2</v>
      </c>
      <c r="K501" s="130">
        <v>0.16666666666666663</v>
      </c>
      <c r="L501" s="130">
        <v>3.3333333333333333E-2</v>
      </c>
      <c r="M501" s="130">
        <v>3.3333333333333333E-2</v>
      </c>
      <c r="N501" s="130">
        <v>5.8666666666666663</v>
      </c>
      <c r="O5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13.633333333333331</v>
      </c>
    </row>
    <row r="502" spans="1:15" ht="15" customHeight="1" x14ac:dyDescent="0.25">
      <c r="A502" s="15">
        <v>33063063490</v>
      </c>
      <c r="B502" s="16" t="str">
        <f>VLOOKUP(Projeção[[#This Row],[Código]],BD_Produto[#All],6,FALSE)</f>
        <v>Leitz, Pasta com Elástico A4 Bebop Preto - PN:4563-00-95</v>
      </c>
      <c r="C502" s="130">
        <v>3.0333333333333337</v>
      </c>
      <c r="D502" s="130">
        <v>1.8333333333333335</v>
      </c>
      <c r="E502" s="130">
        <v>0.5</v>
      </c>
      <c r="F502" s="130">
        <v>1.2333333333333332</v>
      </c>
      <c r="G502" s="130">
        <v>0.43333333333333329</v>
      </c>
      <c r="H502" s="130">
        <v>0.43333333333333329</v>
      </c>
      <c r="I502" s="130">
        <v>0.13333333333333333</v>
      </c>
      <c r="J502" s="130">
        <v>0.16666666666666666</v>
      </c>
      <c r="K502" s="130">
        <v>0.43333333333333329</v>
      </c>
      <c r="L502" s="130">
        <v>0.16666666666666666</v>
      </c>
      <c r="M502" s="130">
        <v>0.16666666666666666</v>
      </c>
      <c r="N502" s="130">
        <v>6</v>
      </c>
      <c r="O5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28.299999999999997</v>
      </c>
    </row>
    <row r="503" spans="1:15" ht="15" customHeight="1" x14ac:dyDescent="0.25">
      <c r="A503" s="15">
        <v>33063063486</v>
      </c>
      <c r="B503" s="16" t="str">
        <f>VLOOKUP(Projeção[[#This Row],[Código]],BD_Produto[#All],6,FALSE)</f>
        <v>Leitz, Pasta com Elástico A4 Bebop Vermelho - PN:4563-00-25</v>
      </c>
      <c r="C503" s="130">
        <v>1.3333333333333333</v>
      </c>
      <c r="D503" s="130">
        <v>1.3333333333333333</v>
      </c>
      <c r="E503" s="130">
        <v>0</v>
      </c>
      <c r="F503" s="130">
        <v>2.8333333333333335</v>
      </c>
      <c r="G503" s="130">
        <v>0.83333333333333337</v>
      </c>
      <c r="H503" s="130">
        <v>0.83333333333333337</v>
      </c>
      <c r="I503" s="130">
        <v>0.5</v>
      </c>
      <c r="J503" s="130">
        <v>0.16666666666666666</v>
      </c>
      <c r="K503" s="130">
        <v>0.83333333333333337</v>
      </c>
      <c r="L503" s="130">
        <v>0.5</v>
      </c>
      <c r="M503" s="130">
        <v>0.6333333333333333</v>
      </c>
      <c r="N503" s="130">
        <v>6.4666666666666668</v>
      </c>
      <c r="O5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8.9</v>
      </c>
    </row>
    <row r="504" spans="1:15" ht="15" customHeight="1" x14ac:dyDescent="0.25">
      <c r="A504" s="15">
        <v>33063063491</v>
      </c>
      <c r="B504" s="16" t="str">
        <f>VLOOKUP(Projeção[[#This Row],[Código]],BD_Produto[#All],6,FALSE)</f>
        <v>Leitz, Pasta com Elástico A4 Prestige Azul Marinho - PN:4608-0035</v>
      </c>
      <c r="C504" s="130">
        <v>4.7666666666666657</v>
      </c>
      <c r="D504" s="130">
        <v>1.9666666666666668</v>
      </c>
      <c r="E504" s="130">
        <v>1.7</v>
      </c>
      <c r="F504" s="130">
        <v>4.5999999999999996</v>
      </c>
      <c r="G504" s="130">
        <v>1.7</v>
      </c>
      <c r="H504" s="130">
        <v>1.6666666666666667</v>
      </c>
      <c r="I504" s="130">
        <v>1.4000000000000001</v>
      </c>
      <c r="J504" s="130">
        <v>0.86666666666666659</v>
      </c>
      <c r="K504" s="130">
        <v>1.6666666666666667</v>
      </c>
      <c r="L504" s="130">
        <v>0.76666666666666661</v>
      </c>
      <c r="M504" s="130">
        <v>0.6333333333333333</v>
      </c>
      <c r="N504" s="130">
        <v>6.4666666666666668</v>
      </c>
      <c r="O5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18.966666666666665</v>
      </c>
    </row>
    <row r="505" spans="1:15" ht="12.75" customHeight="1" x14ac:dyDescent="0.25">
      <c r="A505" s="15">
        <v>33063063492</v>
      </c>
      <c r="B505" s="16" t="str">
        <f>VLOOKUP(Projeção[[#This Row],[Código]],BD_Produto[#All],6,FALSE)</f>
        <v>Leitz, Pasta com Elástico A4 Prestige Mogno - PN:4608-00-76</v>
      </c>
      <c r="C505" s="130">
        <v>4.0666666666666664</v>
      </c>
      <c r="D505" s="130">
        <v>1.6666666666666663</v>
      </c>
      <c r="E505" s="130">
        <v>1</v>
      </c>
      <c r="F505" s="130">
        <v>5.3</v>
      </c>
      <c r="G505" s="130">
        <v>1.7</v>
      </c>
      <c r="H505" s="130">
        <v>1.7</v>
      </c>
      <c r="I505" s="130">
        <v>1.3666666666666665</v>
      </c>
      <c r="J505" s="130">
        <v>0.5</v>
      </c>
      <c r="K505" s="130">
        <v>1.7</v>
      </c>
      <c r="L505" s="130">
        <v>0.5</v>
      </c>
      <c r="M505" s="130">
        <v>0.5</v>
      </c>
      <c r="N505" s="130">
        <v>6.333333333333333</v>
      </c>
      <c r="O5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13.633333333333331</v>
      </c>
    </row>
    <row r="506" spans="1:15" ht="12.75" customHeight="1" x14ac:dyDescent="0.25">
      <c r="A506" s="15">
        <v>33063063493</v>
      </c>
      <c r="B506" s="16" t="str">
        <f>VLOOKUP(Projeção[[#This Row],[Código]],BD_Produto[#All],6,FALSE)</f>
        <v>Leitz, Pasta com Elástico A4 Prestige Preto - PN:4608-00-95</v>
      </c>
      <c r="C506" s="130">
        <v>4.5</v>
      </c>
      <c r="D506" s="130">
        <v>4.2</v>
      </c>
      <c r="E506" s="130">
        <v>1.4000000000000001</v>
      </c>
      <c r="F506" s="130">
        <v>3.566666666666666</v>
      </c>
      <c r="G506" s="130">
        <v>1.1666666666666667</v>
      </c>
      <c r="H506" s="130">
        <v>1.1666666666666667</v>
      </c>
      <c r="I506" s="130">
        <v>0.96666666666666679</v>
      </c>
      <c r="J506" s="130">
        <v>0.5</v>
      </c>
      <c r="K506" s="130">
        <v>1.1666666666666667</v>
      </c>
      <c r="L506" s="130">
        <v>0.5</v>
      </c>
      <c r="M506" s="130">
        <v>0.5</v>
      </c>
      <c r="N506" s="130">
        <v>5.1666666666666661</v>
      </c>
      <c r="O5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20.399999999999999</v>
      </c>
    </row>
    <row r="507" spans="1:15" ht="15" customHeight="1" x14ac:dyDescent="0.25">
      <c r="A507" s="15">
        <v>33063063515</v>
      </c>
      <c r="B507" s="16" t="str">
        <f>VLOOKUP(Projeção[[#This Row],[Código]],BD_Produto[#All],6,FALSE)</f>
        <v>Leitz, Pasta com Elástico Larga Bebop Azul - PN:4568-00-37</v>
      </c>
      <c r="C507" s="130">
        <v>0.79999999999999993</v>
      </c>
      <c r="D507" s="130">
        <v>0.79999999999999993</v>
      </c>
      <c r="E507" s="130">
        <v>0.13333333333333333</v>
      </c>
      <c r="F507" s="130">
        <v>0</v>
      </c>
      <c r="G507" s="130">
        <v>1.7</v>
      </c>
      <c r="H507" s="130">
        <v>0.5</v>
      </c>
      <c r="I507" s="130">
        <v>0</v>
      </c>
      <c r="J507" s="130">
        <v>0.5</v>
      </c>
      <c r="K507" s="130">
        <v>0.5</v>
      </c>
      <c r="L507" s="130">
        <v>9.9999999999999992E-2</v>
      </c>
      <c r="M507" s="130">
        <v>0.3</v>
      </c>
      <c r="N507" s="130">
        <v>3.5999999999999996</v>
      </c>
      <c r="O5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9.6666666666666661</v>
      </c>
    </row>
    <row r="508" spans="1:15" ht="15" customHeight="1" x14ac:dyDescent="0.25">
      <c r="A508" s="15">
        <v>33063063517</v>
      </c>
      <c r="B508" s="16" t="str">
        <f>VLOOKUP(Projeção[[#This Row],[Código]],BD_Produto[#All],6,FALSE)</f>
        <v>Leitz, Pasta com Elástico Larga Bebop Branca - PN:4568-00-01</v>
      </c>
      <c r="C508" s="130">
        <v>3.4999999999999996</v>
      </c>
      <c r="D508" s="130">
        <v>1.5</v>
      </c>
      <c r="E508" s="130">
        <v>0.83333333333333337</v>
      </c>
      <c r="F508" s="130">
        <v>0.16666666666666666</v>
      </c>
      <c r="G508" s="130">
        <v>1.8666666666666667</v>
      </c>
      <c r="H508" s="130">
        <v>0.66666666666666652</v>
      </c>
      <c r="I508" s="130">
        <v>0.16666666666666666</v>
      </c>
      <c r="J508" s="130">
        <v>0.66666666666666652</v>
      </c>
      <c r="K508" s="130">
        <v>0.66666666666666652</v>
      </c>
      <c r="L508" s="130">
        <v>0.26666666666666666</v>
      </c>
      <c r="M508" s="130">
        <v>0.46666666666666656</v>
      </c>
      <c r="N508" s="130">
        <v>3.7666666666666666</v>
      </c>
      <c r="O5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8.1666666666666679</v>
      </c>
    </row>
    <row r="509" spans="1:15" ht="15" customHeight="1" x14ac:dyDescent="0.25">
      <c r="A509" s="15">
        <v>33063063516</v>
      </c>
      <c r="B509" s="16" t="str">
        <f>VLOOKUP(Projeção[[#This Row],[Código]],BD_Produto[#All],6,FALSE)</f>
        <v>Leitz, Pasta com Elástico Larga Bebop Laranja - PN:4568-00-45</v>
      </c>
      <c r="C509" s="130">
        <v>0.66666666666666663</v>
      </c>
      <c r="D509" s="130">
        <v>0.66666666666666663</v>
      </c>
      <c r="E509" s="130">
        <v>0</v>
      </c>
      <c r="F509" s="130">
        <v>0</v>
      </c>
      <c r="G509" s="130">
        <v>1.7</v>
      </c>
      <c r="H509" s="130">
        <v>0.5</v>
      </c>
      <c r="I509" s="130">
        <v>0</v>
      </c>
      <c r="J509" s="130">
        <v>0.5</v>
      </c>
      <c r="K509" s="130">
        <v>0.5</v>
      </c>
      <c r="L509" s="130">
        <v>9.9999999999999992E-2</v>
      </c>
      <c r="M509" s="130">
        <v>0.3</v>
      </c>
      <c r="N509" s="130">
        <v>3.5999999999999996</v>
      </c>
      <c r="O5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</v>
      </c>
    </row>
    <row r="510" spans="1:15" ht="15" customHeight="1" x14ac:dyDescent="0.25">
      <c r="A510" s="15">
        <v>33063063518</v>
      </c>
      <c r="B510" s="16" t="str">
        <f>VLOOKUP(Projeção[[#This Row],[Código]],BD_Produto[#All],6,FALSE)</f>
        <v>Leitz, Pasta com Elástico Larga Bebop Preta - PN:4568-00-95</v>
      </c>
      <c r="C510" s="130">
        <v>7.3666666666666654</v>
      </c>
      <c r="D510" s="130">
        <v>5.8666666666666663</v>
      </c>
      <c r="E510" s="130">
        <v>4</v>
      </c>
      <c r="F510" s="130">
        <v>3.4666666666666663</v>
      </c>
      <c r="G510" s="130">
        <v>4.3666666666666663</v>
      </c>
      <c r="H510" s="130">
        <v>2.8666666666666667</v>
      </c>
      <c r="I510" s="130">
        <v>2.2666666666666662</v>
      </c>
      <c r="J510" s="130">
        <v>2.7333333333333329</v>
      </c>
      <c r="K510" s="130">
        <v>2.8666666666666667</v>
      </c>
      <c r="L510" s="130">
        <v>0.5</v>
      </c>
      <c r="M510" s="130">
        <v>0.70000000000000007</v>
      </c>
      <c r="N510" s="130">
        <v>4</v>
      </c>
      <c r="O5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7.3333333333333321</v>
      </c>
    </row>
    <row r="511" spans="1:15" ht="15" customHeight="1" x14ac:dyDescent="0.25">
      <c r="A511" s="15">
        <v>33063063514</v>
      </c>
      <c r="B511" s="16" t="str">
        <f>VLOOKUP(Projeção[[#This Row],[Código]],BD_Produto[#All],6,FALSE)</f>
        <v>Leitz, Pasta com Elástico Larga Bebop Vermelha - PN:4568-00-25</v>
      </c>
      <c r="C511" s="130">
        <v>5.3666666666666663</v>
      </c>
      <c r="D511" s="130">
        <v>3.8666666666666663</v>
      </c>
      <c r="E511" s="130">
        <v>2</v>
      </c>
      <c r="F511" s="130">
        <v>3.1999999999999997</v>
      </c>
      <c r="G511" s="130">
        <v>2.9000000000000004</v>
      </c>
      <c r="H511" s="130">
        <v>1.7</v>
      </c>
      <c r="I511" s="130">
        <v>1.0999999999999999</v>
      </c>
      <c r="J511" s="130">
        <v>1</v>
      </c>
      <c r="K511" s="130">
        <v>1.7</v>
      </c>
      <c r="L511" s="130">
        <v>0.6</v>
      </c>
      <c r="M511" s="130">
        <v>0.79999999999999993</v>
      </c>
      <c r="N511" s="130">
        <v>4.0999999999999996</v>
      </c>
      <c r="O5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</v>
      </c>
    </row>
    <row r="512" spans="1:15" ht="15" customHeight="1" x14ac:dyDescent="0.25">
      <c r="A512" s="15">
        <v>33063063519</v>
      </c>
      <c r="B512" s="16" t="str">
        <f>VLOOKUP(Projeção[[#This Row],[Código]],BD_Produto[#All],6,FALSE)</f>
        <v>Leitz, Pasta com Elástico Larga Prestige Azul Marinho - PN:4609-00-35</v>
      </c>
      <c r="C512" s="130">
        <v>3.7666666666666666</v>
      </c>
      <c r="D512" s="130">
        <v>3.1999999999999997</v>
      </c>
      <c r="E512" s="130">
        <v>1.3333333333333333</v>
      </c>
      <c r="F512" s="130">
        <v>1.9333333333333336</v>
      </c>
      <c r="G512" s="130">
        <v>0.73333333333333339</v>
      </c>
      <c r="H512" s="130">
        <v>0.73333333333333339</v>
      </c>
      <c r="I512" s="130">
        <v>0.6333333333333333</v>
      </c>
      <c r="J512" s="130">
        <v>0.96666666666666679</v>
      </c>
      <c r="K512" s="130">
        <v>0.73333333333333339</v>
      </c>
      <c r="L512" s="130">
        <v>0.96666666666666679</v>
      </c>
      <c r="M512" s="130">
        <v>0.76666666666666672</v>
      </c>
      <c r="N512" s="130">
        <v>4.0999999999999996</v>
      </c>
      <c r="O5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0.5</v>
      </c>
    </row>
    <row r="513" spans="1:15" ht="15" customHeight="1" x14ac:dyDescent="0.25">
      <c r="A513" s="15">
        <v>33063063520</v>
      </c>
      <c r="B513" s="16" t="str">
        <f>VLOOKUP(Projeção[[#This Row],[Código]],BD_Produto[#All],6,FALSE)</f>
        <v>Leitz, Pasta com Elástico Larga Prestige Mogno - PN:4609-00-76</v>
      </c>
      <c r="C513" s="130">
        <v>2.9666666666666663</v>
      </c>
      <c r="D513" s="130">
        <v>1.3666666666666669</v>
      </c>
      <c r="E513" s="130">
        <v>0.70000000000000007</v>
      </c>
      <c r="F513" s="130">
        <v>0.73333333333333328</v>
      </c>
      <c r="G513" s="130">
        <v>0.3</v>
      </c>
      <c r="H513" s="130">
        <v>0.3</v>
      </c>
      <c r="I513" s="130">
        <v>0.3</v>
      </c>
      <c r="J513" s="130">
        <v>0.33333333333333326</v>
      </c>
      <c r="K513" s="130">
        <v>0.3</v>
      </c>
      <c r="L513" s="130">
        <v>0.33333333333333326</v>
      </c>
      <c r="M513" s="130">
        <v>0.26666666666666666</v>
      </c>
      <c r="N513" s="130">
        <v>3.7666666666666666</v>
      </c>
      <c r="O5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7.5333333333333332</v>
      </c>
    </row>
    <row r="514" spans="1:15" ht="15" customHeight="1" x14ac:dyDescent="0.25">
      <c r="A514" s="15">
        <v>33063063521</v>
      </c>
      <c r="B514" s="16" t="str">
        <f>VLOOKUP(Projeção[[#This Row],[Código]],BD_Produto[#All],6,FALSE)</f>
        <v>Leitz, Pasta com Elástico Larga Prestige Preto - PN:4609-00-95</v>
      </c>
      <c r="C514" s="130">
        <v>23.133333333333333</v>
      </c>
      <c r="D514" s="130">
        <v>24.533333333333335</v>
      </c>
      <c r="E514" s="130">
        <v>11.866666666666667</v>
      </c>
      <c r="F514" s="130">
        <v>6.666666666666667</v>
      </c>
      <c r="G514" s="130">
        <v>2.4</v>
      </c>
      <c r="H514" s="130">
        <v>2.4</v>
      </c>
      <c r="I514" s="130">
        <v>2.4</v>
      </c>
      <c r="J514" s="130">
        <v>2.5666666666666664</v>
      </c>
      <c r="K514" s="130">
        <v>2.4</v>
      </c>
      <c r="L514" s="130">
        <v>2.4666666666666663</v>
      </c>
      <c r="M514" s="130">
        <v>2.4</v>
      </c>
      <c r="N514" s="130">
        <v>5.9</v>
      </c>
      <c r="O5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1.9</v>
      </c>
    </row>
    <row r="515" spans="1:15" ht="15" customHeight="1" x14ac:dyDescent="0.25">
      <c r="A515" s="15">
        <v>33063063523</v>
      </c>
      <c r="B515" s="16" t="str">
        <f>VLOOKUP(Projeção[[#This Row],[Código]],BD_Produto[#All],6,FALSE)</f>
        <v>Leitz, Pasta Congresso Azul - PN:4580-00-37</v>
      </c>
      <c r="C515" s="130">
        <v>4.6333333333333329</v>
      </c>
      <c r="D515" s="130">
        <v>1.8333333333333335</v>
      </c>
      <c r="E515" s="130">
        <v>1.1666666666666667</v>
      </c>
      <c r="F515" s="130">
        <v>0.23333333333333334</v>
      </c>
      <c r="G515" s="130">
        <v>1.3666666666666665</v>
      </c>
      <c r="H515" s="130">
        <v>0.56666666666666654</v>
      </c>
      <c r="I515" s="130">
        <v>0.13333333333333333</v>
      </c>
      <c r="J515" s="130">
        <v>0.56666666666666654</v>
      </c>
      <c r="K515" s="130">
        <v>0.56666666666666654</v>
      </c>
      <c r="L515" s="130">
        <v>0.46666666666666667</v>
      </c>
      <c r="M515" s="130">
        <v>0.66666666666666652</v>
      </c>
      <c r="N515" s="130">
        <v>3.4333333333333327</v>
      </c>
      <c r="O5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516" spans="1:15" ht="15" customHeight="1" x14ac:dyDescent="0.25">
      <c r="A516" s="15">
        <v>33063063524</v>
      </c>
      <c r="B516" s="16" t="str">
        <f>VLOOKUP(Projeção[[#This Row],[Código]],BD_Produto[#All],6,FALSE)</f>
        <v>Leitz, Pasta Congresso Laranja - PN:4580-00-45</v>
      </c>
      <c r="C516" s="130">
        <v>0.66666666666666663</v>
      </c>
      <c r="D516" s="130">
        <v>0.66666666666666663</v>
      </c>
      <c r="E516" s="130">
        <v>0</v>
      </c>
      <c r="F516" s="130">
        <v>0</v>
      </c>
      <c r="G516" s="130">
        <v>2.2666666666666662</v>
      </c>
      <c r="H516" s="130">
        <v>0.66666666666666652</v>
      </c>
      <c r="I516" s="130">
        <v>0</v>
      </c>
      <c r="J516" s="130">
        <v>0.66666666666666652</v>
      </c>
      <c r="K516" s="130">
        <v>0.66666666666666652</v>
      </c>
      <c r="L516" s="130">
        <v>0.13333333333333333</v>
      </c>
      <c r="M516" s="130">
        <v>0.39999999999999997</v>
      </c>
      <c r="N516" s="130">
        <v>3.1666666666666665</v>
      </c>
      <c r="O5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0.43333333333333329</v>
      </c>
    </row>
    <row r="517" spans="1:15" ht="15" customHeight="1" x14ac:dyDescent="0.25">
      <c r="A517" s="15">
        <v>33063063522</v>
      </c>
      <c r="B517" s="16" t="str">
        <f>VLOOKUP(Projeção[[#This Row],[Código]],BD_Produto[#All],6,FALSE)</f>
        <v>Leitz, Pasta Congresso Vermelho - PN:4580-00-25</v>
      </c>
      <c r="C517" s="130">
        <v>0.83333333333333337</v>
      </c>
      <c r="D517" s="130">
        <v>2.3666666666666667</v>
      </c>
      <c r="E517" s="130">
        <v>0.5</v>
      </c>
      <c r="F517" s="130">
        <v>0.5</v>
      </c>
      <c r="G517" s="130">
        <v>1.2333333333333332</v>
      </c>
      <c r="H517" s="130">
        <v>0.43333333333333329</v>
      </c>
      <c r="I517" s="130">
        <v>0</v>
      </c>
      <c r="J517" s="130">
        <v>0.43333333333333329</v>
      </c>
      <c r="K517" s="130">
        <v>0.43333333333333329</v>
      </c>
      <c r="L517" s="130">
        <v>0.16666666666666666</v>
      </c>
      <c r="M517" s="130">
        <v>0.3</v>
      </c>
      <c r="N517" s="130">
        <v>3.1999999999999997</v>
      </c>
      <c r="O5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0.43333333333333329</v>
      </c>
    </row>
    <row r="518" spans="1:15" ht="15" customHeight="1" x14ac:dyDescent="0.25">
      <c r="A518" s="15">
        <v>33063063606</v>
      </c>
      <c r="B518" s="16" t="str">
        <f>VLOOKUP(Projeção[[#This Row],[Código]],BD_Produto[#All],6,FALSE)</f>
        <v>Leitz, Pasta Estreita Re:cycle - PN:4622-00-69</v>
      </c>
      <c r="C518" s="130">
        <v>0</v>
      </c>
      <c r="D518" s="130">
        <v>0</v>
      </c>
      <c r="E518" s="130">
        <v>0</v>
      </c>
      <c r="F518" s="130">
        <v>0</v>
      </c>
      <c r="G518" s="130">
        <v>0</v>
      </c>
      <c r="H518" s="130">
        <v>0</v>
      </c>
      <c r="I518" s="130">
        <v>0</v>
      </c>
      <c r="J518" s="130">
        <v>0</v>
      </c>
      <c r="K518" s="130">
        <v>0</v>
      </c>
      <c r="L518" s="130">
        <v>0</v>
      </c>
      <c r="M518" s="130">
        <v>0</v>
      </c>
      <c r="N518" s="130">
        <v>0</v>
      </c>
      <c r="O5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19" spans="1:15" ht="15" customHeight="1" x14ac:dyDescent="0.25">
      <c r="A519" s="15">
        <v>33063063476</v>
      </c>
      <c r="B519" s="16" t="str">
        <f>VLOOKUP(Projeção[[#This Row],[Código]],BD_Produto[#All],6,FALSE)</f>
        <v>Leitz, Pasta Fichário A4 Bebop Azul - PN:4236-00-37</v>
      </c>
      <c r="C519" s="130">
        <v>0.76666666666666672</v>
      </c>
      <c r="D519" s="130">
        <v>0.76666666666666672</v>
      </c>
      <c r="E519" s="130">
        <v>0.76666666666666672</v>
      </c>
      <c r="F519" s="130">
        <v>1.2999999999999998</v>
      </c>
      <c r="G519" s="130">
        <v>0.86666666666666659</v>
      </c>
      <c r="H519" s="130">
        <v>0.83333333333333337</v>
      </c>
      <c r="I519" s="130">
        <v>0.83333333333333337</v>
      </c>
      <c r="J519" s="130">
        <v>0.19999999999999998</v>
      </c>
      <c r="K519" s="130">
        <v>0.83333333333333337</v>
      </c>
      <c r="L519" s="130">
        <v>0.19999999999999998</v>
      </c>
      <c r="M519" s="130">
        <v>0.13333333333333333</v>
      </c>
      <c r="N519" s="130">
        <v>2.6999999999999993</v>
      </c>
      <c r="O5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0.73333333333333339</v>
      </c>
    </row>
    <row r="520" spans="1:15" ht="15" customHeight="1" x14ac:dyDescent="0.25">
      <c r="A520" s="15">
        <v>33063063477</v>
      </c>
      <c r="B520" s="16" t="str">
        <f>VLOOKUP(Projeção[[#This Row],[Código]],BD_Produto[#All],6,FALSE)</f>
        <v>Leitz, Pasta Fichário A4 Bebop Laranja - PN:4236-00-45</v>
      </c>
      <c r="C520" s="130">
        <v>3.4999999999999996</v>
      </c>
      <c r="D520" s="130">
        <v>1.5</v>
      </c>
      <c r="E520" s="130">
        <v>1.5</v>
      </c>
      <c r="F520" s="130">
        <v>1.9666666666666663</v>
      </c>
      <c r="G520" s="130">
        <v>4</v>
      </c>
      <c r="H520" s="130">
        <v>2</v>
      </c>
      <c r="I520" s="130">
        <v>2</v>
      </c>
      <c r="J520" s="130">
        <v>1.0666666666666667</v>
      </c>
      <c r="K520" s="130">
        <v>2</v>
      </c>
      <c r="L520" s="130">
        <v>0.39999999999999997</v>
      </c>
      <c r="M520" s="130">
        <v>0.73333333333333339</v>
      </c>
      <c r="N520" s="130">
        <v>0.39999999999999997</v>
      </c>
      <c r="O5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21" spans="1:15" ht="15" customHeight="1" x14ac:dyDescent="0.25">
      <c r="A521" s="15">
        <v>33063063475</v>
      </c>
      <c r="B521" s="16" t="str">
        <f>VLOOKUP(Projeção[[#This Row],[Código]],BD_Produto[#All],6,FALSE)</f>
        <v>Leitz, Pasta Fichário A4 Bebop Vermelho - PN:4236-00-25</v>
      </c>
      <c r="C521" s="130">
        <v>0.86666666666666659</v>
      </c>
      <c r="D521" s="130">
        <v>0.73333333333333328</v>
      </c>
      <c r="E521" s="130">
        <v>0.70000000000000007</v>
      </c>
      <c r="F521" s="130">
        <v>1.2666666666666666</v>
      </c>
      <c r="G521" s="130">
        <v>0.86666666666666659</v>
      </c>
      <c r="H521" s="130">
        <v>0.86666666666666659</v>
      </c>
      <c r="I521" s="130">
        <v>0.86666666666666659</v>
      </c>
      <c r="J521" s="130">
        <v>6.6666666666666666E-2</v>
      </c>
      <c r="K521" s="130">
        <v>0.86666666666666659</v>
      </c>
      <c r="L521" s="130">
        <v>6.6666666666666666E-2</v>
      </c>
      <c r="M521" s="130">
        <v>6.6666666666666666E-2</v>
      </c>
      <c r="N521" s="130">
        <v>2.3666666666666667</v>
      </c>
      <c r="O5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3.2333333333333329</v>
      </c>
    </row>
    <row r="522" spans="1:15" ht="15" customHeight="1" x14ac:dyDescent="0.25">
      <c r="A522" s="15">
        <v>33063063934</v>
      </c>
      <c r="B522" s="16" t="str">
        <f>VLOOKUP(Projeção[[#This Row],[Código]],BD_Produto[#All],6,FALSE)</f>
        <v>Leitz, Pasta Fichário Flash &amp; Nature A4 p/ 280 fls c/ Softclick – Berinjela c/amarelo PN: 4229-00-67</v>
      </c>
      <c r="C522" s="130">
        <v>13.533333333333331</v>
      </c>
      <c r="D522" s="130">
        <v>13.9</v>
      </c>
      <c r="E522" s="130">
        <v>7.3333333333333321</v>
      </c>
      <c r="F522" s="130">
        <v>24.566666666666666</v>
      </c>
      <c r="G522" s="130">
        <v>33.233333333333327</v>
      </c>
      <c r="H522" s="130">
        <v>15.866666666666667</v>
      </c>
      <c r="I522" s="130">
        <v>12.166666666666666</v>
      </c>
      <c r="J522" s="130">
        <v>11.299999999999999</v>
      </c>
      <c r="K522" s="130">
        <v>15.866666666666667</v>
      </c>
      <c r="L522" s="130">
        <v>4.9333333333333336</v>
      </c>
      <c r="M522" s="130">
        <v>7.7</v>
      </c>
      <c r="N522" s="130">
        <v>8.4333333333333336</v>
      </c>
      <c r="O5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2.2333333333333329</v>
      </c>
    </row>
    <row r="523" spans="1:15" ht="15" customHeight="1" x14ac:dyDescent="0.25">
      <c r="A523" s="15">
        <v>33063063933</v>
      </c>
      <c r="B523" s="16" t="str">
        <f>VLOOKUP(Projeção[[#This Row],[Código]],BD_Produto[#All],6,FALSE)</f>
        <v>Leitz, Pasta Fichário Flash &amp; Nature A4 p/ 280 fls c/ Softclick – Berinjela c/pink PN: 4228-00-67</v>
      </c>
      <c r="C523" s="130">
        <v>20.233333333333331</v>
      </c>
      <c r="D523" s="130">
        <v>18.599999999999998</v>
      </c>
      <c r="E523" s="130">
        <v>11.7</v>
      </c>
      <c r="F523" s="130">
        <v>55.733333333333341</v>
      </c>
      <c r="G523" s="130">
        <v>52.5</v>
      </c>
      <c r="H523" s="130">
        <v>28.9</v>
      </c>
      <c r="I523" s="130">
        <v>23.933333333333334</v>
      </c>
      <c r="J523" s="130">
        <v>18.033333333333331</v>
      </c>
      <c r="K523" s="130">
        <v>28.9</v>
      </c>
      <c r="L523" s="130">
        <v>8.9</v>
      </c>
      <c r="M523" s="130">
        <v>14.533333333333335</v>
      </c>
      <c r="N523" s="130">
        <v>15.666666666666666</v>
      </c>
      <c r="O5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22.566666666666666</v>
      </c>
    </row>
    <row r="524" spans="1:15" ht="15" customHeight="1" x14ac:dyDescent="0.25">
      <c r="A524" s="15">
        <v>33063063931</v>
      </c>
      <c r="B524" s="16" t="str">
        <f>VLOOKUP(Projeção[[#This Row],[Código]],BD_Produto[#All],6,FALSE)</f>
        <v>Leitz, Pasta Fichário Flash &amp; Nature, A4 p/ 280 fls c/ Softclick - Amarelo PN:4229-00-15</v>
      </c>
      <c r="C524" s="130">
        <v>6.7666666666666657</v>
      </c>
      <c r="D524" s="130">
        <v>4.2666666666666666</v>
      </c>
      <c r="E524" s="130">
        <v>2.9333333333333331</v>
      </c>
      <c r="F524" s="130">
        <v>16.466666666666669</v>
      </c>
      <c r="G524" s="130">
        <v>17.5</v>
      </c>
      <c r="H524" s="130">
        <v>8.966666666666665</v>
      </c>
      <c r="I524" s="130">
        <v>7.0333333333333341</v>
      </c>
      <c r="J524" s="130">
        <v>5.4999999999999991</v>
      </c>
      <c r="K524" s="130">
        <v>8.966666666666665</v>
      </c>
      <c r="L524" s="130">
        <v>2.5333333333333332</v>
      </c>
      <c r="M524" s="130">
        <v>3.7666666666666671</v>
      </c>
      <c r="N524" s="130">
        <v>5.2333333333333325</v>
      </c>
      <c r="O5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4.7666666666666657</v>
      </c>
    </row>
    <row r="525" spans="1:15" ht="15" customHeight="1" x14ac:dyDescent="0.25">
      <c r="A525" s="15">
        <v>33063063928</v>
      </c>
      <c r="B525" s="16" t="str">
        <f>VLOOKUP(Projeção[[#This Row],[Código]],BD_Produto[#All],6,FALSE)</f>
        <v>Leitz, Pasta Fichário Flash &amp; Nature, A4 p/ 280 fls c/ Softclick - Azul Escuro PN:4228-0039</v>
      </c>
      <c r="C525" s="130">
        <v>7.1999999999999993</v>
      </c>
      <c r="D525" s="130">
        <v>7.6333333333333329</v>
      </c>
      <c r="E525" s="130">
        <v>4.0666666666666673</v>
      </c>
      <c r="F525" s="130">
        <v>14.166666666666666</v>
      </c>
      <c r="G525" s="130">
        <v>18.733333333333334</v>
      </c>
      <c r="H525" s="130">
        <v>8.966666666666665</v>
      </c>
      <c r="I525" s="130">
        <v>6.6999999999999993</v>
      </c>
      <c r="J525" s="130">
        <v>6.1333333333333337</v>
      </c>
      <c r="K525" s="130">
        <v>8.966666666666665</v>
      </c>
      <c r="L525" s="130">
        <v>3.2666666666666671</v>
      </c>
      <c r="M525" s="130">
        <v>4.5666666666666664</v>
      </c>
      <c r="N525" s="130">
        <v>6.6999999999999993</v>
      </c>
      <c r="O5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7.8333333333333339</v>
      </c>
    </row>
    <row r="526" spans="1:15" ht="15" customHeight="1" x14ac:dyDescent="0.25">
      <c r="A526" s="15">
        <v>33063063929</v>
      </c>
      <c r="B526" s="16" t="str">
        <f>VLOOKUP(Projeção[[#This Row],[Código]],BD_Produto[#All],6,FALSE)</f>
        <v>Leitz, Pasta Fichário Flash &amp; Nature, A4 p/ 280 fls c/ Softclick - Azul PN:4229-00-35</v>
      </c>
      <c r="C526" s="130">
        <v>6.166666666666667</v>
      </c>
      <c r="D526" s="130">
        <v>7.9333333333333327</v>
      </c>
      <c r="E526" s="130">
        <v>3.9333333333333327</v>
      </c>
      <c r="F526" s="130">
        <v>13.433333333333332</v>
      </c>
      <c r="G526" s="130">
        <v>19.166666666666664</v>
      </c>
      <c r="H526" s="130">
        <v>9.7333333333333343</v>
      </c>
      <c r="I526" s="130">
        <v>7.5</v>
      </c>
      <c r="J526" s="130">
        <v>7.1333333333333346</v>
      </c>
      <c r="K526" s="130">
        <v>9.7333333333333343</v>
      </c>
      <c r="L526" s="130">
        <v>4.0999999999999996</v>
      </c>
      <c r="M526" s="130">
        <v>5.5666666666666655</v>
      </c>
      <c r="N526" s="130">
        <v>7.2666666666666675</v>
      </c>
      <c r="O5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2.9333333333333336</v>
      </c>
    </row>
    <row r="527" spans="1:15" ht="15" customHeight="1" x14ac:dyDescent="0.25">
      <c r="A527" s="15">
        <v>33063063927</v>
      </c>
      <c r="B527" s="16" t="str">
        <f>VLOOKUP(Projeção[[#This Row],[Código]],BD_Produto[#All],6,FALSE)</f>
        <v>Leitz, Pasta Fichário Flash &amp; Nature, A4 p/ 280 fls c/ Softclick - Cinza Escuro PN:4228-00-89</v>
      </c>
      <c r="C527" s="130">
        <v>13.03333333333333</v>
      </c>
      <c r="D527" s="130">
        <v>12.466666666666665</v>
      </c>
      <c r="E527" s="130">
        <v>6.7666666666666666</v>
      </c>
      <c r="F527" s="130">
        <v>22.466666666666665</v>
      </c>
      <c r="G527" s="130">
        <v>33.533333333333331</v>
      </c>
      <c r="H527" s="130">
        <v>15.066666666666666</v>
      </c>
      <c r="I527" s="130">
        <v>11.4</v>
      </c>
      <c r="J527" s="130">
        <v>10.9</v>
      </c>
      <c r="K527" s="130">
        <v>15.066666666666666</v>
      </c>
      <c r="L527" s="130">
        <v>4.8666666666666671</v>
      </c>
      <c r="M527" s="130">
        <v>8.6</v>
      </c>
      <c r="N527" s="130">
        <v>8.3000000000000007</v>
      </c>
      <c r="O5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3.5333333333333328</v>
      </c>
    </row>
    <row r="528" spans="1:15" ht="15" customHeight="1" x14ac:dyDescent="0.25">
      <c r="A528" s="15">
        <v>33063063926</v>
      </c>
      <c r="B528" s="16" t="str">
        <f>VLOOKUP(Projeção[[#This Row],[Código]],BD_Produto[#All],6,FALSE)</f>
        <v>Leitz, Pasta Fichário Flash &amp; Nature, A4 p/ 280 fls c/ Softclick – Ocre -PN : 4228-00-70</v>
      </c>
      <c r="C528" s="130">
        <v>3.9</v>
      </c>
      <c r="D528" s="130">
        <v>1.5</v>
      </c>
      <c r="E528" s="130">
        <v>1.5</v>
      </c>
      <c r="F528" s="130">
        <v>9.7666666666666639</v>
      </c>
      <c r="G528" s="130">
        <v>4.5666666666666664</v>
      </c>
      <c r="H528" s="130">
        <v>3.3666666666666663</v>
      </c>
      <c r="I528" s="130">
        <v>2.8666666666666667</v>
      </c>
      <c r="J528" s="130">
        <v>1.4000000000000001</v>
      </c>
      <c r="K528" s="130">
        <v>3.3666666666666663</v>
      </c>
      <c r="L528" s="130">
        <v>1</v>
      </c>
      <c r="M528" s="130">
        <v>2.2999999999999998</v>
      </c>
      <c r="N528" s="130">
        <v>4.2</v>
      </c>
      <c r="O5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5.2666666666666657</v>
      </c>
    </row>
    <row r="529" spans="1:15" ht="15" customHeight="1" x14ac:dyDescent="0.25">
      <c r="A529" s="15">
        <v>33063063930</v>
      </c>
      <c r="B529" s="16" t="str">
        <f>VLOOKUP(Projeção[[#This Row],[Código]],BD_Produto[#All],6,FALSE)</f>
        <v>Leitz, Pasta Fichário Flash &amp; Nature, A4 p/ 280 fls c/ Softclick - Pink PN:4229-00-22</v>
      </c>
      <c r="C529" s="130">
        <v>12.666666666666666</v>
      </c>
      <c r="D529" s="130">
        <v>13.166666666666668</v>
      </c>
      <c r="E529" s="130">
        <v>6.7666666666666666</v>
      </c>
      <c r="F529" s="130">
        <v>34.700000000000003</v>
      </c>
      <c r="G529" s="130">
        <v>36.466666666666669</v>
      </c>
      <c r="H529" s="130">
        <v>18.399999999999999</v>
      </c>
      <c r="I529" s="130">
        <v>14.566666666666665</v>
      </c>
      <c r="J529" s="130">
        <v>11.633333333333333</v>
      </c>
      <c r="K529" s="130">
        <v>18.399999999999999</v>
      </c>
      <c r="L529" s="130">
        <v>5.4333333333333327</v>
      </c>
      <c r="M529" s="130">
        <v>8.966666666666665</v>
      </c>
      <c r="N529" s="130">
        <v>9.7333333333333325</v>
      </c>
      <c r="O5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4.166666666666667</v>
      </c>
    </row>
    <row r="530" spans="1:15" ht="15" customHeight="1" x14ac:dyDescent="0.25">
      <c r="A530" s="15">
        <v>33063063932</v>
      </c>
      <c r="B530" s="16" t="str">
        <f>VLOOKUP(Projeção[[#This Row],[Código]],BD_Produto[#All],6,FALSE)</f>
        <v>Leitz, Pasta Fichário Flash &amp; Nature, A4 p/ 280 fls c/ Softclick - Sortidas PN:4229-00-99</v>
      </c>
      <c r="C530" s="130">
        <v>2.8333333333333335</v>
      </c>
      <c r="D530" s="130">
        <v>0.83333333333333337</v>
      </c>
      <c r="E530" s="130">
        <v>0.83333333333333337</v>
      </c>
      <c r="F530" s="130">
        <v>0.16666666666666666</v>
      </c>
      <c r="G530" s="130">
        <v>0.16666666666666666</v>
      </c>
      <c r="H530" s="130">
        <v>0.16666666666666666</v>
      </c>
      <c r="I530" s="130">
        <v>0</v>
      </c>
      <c r="J530" s="130">
        <v>0.16666666666666666</v>
      </c>
      <c r="K530" s="130">
        <v>0.16666666666666666</v>
      </c>
      <c r="L530" s="130">
        <v>0.33333333333333326</v>
      </c>
      <c r="M530" s="130">
        <v>0.39999999999999997</v>
      </c>
      <c r="N530" s="130">
        <v>3.4333333333333331</v>
      </c>
      <c r="O5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3.7333333333333334</v>
      </c>
    </row>
    <row r="531" spans="1:15" ht="15" customHeight="1" x14ac:dyDescent="0.25">
      <c r="A531" s="15">
        <v>33063063935</v>
      </c>
      <c r="B531" s="16" t="str">
        <f>VLOOKUP(Projeção[[#This Row],[Código]],BD_Produto[#All],6,FALSE)</f>
        <v>Leitz, Pasta Fichário Flash &amp; Nature, A4 p/ 280 fls c/ Softclick - Vermelho Acobreado PN:4228-00-48</v>
      </c>
      <c r="C531" s="130">
        <v>4.8</v>
      </c>
      <c r="D531" s="130">
        <v>2.4</v>
      </c>
      <c r="E531" s="130">
        <v>1.7333333333333336</v>
      </c>
      <c r="F531" s="130">
        <v>13.966666666666669</v>
      </c>
      <c r="G531" s="130">
        <v>12.9</v>
      </c>
      <c r="H531" s="130">
        <v>6.8999999999999995</v>
      </c>
      <c r="I531" s="130">
        <v>5.4333333333333327</v>
      </c>
      <c r="J531" s="130">
        <v>3.833333333333333</v>
      </c>
      <c r="K531" s="130">
        <v>6.8999999999999995</v>
      </c>
      <c r="L531" s="130">
        <v>1.7999999999999998</v>
      </c>
      <c r="M531" s="130">
        <v>3.8</v>
      </c>
      <c r="N531" s="130">
        <v>5.833333333333333</v>
      </c>
      <c r="O5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0.79999999999999993</v>
      </c>
    </row>
    <row r="532" spans="1:15" ht="15" customHeight="1" x14ac:dyDescent="0.25">
      <c r="A532" s="15">
        <v>33063063607</v>
      </c>
      <c r="B532" s="16" t="str">
        <f>VLOOKUP(Projeção[[#This Row],[Código]],BD_Produto[#All],6,FALSE)</f>
        <v>Leitz, Pasta Larga Re:cycle - PN:4623-00-69</v>
      </c>
      <c r="C532" s="130">
        <v>0</v>
      </c>
      <c r="D532" s="130">
        <v>0</v>
      </c>
      <c r="E532" s="130">
        <v>0</v>
      </c>
      <c r="F532" s="130">
        <v>0</v>
      </c>
      <c r="G532" s="130">
        <v>0</v>
      </c>
      <c r="H532" s="130">
        <v>0</v>
      </c>
      <c r="I532" s="130">
        <v>0</v>
      </c>
      <c r="J532" s="130">
        <v>0</v>
      </c>
      <c r="K532" s="130">
        <v>0</v>
      </c>
      <c r="L532" s="130">
        <v>0</v>
      </c>
      <c r="M532" s="130">
        <v>0</v>
      </c>
      <c r="N532" s="130">
        <v>0</v>
      </c>
      <c r="O5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33" spans="1:15" ht="15" customHeight="1" x14ac:dyDescent="0.25">
      <c r="A533" s="15">
        <v>33063063468</v>
      </c>
      <c r="B533" s="16" t="str">
        <f>VLOOKUP(Projeção[[#This Row],[Código]],BD_Produto[#All],6,FALSE)</f>
        <v>Leitz, Pasta Organizadora A4 Bebop LE - Azul - PN:1048-00-37</v>
      </c>
      <c r="C533" s="130">
        <v>0</v>
      </c>
      <c r="D533" s="130">
        <v>0</v>
      </c>
      <c r="E533" s="130">
        <v>0</v>
      </c>
      <c r="F533" s="130">
        <v>0</v>
      </c>
      <c r="G533" s="130">
        <v>0</v>
      </c>
      <c r="H533" s="130">
        <v>0</v>
      </c>
      <c r="I533" s="130">
        <v>0</v>
      </c>
      <c r="J533" s="130">
        <v>0</v>
      </c>
      <c r="K533" s="130">
        <v>0</v>
      </c>
      <c r="L533" s="130">
        <v>0</v>
      </c>
      <c r="M533" s="130">
        <v>0</v>
      </c>
      <c r="N533" s="130">
        <v>0</v>
      </c>
      <c r="O5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4.7333333333333334</v>
      </c>
    </row>
    <row r="534" spans="1:15" ht="15" customHeight="1" x14ac:dyDescent="0.25">
      <c r="A534" s="15">
        <v>33063063470</v>
      </c>
      <c r="B534" s="16" t="str">
        <f>VLOOKUP(Projeção[[#This Row],[Código]],BD_Produto[#All],6,FALSE)</f>
        <v>Leitz, Pasta Organizadora A4 Bebop LE - Branca - PN:1048-00-01</v>
      </c>
      <c r="C534" s="130">
        <v>0.36666666666666664</v>
      </c>
      <c r="D534" s="130">
        <v>0.36666666666666664</v>
      </c>
      <c r="E534" s="130">
        <v>0.36666666666666664</v>
      </c>
      <c r="F534" s="130">
        <v>6.0333333333333332</v>
      </c>
      <c r="G534" s="130">
        <v>2.0333333333333337</v>
      </c>
      <c r="H534" s="130">
        <v>2.0333333333333337</v>
      </c>
      <c r="I534" s="130">
        <v>2.0333333333333337</v>
      </c>
      <c r="J534" s="130">
        <v>0.70000000000000007</v>
      </c>
      <c r="K534" s="130">
        <v>2.0333333333333337</v>
      </c>
      <c r="L534" s="130">
        <v>0.66666666666666663</v>
      </c>
      <c r="M534" s="130">
        <v>0.33333333333333331</v>
      </c>
      <c r="N534" s="130">
        <v>5</v>
      </c>
      <c r="O5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5.3666666666666663</v>
      </c>
    </row>
    <row r="535" spans="1:15" ht="15" customHeight="1" x14ac:dyDescent="0.25">
      <c r="A535" s="15">
        <v>33063063469</v>
      </c>
      <c r="B535" s="16" t="str">
        <f>VLOOKUP(Projeção[[#This Row],[Código]],BD_Produto[#All],6,FALSE)</f>
        <v>Leitz, Pasta Organizadora A4 Bebop LE - Laranja - PN:1048-00-45</v>
      </c>
      <c r="C535" s="130">
        <v>0</v>
      </c>
      <c r="D535" s="130">
        <v>0</v>
      </c>
      <c r="E535" s="130">
        <v>0</v>
      </c>
      <c r="F535" s="130">
        <v>0</v>
      </c>
      <c r="G535" s="130">
        <v>0</v>
      </c>
      <c r="H535" s="130">
        <v>0</v>
      </c>
      <c r="I535" s="130">
        <v>0</v>
      </c>
      <c r="J535" s="130">
        <v>0</v>
      </c>
      <c r="K535" s="130">
        <v>0</v>
      </c>
      <c r="L535" s="130">
        <v>0</v>
      </c>
      <c r="M535" s="130">
        <v>0</v>
      </c>
      <c r="N535" s="130">
        <v>4.6666666666666661</v>
      </c>
      <c r="O5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3.0666666666666664</v>
      </c>
    </row>
    <row r="536" spans="1:15" ht="15" customHeight="1" x14ac:dyDescent="0.25">
      <c r="A536" s="15">
        <v>33063063471</v>
      </c>
      <c r="B536" s="16" t="str">
        <f>VLOOKUP(Projeção[[#This Row],[Código]],BD_Produto[#All],6,FALSE)</f>
        <v>Leitz, Pasta Organizadora A4 Bebop LE - Preta - PN:1048-00-95</v>
      </c>
      <c r="C536" s="130">
        <v>5.666666666666667</v>
      </c>
      <c r="D536" s="130">
        <v>1.6666666666666667</v>
      </c>
      <c r="E536" s="130">
        <v>1.6666666666666667</v>
      </c>
      <c r="F536" s="130">
        <v>0.33333333333333331</v>
      </c>
      <c r="G536" s="130">
        <v>0.33333333333333331</v>
      </c>
      <c r="H536" s="130">
        <v>3.666666666666667</v>
      </c>
      <c r="I536" s="130">
        <v>3.666666666666667</v>
      </c>
      <c r="J536" s="130">
        <v>3.666666666666667</v>
      </c>
      <c r="K536" s="130">
        <v>3.666666666666667</v>
      </c>
      <c r="L536" s="130">
        <v>1</v>
      </c>
      <c r="M536" s="130">
        <v>2.3333333333333335</v>
      </c>
      <c r="N536" s="130">
        <v>6.9999999999999991</v>
      </c>
      <c r="O5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3.0666666666666664</v>
      </c>
    </row>
    <row r="537" spans="1:15" ht="15" customHeight="1" x14ac:dyDescent="0.25">
      <c r="A537" s="15">
        <v>33063063467</v>
      </c>
      <c r="B537" s="16" t="str">
        <f>VLOOKUP(Projeção[[#This Row],[Código]],BD_Produto[#All],6,FALSE)</f>
        <v>Leitz, Pasta Organizadora A4 Bebop LE - Vermelho - PN:1048-00-25</v>
      </c>
      <c r="C537" s="130">
        <v>0.16666666666666666</v>
      </c>
      <c r="D537" s="130">
        <v>0.16666666666666666</v>
      </c>
      <c r="E537" s="130">
        <v>0.16666666666666666</v>
      </c>
      <c r="F537" s="130">
        <v>0.16666666666666666</v>
      </c>
      <c r="G537" s="130">
        <v>0.16666666666666666</v>
      </c>
      <c r="H537" s="130">
        <v>0.16666666666666666</v>
      </c>
      <c r="I537" s="130">
        <v>0.16666666666666666</v>
      </c>
      <c r="J537" s="130">
        <v>0</v>
      </c>
      <c r="K537" s="130">
        <v>0.16666666666666666</v>
      </c>
      <c r="L537" s="130">
        <v>0</v>
      </c>
      <c r="M537" s="130">
        <v>0</v>
      </c>
      <c r="N537" s="130">
        <v>4.6666666666666661</v>
      </c>
      <c r="O5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0.76666666666666672</v>
      </c>
    </row>
    <row r="538" spans="1:15" ht="15" customHeight="1" x14ac:dyDescent="0.25">
      <c r="A538" s="15">
        <v>33063063460</v>
      </c>
      <c r="B538" s="16" t="str">
        <f>VLOOKUP(Projeção[[#This Row],[Código]],BD_Produto[#All],6,FALSE)</f>
        <v>Leitz, Pasta Organizadora A4 Bebop LL - Azul - PN:1047-00-37</v>
      </c>
      <c r="C538" s="130">
        <v>0</v>
      </c>
      <c r="D538" s="130">
        <v>0</v>
      </c>
      <c r="E538" s="130">
        <v>0</v>
      </c>
      <c r="F538" s="130">
        <v>0</v>
      </c>
      <c r="G538" s="130">
        <v>0</v>
      </c>
      <c r="H538" s="130">
        <v>0</v>
      </c>
      <c r="I538" s="130">
        <v>0</v>
      </c>
      <c r="J538" s="130">
        <v>0</v>
      </c>
      <c r="K538" s="130">
        <v>0</v>
      </c>
      <c r="L538" s="130">
        <v>0.83333333333333337</v>
      </c>
      <c r="M538" s="130">
        <v>1.1666666666666665</v>
      </c>
      <c r="N538" s="130">
        <v>6.9999999999999991</v>
      </c>
      <c r="O5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11.1</v>
      </c>
    </row>
    <row r="539" spans="1:15" ht="15" customHeight="1" x14ac:dyDescent="0.25">
      <c r="A539" s="15">
        <v>33063063462</v>
      </c>
      <c r="B539" s="16" t="str">
        <f>VLOOKUP(Projeção[[#This Row],[Código]],BD_Produto[#All],6,FALSE)</f>
        <v>Leitz, Pasta Organizadora A4 Bebop LL - Branca - PN:1047-00-01</v>
      </c>
      <c r="C539" s="130">
        <v>2.9333333333333336</v>
      </c>
      <c r="D539" s="130">
        <v>0.93333333333333335</v>
      </c>
      <c r="E539" s="130">
        <v>0.93333333333333335</v>
      </c>
      <c r="F539" s="130">
        <v>6.5</v>
      </c>
      <c r="G539" s="130">
        <v>2.1</v>
      </c>
      <c r="H539" s="130">
        <v>2.1</v>
      </c>
      <c r="I539" s="130">
        <v>1.9666666666666663</v>
      </c>
      <c r="J539" s="130">
        <v>0.53333333333333333</v>
      </c>
      <c r="K539" s="130">
        <v>2.1</v>
      </c>
      <c r="L539" s="130">
        <v>0.53333333333333333</v>
      </c>
      <c r="M539" s="130">
        <v>0.53333333333333333</v>
      </c>
      <c r="N539" s="130">
        <v>6.3666666666666663</v>
      </c>
      <c r="O5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9.3666666666666671</v>
      </c>
    </row>
    <row r="540" spans="1:15" ht="15" customHeight="1" x14ac:dyDescent="0.25">
      <c r="A540" s="15">
        <v>33063063461</v>
      </c>
      <c r="B540" s="16" t="str">
        <f>VLOOKUP(Projeção[[#This Row],[Código]],BD_Produto[#All],6,FALSE)</f>
        <v>Leitz, Pasta Organizadora A4 Bebop LL - Laranja - PN:1047-00-45</v>
      </c>
      <c r="C540" s="130">
        <v>3.3333333333333333E-2</v>
      </c>
      <c r="D540" s="130">
        <v>3.3333333333333333E-2</v>
      </c>
      <c r="E540" s="130">
        <v>3.3333333333333333E-2</v>
      </c>
      <c r="F540" s="130">
        <v>0.6</v>
      </c>
      <c r="G540" s="130">
        <v>0.19999999999999998</v>
      </c>
      <c r="H540" s="130">
        <v>0.16666666666666663</v>
      </c>
      <c r="I540" s="130">
        <v>0</v>
      </c>
      <c r="J540" s="130">
        <v>3.3333333333333333E-2</v>
      </c>
      <c r="K540" s="130">
        <v>0.16666666666666663</v>
      </c>
      <c r="L540" s="130">
        <v>0.86666666666666681</v>
      </c>
      <c r="M540" s="130">
        <v>1.2</v>
      </c>
      <c r="N540" s="130">
        <v>7.0333333333333323</v>
      </c>
      <c r="O5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13.5</v>
      </c>
    </row>
    <row r="541" spans="1:15" ht="15" customHeight="1" x14ac:dyDescent="0.25">
      <c r="A541" s="15">
        <v>33063063463</v>
      </c>
      <c r="B541" s="16" t="str">
        <f>VLOOKUP(Projeção[[#This Row],[Código]],BD_Produto[#All],6,FALSE)</f>
        <v>Leitz, Pasta Organizadora A4 Bebop LL - Preta - PN:1047-00-95</v>
      </c>
      <c r="C541" s="130">
        <v>1.1333333333333331</v>
      </c>
      <c r="D541" s="130">
        <v>0.33333333333333326</v>
      </c>
      <c r="E541" s="130">
        <v>0.33333333333333326</v>
      </c>
      <c r="F541" s="130">
        <v>0.6333333333333333</v>
      </c>
      <c r="G541" s="130">
        <v>0.23333333333333328</v>
      </c>
      <c r="H541" s="130">
        <v>3.566666666666666</v>
      </c>
      <c r="I541" s="130">
        <v>3.4</v>
      </c>
      <c r="J541" s="130">
        <v>3.4333333333333331</v>
      </c>
      <c r="K541" s="130">
        <v>3.566666666666666</v>
      </c>
      <c r="L541" s="130">
        <v>1.5999999999999999</v>
      </c>
      <c r="M541" s="130">
        <v>3.2666666666666671</v>
      </c>
      <c r="N541" s="130">
        <v>9.1000000000000014</v>
      </c>
      <c r="O5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3.4999999999999996</v>
      </c>
    </row>
    <row r="542" spans="1:15" ht="15" customHeight="1" x14ac:dyDescent="0.25">
      <c r="A542" s="15">
        <v>33063063459</v>
      </c>
      <c r="B542" s="16" t="str">
        <f>VLOOKUP(Projeção[[#This Row],[Código]],BD_Produto[#All],6,FALSE)</f>
        <v>Leitz, Pasta Organizadora A4 Bebop LL - Vermelho - PN:1047-00-25</v>
      </c>
      <c r="C542" s="130">
        <v>2.8666666666666667</v>
      </c>
      <c r="D542" s="130">
        <v>0.86666666666666681</v>
      </c>
      <c r="E542" s="130">
        <v>0.86666666666666681</v>
      </c>
      <c r="F542" s="130">
        <v>0.73333333333333328</v>
      </c>
      <c r="G542" s="130">
        <v>0.33333333333333326</v>
      </c>
      <c r="H542" s="130">
        <v>0.33333333333333326</v>
      </c>
      <c r="I542" s="130">
        <v>0.26666666666666666</v>
      </c>
      <c r="J542" s="130">
        <v>0.19999999999999998</v>
      </c>
      <c r="K542" s="130">
        <v>0.33333333333333326</v>
      </c>
      <c r="L542" s="130">
        <v>1.0333333333333334</v>
      </c>
      <c r="M542" s="130">
        <v>1.3666666666666665</v>
      </c>
      <c r="N542" s="130">
        <v>7.1999999999999993</v>
      </c>
      <c r="O5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3.5999999999999996</v>
      </c>
    </row>
    <row r="543" spans="1:15" ht="15" customHeight="1" x14ac:dyDescent="0.25">
      <c r="A543" s="15">
        <v>33063063472</v>
      </c>
      <c r="B543" s="16" t="str">
        <f>VLOOKUP(Projeção[[#This Row],[Código]],BD_Produto[#All],6,FALSE)</f>
        <v>Leitz, Pasta Organizadora A4 Prestige LE - Azul Marinho - PN:1027-00-35</v>
      </c>
      <c r="C543" s="130">
        <v>0</v>
      </c>
      <c r="D543" s="130">
        <v>0</v>
      </c>
      <c r="E543" s="130">
        <v>0</v>
      </c>
      <c r="F543" s="130">
        <v>0</v>
      </c>
      <c r="G543" s="130">
        <v>0</v>
      </c>
      <c r="H543" s="130">
        <v>0</v>
      </c>
      <c r="I543" s="130">
        <v>0</v>
      </c>
      <c r="J543" s="130">
        <v>0</v>
      </c>
      <c r="K543" s="130">
        <v>0</v>
      </c>
      <c r="L543" s="130">
        <v>0</v>
      </c>
      <c r="M543" s="130">
        <v>0.70000000000000007</v>
      </c>
      <c r="N543" s="130">
        <v>5.3666666666666663</v>
      </c>
      <c r="O5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5.4333333333333327</v>
      </c>
    </row>
    <row r="544" spans="1:15" ht="15" customHeight="1" x14ac:dyDescent="0.25">
      <c r="A544" s="15">
        <v>33063063473</v>
      </c>
      <c r="B544" s="16" t="str">
        <f>VLOOKUP(Projeção[[#This Row],[Código]],BD_Produto[#All],6,FALSE)</f>
        <v>Leitz, Pasta Organizadora A4 Prestige LE - Mogno - PN:1027-00-76</v>
      </c>
      <c r="C544" s="130">
        <v>3.3333333333333333E-2</v>
      </c>
      <c r="D544" s="130">
        <v>1.7333333333333332</v>
      </c>
      <c r="E544" s="130">
        <v>0.53333333333333333</v>
      </c>
      <c r="F544" s="130">
        <v>0.53333333333333333</v>
      </c>
      <c r="G544" s="130">
        <v>9.9999999999999992E-2</v>
      </c>
      <c r="H544" s="130">
        <v>9.9999999999999992E-2</v>
      </c>
      <c r="I544" s="130">
        <v>0</v>
      </c>
      <c r="J544" s="130">
        <v>9.9999999999999992E-2</v>
      </c>
      <c r="K544" s="130">
        <v>9.9999999999999992E-2</v>
      </c>
      <c r="L544" s="130">
        <v>9.9999999999999992E-2</v>
      </c>
      <c r="M544" s="130">
        <v>0.79999999999999993</v>
      </c>
      <c r="N544" s="130">
        <v>5.4666666666666659</v>
      </c>
      <c r="O5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1.4666666666666666</v>
      </c>
    </row>
    <row r="545" spans="1:15" x14ac:dyDescent="0.25">
      <c r="A545" s="15">
        <v>33063063474</v>
      </c>
      <c r="B545" s="16" t="str">
        <f>VLOOKUP(Projeção[[#This Row],[Código]],BD_Produto[#All],6,FALSE)</f>
        <v>Leitz, Pasta Organizadora A4 Prestige LE - Preta - PN:1027-00-95</v>
      </c>
      <c r="C545" s="130">
        <v>0.19999999999999998</v>
      </c>
      <c r="D545" s="130">
        <v>0.19999999999999998</v>
      </c>
      <c r="E545" s="130">
        <v>0.19999999999999998</v>
      </c>
      <c r="F545" s="130">
        <v>0.19999999999999998</v>
      </c>
      <c r="G545" s="130">
        <v>9.9999999999999992E-2</v>
      </c>
      <c r="H545" s="130">
        <v>0</v>
      </c>
      <c r="I545" s="130">
        <v>0</v>
      </c>
      <c r="J545" s="130">
        <v>0</v>
      </c>
      <c r="K545" s="130">
        <v>0</v>
      </c>
      <c r="L545" s="130">
        <v>0</v>
      </c>
      <c r="M545" s="130">
        <v>0.70000000000000007</v>
      </c>
      <c r="N545" s="130">
        <v>0.70000000000000007</v>
      </c>
      <c r="O5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2.9</v>
      </c>
    </row>
    <row r="546" spans="1:15" x14ac:dyDescent="0.25">
      <c r="A546" s="15">
        <v>33063063464</v>
      </c>
      <c r="B546" s="16" t="str">
        <f>VLOOKUP(Projeção[[#This Row],[Código]],BD_Produto[#All],6,FALSE)</f>
        <v>Leitz, Pasta Organizadora A4 Prestige LL - Azul Marinho - PN:1026-00-35</v>
      </c>
      <c r="C546" s="130">
        <v>7.133333333333332</v>
      </c>
      <c r="D546" s="130">
        <v>2.333333333333333</v>
      </c>
      <c r="E546" s="130">
        <v>2.333333333333333</v>
      </c>
      <c r="F546" s="130">
        <v>0.73333333333333328</v>
      </c>
      <c r="G546" s="130">
        <v>0.73333333333333328</v>
      </c>
      <c r="H546" s="130">
        <v>0.39999999999999997</v>
      </c>
      <c r="I546" s="130">
        <v>0.33333333333333331</v>
      </c>
      <c r="J546" s="130">
        <v>0.39999999999999997</v>
      </c>
      <c r="K546" s="130">
        <v>0.39999999999999997</v>
      </c>
      <c r="L546" s="130">
        <v>0.39999999999999997</v>
      </c>
      <c r="M546" s="130">
        <v>1.0999999999999999</v>
      </c>
      <c r="N546" s="130">
        <v>6.9333333333333327</v>
      </c>
      <c r="O5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5.6000000000000005</v>
      </c>
    </row>
    <row r="547" spans="1:15" x14ac:dyDescent="0.25">
      <c r="A547" s="15">
        <v>33063063465</v>
      </c>
      <c r="B547" s="16" t="str">
        <f>VLOOKUP(Projeção[[#This Row],[Código]],BD_Produto[#All],6,FALSE)</f>
        <v>Leitz, Pasta Organizadora A4 Prestige LL - Mogno - PN:1026-00-76</v>
      </c>
      <c r="C547" s="130">
        <v>7.166666666666667</v>
      </c>
      <c r="D547" s="130">
        <v>2.3666666666666667</v>
      </c>
      <c r="E547" s="130">
        <v>2.3666666666666667</v>
      </c>
      <c r="F547" s="130">
        <v>0.76666666666666672</v>
      </c>
      <c r="G547" s="130">
        <v>0.76666666666666672</v>
      </c>
      <c r="H547" s="130">
        <v>0.43333333333333329</v>
      </c>
      <c r="I547" s="130">
        <v>0.26666666666666666</v>
      </c>
      <c r="J547" s="130">
        <v>0.39999999999999997</v>
      </c>
      <c r="K547" s="130">
        <v>0.43333333333333329</v>
      </c>
      <c r="L547" s="130">
        <v>0.56666666666666654</v>
      </c>
      <c r="M547" s="130">
        <v>0.6333333333333333</v>
      </c>
      <c r="N547" s="130">
        <v>1.6666666666666667</v>
      </c>
      <c r="O5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4.8666666666666663</v>
      </c>
    </row>
    <row r="548" spans="1:15" x14ac:dyDescent="0.25">
      <c r="A548" s="15">
        <v>33063063466</v>
      </c>
      <c r="B548" s="16" t="str">
        <f>VLOOKUP(Projeção[[#This Row],[Código]],BD_Produto[#All],6,FALSE)</f>
        <v>Leitz, Pasta Organizadora A4 Prestige LL - Preta - PN:1026-00-95</v>
      </c>
      <c r="C548" s="130">
        <v>7.8</v>
      </c>
      <c r="D548" s="130">
        <v>2.1666666666666665</v>
      </c>
      <c r="E548" s="130">
        <v>2.1666666666666665</v>
      </c>
      <c r="F548" s="130">
        <v>0.56666666666666665</v>
      </c>
      <c r="G548" s="130">
        <v>0.56666666666666665</v>
      </c>
      <c r="H548" s="130">
        <v>1.4000000000000001</v>
      </c>
      <c r="I548" s="130">
        <v>1.3333333333333333</v>
      </c>
      <c r="J548" s="130">
        <v>1.4000000000000001</v>
      </c>
      <c r="K548" s="130">
        <v>1.4000000000000001</v>
      </c>
      <c r="L548" s="130">
        <v>0.73333333333333328</v>
      </c>
      <c r="M548" s="130">
        <v>1.7666666666666664</v>
      </c>
      <c r="N548" s="130">
        <v>3</v>
      </c>
      <c r="O5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4.9666666666666659</v>
      </c>
    </row>
    <row r="549" spans="1:15" x14ac:dyDescent="0.25">
      <c r="A549" s="15">
        <v>33063063674</v>
      </c>
      <c r="B549" s="16" t="str">
        <f>VLOOKUP(Projeção[[#This Row],[Código]],BD_Produto[#All],6,FALSE)</f>
        <v>Leitz, Pasta Organizadora Foolscap 80 mm/180 - Cinza - PN:11101085</v>
      </c>
      <c r="C549" s="130">
        <v>0</v>
      </c>
      <c r="D549" s="130">
        <v>0</v>
      </c>
      <c r="E549" s="130">
        <v>0</v>
      </c>
      <c r="F549" s="130">
        <v>0</v>
      </c>
      <c r="G549" s="130">
        <v>0</v>
      </c>
      <c r="H549" s="130">
        <v>0</v>
      </c>
      <c r="I549" s="130">
        <v>0</v>
      </c>
      <c r="J549" s="130">
        <v>0</v>
      </c>
      <c r="K549" s="130">
        <v>0</v>
      </c>
      <c r="L549" s="130">
        <v>0</v>
      </c>
      <c r="M549" s="130">
        <v>0</v>
      </c>
      <c r="N549" s="130">
        <v>0</v>
      </c>
      <c r="O5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0" spans="1:15" x14ac:dyDescent="0.25">
      <c r="A550" s="15">
        <v>33063063673</v>
      </c>
      <c r="B550" s="16" t="str">
        <f>VLOOKUP(Projeção[[#This Row],[Código]],BD_Produto[#All],6,FALSE)</f>
        <v>Leitz, Pasta Organizadora Foolscap 80 mm/180 - Verde - PN:11101235</v>
      </c>
      <c r="C550" s="130">
        <v>0</v>
      </c>
      <c r="D550" s="130">
        <v>0</v>
      </c>
      <c r="E550" s="130">
        <v>0</v>
      </c>
      <c r="F550" s="130">
        <v>0</v>
      </c>
      <c r="G550" s="130">
        <v>0</v>
      </c>
      <c r="H550" s="130">
        <v>0</v>
      </c>
      <c r="I550" s="130">
        <v>0</v>
      </c>
      <c r="J550" s="130">
        <v>0</v>
      </c>
      <c r="K550" s="130">
        <v>0</v>
      </c>
      <c r="L550" s="130">
        <v>0</v>
      </c>
      <c r="M550" s="130">
        <v>0</v>
      </c>
      <c r="N550" s="130">
        <v>0</v>
      </c>
      <c r="O5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1" spans="1:15" x14ac:dyDescent="0.25">
      <c r="A551" s="15">
        <v>33063063670</v>
      </c>
      <c r="B551" s="16" t="str">
        <f>VLOOKUP(Projeção[[#This Row],[Código]],BD_Produto[#All],6,FALSE)</f>
        <v>Leitz, Pasta Organizadora Foolscap 80mm / 180 - Amarela - PN:11101215</v>
      </c>
      <c r="C551" s="130">
        <v>0</v>
      </c>
      <c r="D551" s="130">
        <v>0</v>
      </c>
      <c r="E551" s="130">
        <v>0</v>
      </c>
      <c r="F551" s="130">
        <v>0</v>
      </c>
      <c r="G551" s="130">
        <v>0</v>
      </c>
      <c r="H551" s="130">
        <v>0</v>
      </c>
      <c r="I551" s="130">
        <v>0</v>
      </c>
      <c r="J551" s="130">
        <v>0</v>
      </c>
      <c r="K551" s="130">
        <v>0</v>
      </c>
      <c r="L551" s="130">
        <v>0</v>
      </c>
      <c r="M551" s="130">
        <v>0</v>
      </c>
      <c r="N551" s="130">
        <v>0</v>
      </c>
      <c r="O5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2" spans="1:15" x14ac:dyDescent="0.25">
      <c r="A552" s="15">
        <v>33063063672</v>
      </c>
      <c r="B552" s="16" t="str">
        <f>VLOOKUP(Projeção[[#This Row],[Código]],BD_Produto[#All],6,FALSE)</f>
        <v>Leitz, Pasta Organizadora Foolscap 80mm/180 - Azul - PN:11101035</v>
      </c>
      <c r="C552" s="130">
        <v>0</v>
      </c>
      <c r="D552" s="130">
        <v>0</v>
      </c>
      <c r="E552" s="130">
        <v>0</v>
      </c>
      <c r="F552" s="130">
        <v>0</v>
      </c>
      <c r="G552" s="130">
        <v>0</v>
      </c>
      <c r="H552" s="130">
        <v>0</v>
      </c>
      <c r="I552" s="130">
        <v>0</v>
      </c>
      <c r="J552" s="130">
        <v>0</v>
      </c>
      <c r="K552" s="130">
        <v>0</v>
      </c>
      <c r="L552" s="130">
        <v>0</v>
      </c>
      <c r="M552" s="130">
        <v>0</v>
      </c>
      <c r="N552" s="130">
        <v>0</v>
      </c>
      <c r="O5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3" spans="1:15" x14ac:dyDescent="0.25">
      <c r="A553" s="15">
        <v>33063063676</v>
      </c>
      <c r="B553" s="16" t="str">
        <f>VLOOKUP(Projeção[[#This Row],[Código]],BD_Produto[#All],6,FALSE)</f>
        <v>Leitz, Pasta Organizadora Foolscap 80mm/180 - slide in plate - Azul - PN:11115035</v>
      </c>
      <c r="C553" s="130">
        <v>0</v>
      </c>
      <c r="D553" s="130">
        <v>0</v>
      </c>
      <c r="E553" s="130">
        <v>0</v>
      </c>
      <c r="F553" s="130">
        <v>0</v>
      </c>
      <c r="G553" s="130">
        <v>0</v>
      </c>
      <c r="H553" s="130">
        <v>0</v>
      </c>
      <c r="I553" s="130">
        <v>0</v>
      </c>
      <c r="J553" s="130">
        <v>0</v>
      </c>
      <c r="K553" s="130">
        <v>0</v>
      </c>
      <c r="L553" s="130">
        <v>0</v>
      </c>
      <c r="M553" s="130">
        <v>0</v>
      </c>
      <c r="N553" s="130">
        <v>0</v>
      </c>
      <c r="O5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4" spans="1:15" x14ac:dyDescent="0.25">
      <c r="A554" s="15">
        <v>33063063677</v>
      </c>
      <c r="B554" s="16" t="str">
        <f>VLOOKUP(Projeção[[#This Row],[Código]],BD_Produto[#All],6,FALSE)</f>
        <v>Leitz, Pasta Organizadora Foolscap 80mm/180 - slide in plate - Preta - PN:11115095</v>
      </c>
      <c r="C554" s="130">
        <v>0</v>
      </c>
      <c r="D554" s="130">
        <v>0</v>
      </c>
      <c r="E554" s="130">
        <v>0</v>
      </c>
      <c r="F554" s="130">
        <v>0</v>
      </c>
      <c r="G554" s="130">
        <v>0</v>
      </c>
      <c r="H554" s="130">
        <v>0</v>
      </c>
      <c r="I554" s="130">
        <v>0</v>
      </c>
      <c r="J554" s="130">
        <v>0</v>
      </c>
      <c r="K554" s="130">
        <v>0</v>
      </c>
      <c r="L554" s="130">
        <v>0</v>
      </c>
      <c r="M554" s="130">
        <v>0</v>
      </c>
      <c r="N554" s="130">
        <v>0</v>
      </c>
      <c r="O5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5" spans="1:15" x14ac:dyDescent="0.25">
      <c r="A555" s="15">
        <v>33063063671</v>
      </c>
      <c r="B555" s="16" t="str">
        <f>VLOOKUP(Projeção[[#This Row],[Código]],BD_Produto[#All],6,FALSE)</f>
        <v>Leitz, Pasta Organizadora Foolscap 80mm/180 - Vermelha - PN:11101025</v>
      </c>
      <c r="C555" s="130">
        <v>0</v>
      </c>
      <c r="D555" s="130">
        <v>0</v>
      </c>
      <c r="E555" s="130">
        <v>0</v>
      </c>
      <c r="F555" s="130">
        <v>0</v>
      </c>
      <c r="G555" s="130">
        <v>0</v>
      </c>
      <c r="H555" s="130">
        <v>0</v>
      </c>
      <c r="I555" s="130">
        <v>0</v>
      </c>
      <c r="J555" s="130">
        <v>0</v>
      </c>
      <c r="K555" s="130">
        <v>0</v>
      </c>
      <c r="L555" s="130">
        <v>0</v>
      </c>
      <c r="M555" s="130">
        <v>0</v>
      </c>
      <c r="N555" s="130">
        <v>0</v>
      </c>
      <c r="O5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6" spans="1:15" x14ac:dyDescent="0.25">
      <c r="A556" s="15">
        <v>33063063675</v>
      </c>
      <c r="B556" s="16" t="str">
        <f>VLOOKUP(Projeção[[#This Row],[Código]],BD_Produto[#All],6,FALSE)</f>
        <v>Leitz, Pasta Organizadora Foolscap 80mm/180- Preta - PN:11101095</v>
      </c>
      <c r="C556" s="130">
        <v>0</v>
      </c>
      <c r="D556" s="130">
        <v>0</v>
      </c>
      <c r="E556" s="130">
        <v>0</v>
      </c>
      <c r="F556" s="130">
        <v>0</v>
      </c>
      <c r="G556" s="130">
        <v>0</v>
      </c>
      <c r="H556" s="130">
        <v>0</v>
      </c>
      <c r="I556" s="130">
        <v>0</v>
      </c>
      <c r="J556" s="130">
        <v>0</v>
      </c>
      <c r="K556" s="130">
        <v>0</v>
      </c>
      <c r="L556" s="130">
        <v>0</v>
      </c>
      <c r="M556" s="130">
        <v>0</v>
      </c>
      <c r="N556" s="130">
        <v>0</v>
      </c>
      <c r="O5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7" spans="1:15" x14ac:dyDescent="0.25">
      <c r="A557" s="15">
        <v>33063063604</v>
      </c>
      <c r="B557" s="16" t="str">
        <f>VLOOKUP(Projeção[[#This Row],[Código]],BD_Produto[#All],6,FALSE)</f>
        <v>Leitz, Pasta Organizadora Re:cycle p/ 350 folhas - PN:1003-00-69</v>
      </c>
      <c r="C557" s="130">
        <v>0</v>
      </c>
      <c r="D557" s="130">
        <v>0</v>
      </c>
      <c r="E557" s="130">
        <v>0</v>
      </c>
      <c r="F557" s="130">
        <v>0</v>
      </c>
      <c r="G557" s="130">
        <v>0</v>
      </c>
      <c r="H557" s="130">
        <v>0</v>
      </c>
      <c r="I557" s="130">
        <v>0</v>
      </c>
      <c r="J557" s="130">
        <v>0</v>
      </c>
      <c r="K557" s="130">
        <v>0</v>
      </c>
      <c r="L557" s="130">
        <v>0</v>
      </c>
      <c r="M557" s="130">
        <v>0</v>
      </c>
      <c r="N557" s="130">
        <v>0</v>
      </c>
      <c r="O5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8" spans="1:15" x14ac:dyDescent="0.25">
      <c r="A558" s="15">
        <v>33063063603</v>
      </c>
      <c r="B558" s="16" t="str">
        <f>VLOOKUP(Projeção[[#This Row],[Código]],BD_Produto[#All],6,FALSE)</f>
        <v>Leitz, Pasta Organizadora Re:cycle p/ 600 folhas - PN:1004-00-69</v>
      </c>
      <c r="C558" s="130">
        <v>0</v>
      </c>
      <c r="D558" s="130">
        <v>0</v>
      </c>
      <c r="E558" s="130">
        <v>0</v>
      </c>
      <c r="F558" s="130">
        <v>0</v>
      </c>
      <c r="G558" s="130">
        <v>0</v>
      </c>
      <c r="H558" s="130">
        <v>0</v>
      </c>
      <c r="I558" s="130">
        <v>0</v>
      </c>
      <c r="J558" s="130">
        <v>0</v>
      </c>
      <c r="K558" s="130">
        <v>0</v>
      </c>
      <c r="L558" s="130">
        <v>0</v>
      </c>
      <c r="M558" s="130">
        <v>0</v>
      </c>
      <c r="N558" s="130">
        <v>0</v>
      </c>
      <c r="O5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59" spans="1:15" x14ac:dyDescent="0.25">
      <c r="A559" s="15">
        <v>33063063596</v>
      </c>
      <c r="B559" s="16" t="str">
        <f>VLOOKUP(Projeção[[#This Row],[Código]],BD_Produto[#All],6,FALSE)</f>
        <v>Leitz, Pasta Personalizável Premium A4 c/ 4 furos e mecanismo Softclick p/ 180 fs - Branca - PN:4200-00-01</v>
      </c>
      <c r="C559" s="130">
        <v>0</v>
      </c>
      <c r="D559" s="130">
        <v>0</v>
      </c>
      <c r="E559" s="130">
        <v>0</v>
      </c>
      <c r="F559" s="130">
        <v>0</v>
      </c>
      <c r="G559" s="130">
        <v>0</v>
      </c>
      <c r="H559" s="130">
        <v>0</v>
      </c>
      <c r="I559" s="130">
        <v>0</v>
      </c>
      <c r="J559" s="130">
        <v>0</v>
      </c>
      <c r="K559" s="130">
        <v>0</v>
      </c>
      <c r="L559" s="130">
        <v>0</v>
      </c>
      <c r="M559" s="130">
        <v>0</v>
      </c>
      <c r="N559" s="130">
        <v>0</v>
      </c>
      <c r="O5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0" spans="1:15" x14ac:dyDescent="0.25">
      <c r="A560" s="15">
        <v>33063063597</v>
      </c>
      <c r="B560" s="16" t="str">
        <f>VLOOKUP(Projeção[[#This Row],[Código]],BD_Produto[#All],6,FALSE)</f>
        <v>Leitz, Pasta Personalizável Premium A4 c/ 4 furos e mecanismo Softclick p/ 230 fs - Branca - PN:4201-00-01</v>
      </c>
      <c r="C560" s="130">
        <v>0</v>
      </c>
      <c r="D560" s="130">
        <v>0</v>
      </c>
      <c r="E560" s="130">
        <v>0</v>
      </c>
      <c r="F560" s="130">
        <v>0</v>
      </c>
      <c r="G560" s="130">
        <v>0</v>
      </c>
      <c r="H560" s="130">
        <v>0</v>
      </c>
      <c r="I560" s="130">
        <v>0</v>
      </c>
      <c r="J560" s="130">
        <v>0</v>
      </c>
      <c r="K560" s="130">
        <v>0</v>
      </c>
      <c r="L560" s="130">
        <v>0</v>
      </c>
      <c r="M560" s="130">
        <v>0</v>
      </c>
      <c r="N560" s="130">
        <v>0</v>
      </c>
      <c r="O5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1" spans="1:15" x14ac:dyDescent="0.25">
      <c r="A561" s="15">
        <v>33063063598</v>
      </c>
      <c r="B561" s="16" t="str">
        <f>VLOOKUP(Projeção[[#This Row],[Código]],BD_Produto[#All],6,FALSE)</f>
        <v>Leitz, Pasta Personalizável Premium A4 c/ 4 furos e mecanismo Softclick p/ 280 fs - Azul - PN:4202-00-35</v>
      </c>
      <c r="C561" s="130">
        <v>0</v>
      </c>
      <c r="D561" s="130">
        <v>0</v>
      </c>
      <c r="E561" s="130">
        <v>0</v>
      </c>
      <c r="F561" s="130">
        <v>0</v>
      </c>
      <c r="G561" s="130">
        <v>0</v>
      </c>
      <c r="H561" s="130">
        <v>0</v>
      </c>
      <c r="I561" s="130">
        <v>0</v>
      </c>
      <c r="J561" s="130">
        <v>0</v>
      </c>
      <c r="K561" s="130">
        <v>0</v>
      </c>
      <c r="L561" s="130">
        <v>0</v>
      </c>
      <c r="M561" s="130">
        <v>0</v>
      </c>
      <c r="N561" s="130">
        <v>0</v>
      </c>
      <c r="O5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2" spans="1:15" x14ac:dyDescent="0.25">
      <c r="A562" s="15">
        <v>33063063599</v>
      </c>
      <c r="B562" s="16" t="str">
        <f>VLOOKUP(Projeção[[#This Row],[Código]],BD_Produto[#All],6,FALSE)</f>
        <v>Leitz, Pasta Personalizável Premium A4 c/ 4 furos e mecanismo Softclick p/ 280 fs - Preta - PN:4202-00-95</v>
      </c>
      <c r="C562" s="130">
        <v>0</v>
      </c>
      <c r="D562" s="130">
        <v>0</v>
      </c>
      <c r="E562" s="130">
        <v>0</v>
      </c>
      <c r="F562" s="130">
        <v>0</v>
      </c>
      <c r="G562" s="130">
        <v>0</v>
      </c>
      <c r="H562" s="130">
        <v>0</v>
      </c>
      <c r="I562" s="130">
        <v>0</v>
      </c>
      <c r="J562" s="130">
        <v>0</v>
      </c>
      <c r="K562" s="130">
        <v>0</v>
      </c>
      <c r="L562" s="130">
        <v>0</v>
      </c>
      <c r="M562" s="130">
        <v>0</v>
      </c>
      <c r="N562" s="130">
        <v>0</v>
      </c>
      <c r="O5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3" spans="1:15" x14ac:dyDescent="0.25">
      <c r="A563" s="15">
        <v>33063063600</v>
      </c>
      <c r="B563" s="16" t="str">
        <f>VLOOKUP(Projeção[[#This Row],[Código]],BD_Produto[#All],6,FALSE)</f>
        <v>Leitz, Pasta Personalizável Premium A4 c/ 4 furos e mecanismo Softclick p/ 380 fs - Branca - PN:4203-00-01</v>
      </c>
      <c r="C563" s="130">
        <v>0</v>
      </c>
      <c r="D563" s="130">
        <v>0</v>
      </c>
      <c r="E563" s="130">
        <v>0</v>
      </c>
      <c r="F563" s="130">
        <v>0</v>
      </c>
      <c r="G563" s="130">
        <v>0</v>
      </c>
      <c r="H563" s="130">
        <v>0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30">
        <v>0</v>
      </c>
      <c r="O5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4" spans="1:15" x14ac:dyDescent="0.25">
      <c r="A564" s="15">
        <v>33063063601</v>
      </c>
      <c r="B564" s="16" t="str">
        <f>VLOOKUP(Projeção[[#This Row],[Código]],BD_Produto[#All],6,FALSE)</f>
        <v>Leitz, Pasta Personalizável Premium A4 c/ 4 furos e mecanismo Softclick p/ 480 fs - Branca - PN:4204-00-01</v>
      </c>
      <c r="C564" s="130">
        <v>0</v>
      </c>
      <c r="D564" s="130">
        <v>0</v>
      </c>
      <c r="E564" s="130">
        <v>0</v>
      </c>
      <c r="F564" s="130">
        <v>0</v>
      </c>
      <c r="G564" s="130">
        <v>0</v>
      </c>
      <c r="H564" s="130">
        <v>0</v>
      </c>
      <c r="I564" s="130">
        <v>0</v>
      </c>
      <c r="J564" s="130">
        <v>0</v>
      </c>
      <c r="K564" s="130">
        <v>0</v>
      </c>
      <c r="L564" s="130">
        <v>0</v>
      </c>
      <c r="M564" s="130">
        <v>0</v>
      </c>
      <c r="N564" s="130">
        <v>0</v>
      </c>
      <c r="O5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5" spans="1:15" x14ac:dyDescent="0.25">
      <c r="A565" s="15">
        <v>33063063602</v>
      </c>
      <c r="B565" s="16" t="str">
        <f>VLOOKUP(Projeção[[#This Row],[Código]],BD_Produto[#All],6,FALSE)</f>
        <v>Leitz, Pasta Personalizável Premium A4 c/ 4 furos e mecanismo Softclick p/ 580 fs - Branca - PN:4205-00-01</v>
      </c>
      <c r="C565" s="130">
        <v>0</v>
      </c>
      <c r="D565" s="130">
        <v>0</v>
      </c>
      <c r="E565" s="130">
        <v>0</v>
      </c>
      <c r="F565" s="130">
        <v>0</v>
      </c>
      <c r="G565" s="130">
        <v>0</v>
      </c>
      <c r="H565" s="130">
        <v>0</v>
      </c>
      <c r="I565" s="130">
        <v>0</v>
      </c>
      <c r="J565" s="130">
        <v>0</v>
      </c>
      <c r="K565" s="130">
        <v>0</v>
      </c>
      <c r="L565" s="130">
        <v>0</v>
      </c>
      <c r="M565" s="130">
        <v>0</v>
      </c>
      <c r="N565" s="130">
        <v>0</v>
      </c>
      <c r="O5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6" spans="1:15" x14ac:dyDescent="0.25">
      <c r="A566" s="15">
        <v>33063063586</v>
      </c>
      <c r="B566" s="16" t="str">
        <f>VLOOKUP(Projeção[[#This Row],[Código]],BD_Produto[#All],6,FALSE)</f>
        <v>Leitz, Pasta Personalizável Standard A4 c/ 2 furos p/ 100 folhas - Branca - PN:4277-00-01</v>
      </c>
      <c r="C566" s="130">
        <v>0</v>
      </c>
      <c r="D566" s="130">
        <v>0</v>
      </c>
      <c r="E566" s="130">
        <v>0</v>
      </c>
      <c r="F566" s="130">
        <v>0</v>
      </c>
      <c r="G566" s="130">
        <v>0</v>
      </c>
      <c r="H566" s="130">
        <v>0</v>
      </c>
      <c r="I566" s="130">
        <v>0</v>
      </c>
      <c r="J566" s="130">
        <v>0</v>
      </c>
      <c r="K566" s="130">
        <v>0</v>
      </c>
      <c r="L566" s="130">
        <v>0</v>
      </c>
      <c r="M566" s="130">
        <v>0</v>
      </c>
      <c r="N566" s="130">
        <v>0</v>
      </c>
      <c r="O5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7" spans="1:15" x14ac:dyDescent="0.25">
      <c r="A567" s="15">
        <v>33063063587</v>
      </c>
      <c r="B567" s="16" t="str">
        <f>VLOOKUP(Projeção[[#This Row],[Código]],BD_Produto[#All],6,FALSE)</f>
        <v>Leitz, Pasta Personalizável Standard A4 c/ 2 furos p/ 200 folhas - Branca - PN:4278-00-01</v>
      </c>
      <c r="C567" s="130">
        <v>0</v>
      </c>
      <c r="D567" s="130">
        <v>0</v>
      </c>
      <c r="E567" s="130">
        <v>0</v>
      </c>
      <c r="F567" s="130">
        <v>0</v>
      </c>
      <c r="G567" s="130">
        <v>0</v>
      </c>
      <c r="H567" s="130">
        <v>0</v>
      </c>
      <c r="I567" s="130">
        <v>0</v>
      </c>
      <c r="J567" s="130">
        <v>0</v>
      </c>
      <c r="K567" s="130">
        <v>0</v>
      </c>
      <c r="L567" s="130">
        <v>0</v>
      </c>
      <c r="M567" s="130">
        <v>0</v>
      </c>
      <c r="N567" s="130">
        <v>0</v>
      </c>
      <c r="O5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8" spans="1:15" x14ac:dyDescent="0.25">
      <c r="A568" s="15">
        <v>33063063588</v>
      </c>
      <c r="B568" s="16" t="str">
        <f>VLOOKUP(Projeção[[#This Row],[Código]],BD_Produto[#All],6,FALSE)</f>
        <v>Leitz, Pasta Personalizável Standard A4 c/ 2 furos p/ 250 folhas - Branca - PN:4279-00-01</v>
      </c>
      <c r="C568" s="130">
        <v>0</v>
      </c>
      <c r="D568" s="130">
        <v>0</v>
      </c>
      <c r="E568" s="130">
        <v>0</v>
      </c>
      <c r="F568" s="130">
        <v>0</v>
      </c>
      <c r="G568" s="130">
        <v>0</v>
      </c>
      <c r="H568" s="130">
        <v>0</v>
      </c>
      <c r="I568" s="130">
        <v>0</v>
      </c>
      <c r="J568" s="130">
        <v>0</v>
      </c>
      <c r="K568" s="130">
        <v>0</v>
      </c>
      <c r="L568" s="130">
        <v>0</v>
      </c>
      <c r="M568" s="130">
        <v>0</v>
      </c>
      <c r="N568" s="130">
        <v>0</v>
      </c>
      <c r="O5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69" spans="1:15" x14ac:dyDescent="0.25">
      <c r="A569" s="15">
        <v>33063063589</v>
      </c>
      <c r="B569" s="16" t="str">
        <f>VLOOKUP(Projeção[[#This Row],[Código]],BD_Produto[#All],6,FALSE)</f>
        <v>Leitz, Pasta Personalizável Standard A4 c/ 2 furos p/ 300 folhas- Branca - PN:4180-00-01</v>
      </c>
      <c r="C569" s="130">
        <v>0</v>
      </c>
      <c r="D569" s="130">
        <v>0</v>
      </c>
      <c r="E569" s="130">
        <v>0</v>
      </c>
      <c r="F569" s="130">
        <v>0</v>
      </c>
      <c r="G569" s="130">
        <v>0</v>
      </c>
      <c r="H569" s="130">
        <v>0</v>
      </c>
      <c r="I569" s="130">
        <v>0</v>
      </c>
      <c r="J569" s="130">
        <v>0</v>
      </c>
      <c r="K569" s="130">
        <v>0</v>
      </c>
      <c r="L569" s="130">
        <v>0</v>
      </c>
      <c r="M569" s="130">
        <v>0</v>
      </c>
      <c r="N569" s="130">
        <v>0</v>
      </c>
      <c r="O5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0" spans="1:15" x14ac:dyDescent="0.25">
      <c r="A570" s="15">
        <v>33063063590</v>
      </c>
      <c r="B570" s="16" t="str">
        <f>VLOOKUP(Projeção[[#This Row],[Código]],BD_Produto[#All],6,FALSE)</f>
        <v>Leitz, Pasta Personalizável Standard A4 c/ 2 furos p/ 400 folhas- Branca - PN:4181-00-01</v>
      </c>
      <c r="C570" s="130">
        <v>0</v>
      </c>
      <c r="D570" s="130">
        <v>0</v>
      </c>
      <c r="E570" s="130">
        <v>0</v>
      </c>
      <c r="F570" s="130">
        <v>0</v>
      </c>
      <c r="G570" s="130">
        <v>0</v>
      </c>
      <c r="H570" s="130">
        <v>0</v>
      </c>
      <c r="I570" s="130">
        <v>0</v>
      </c>
      <c r="J570" s="130">
        <v>0</v>
      </c>
      <c r="K570" s="130">
        <v>0</v>
      </c>
      <c r="L570" s="130">
        <v>0</v>
      </c>
      <c r="M570" s="130">
        <v>0</v>
      </c>
      <c r="N570" s="130">
        <v>0</v>
      </c>
      <c r="O5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1" spans="1:15" x14ac:dyDescent="0.25">
      <c r="A571" s="15">
        <v>33063063591</v>
      </c>
      <c r="B571" s="16" t="str">
        <f>VLOOKUP(Projeção[[#This Row],[Código]],BD_Produto[#All],6,FALSE)</f>
        <v>Leitz, Pasta Personalizável Standard A4 c/ 4 furos p/ 100 folhas- Branca - PN:4282-00-01</v>
      </c>
      <c r="C571" s="130">
        <v>0</v>
      </c>
      <c r="D571" s="130">
        <v>0</v>
      </c>
      <c r="E571" s="130">
        <v>0</v>
      </c>
      <c r="F571" s="130">
        <v>0</v>
      </c>
      <c r="G571" s="130">
        <v>0</v>
      </c>
      <c r="H571" s="130">
        <v>0</v>
      </c>
      <c r="I571" s="130">
        <v>0</v>
      </c>
      <c r="J571" s="130">
        <v>0</v>
      </c>
      <c r="K571" s="130">
        <v>0</v>
      </c>
      <c r="L571" s="130">
        <v>0</v>
      </c>
      <c r="M571" s="130">
        <v>0</v>
      </c>
      <c r="N571" s="130">
        <v>0</v>
      </c>
      <c r="O5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2" spans="1:15" x14ac:dyDescent="0.25">
      <c r="A572" s="15">
        <v>33063063592</v>
      </c>
      <c r="B572" s="16" t="str">
        <f>VLOOKUP(Projeção[[#This Row],[Código]],BD_Produto[#All],6,FALSE)</f>
        <v>Leitz, Pasta Personalizável Standard A4 c/ 4 furos p/ 200 folhas - Branca - PN:4284-00-01</v>
      </c>
      <c r="C572" s="130">
        <v>0</v>
      </c>
      <c r="D572" s="130">
        <v>0</v>
      </c>
      <c r="E572" s="130">
        <v>0</v>
      </c>
      <c r="F572" s="130">
        <v>0</v>
      </c>
      <c r="G572" s="130">
        <v>0</v>
      </c>
      <c r="H572" s="130">
        <v>0</v>
      </c>
      <c r="I572" s="130">
        <v>0</v>
      </c>
      <c r="J572" s="130">
        <v>0</v>
      </c>
      <c r="K572" s="130">
        <v>0</v>
      </c>
      <c r="L572" s="130">
        <v>0</v>
      </c>
      <c r="M572" s="130">
        <v>0</v>
      </c>
      <c r="N572" s="130">
        <v>0</v>
      </c>
      <c r="O5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3" spans="1:15" x14ac:dyDescent="0.25">
      <c r="A573" s="15">
        <v>33063063593</v>
      </c>
      <c r="B573" s="16" t="str">
        <f>VLOOKUP(Projeção[[#This Row],[Código]],BD_Produto[#All],6,FALSE)</f>
        <v>Leitz, Pasta Personalizável Standard A4 c/ 4 furos p/ 300 folhas - Branca - PN:4285-00-01</v>
      </c>
      <c r="C573" s="130">
        <v>0</v>
      </c>
      <c r="D573" s="130">
        <v>0</v>
      </c>
      <c r="E573" s="130">
        <v>0</v>
      </c>
      <c r="F573" s="130">
        <v>0</v>
      </c>
      <c r="G573" s="130">
        <v>0</v>
      </c>
      <c r="H573" s="130">
        <v>0</v>
      </c>
      <c r="I573" s="130">
        <v>0</v>
      </c>
      <c r="J573" s="130">
        <v>0</v>
      </c>
      <c r="K573" s="130">
        <v>0</v>
      </c>
      <c r="L573" s="130">
        <v>0</v>
      </c>
      <c r="M573" s="130">
        <v>0</v>
      </c>
      <c r="N573" s="130">
        <v>0</v>
      </c>
      <c r="O5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4" spans="1:15" x14ac:dyDescent="0.25">
      <c r="A574" s="15">
        <v>33063063594</v>
      </c>
      <c r="B574" s="16" t="str">
        <f>VLOOKUP(Projeção[[#This Row],[Código]],BD_Produto[#All],6,FALSE)</f>
        <v>Leitz, Pasta Personalizável Standard A4 c/ 4 furos p/ 400 folhas - Branca - PN:4286-00-01</v>
      </c>
      <c r="C574" s="130">
        <v>0</v>
      </c>
      <c r="D574" s="130">
        <v>0</v>
      </c>
      <c r="E574" s="130">
        <v>0</v>
      </c>
      <c r="F574" s="130">
        <v>0</v>
      </c>
      <c r="G574" s="130">
        <v>0</v>
      </c>
      <c r="H574" s="130">
        <v>0</v>
      </c>
      <c r="I574" s="130">
        <v>0</v>
      </c>
      <c r="J574" s="130">
        <v>0</v>
      </c>
      <c r="K574" s="130">
        <v>0</v>
      </c>
      <c r="L574" s="130">
        <v>0</v>
      </c>
      <c r="M574" s="130">
        <v>0</v>
      </c>
      <c r="N574" s="130">
        <v>0</v>
      </c>
      <c r="O5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5" spans="1:15" x14ac:dyDescent="0.25">
      <c r="A575" s="15">
        <v>33063063595</v>
      </c>
      <c r="B575" s="16" t="str">
        <f>VLOOKUP(Projeção[[#This Row],[Código]],BD_Produto[#All],6,FALSE)</f>
        <v>Leitz, Pasta Personalizável Standard A4 c/ 4 furos p/ 500 folhas - Branca - PN:4287-00-01</v>
      </c>
      <c r="C575" s="130">
        <v>0</v>
      </c>
      <c r="D575" s="130">
        <v>0</v>
      </c>
      <c r="E575" s="130">
        <v>0</v>
      </c>
      <c r="F575" s="130">
        <v>0</v>
      </c>
      <c r="G575" s="130">
        <v>0</v>
      </c>
      <c r="H575" s="130">
        <v>0</v>
      </c>
      <c r="I575" s="130">
        <v>0</v>
      </c>
      <c r="J575" s="130">
        <v>0</v>
      </c>
      <c r="K575" s="130">
        <v>0</v>
      </c>
      <c r="L575" s="130">
        <v>0</v>
      </c>
      <c r="M575" s="130">
        <v>0</v>
      </c>
      <c r="N575" s="130">
        <v>0</v>
      </c>
      <c r="O5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76" spans="1:15" x14ac:dyDescent="0.25">
      <c r="A576" s="15">
        <v>33063063495</v>
      </c>
      <c r="B576" s="16" t="str">
        <f>VLOOKUP(Projeção[[#This Row],[Código]],BD_Produto[#All],6,FALSE)</f>
        <v>Leitz, Pasta Sanfonada Bebop Azul - PN:4579-00-37</v>
      </c>
      <c r="C576" s="130">
        <v>1.1333333333333331</v>
      </c>
      <c r="D576" s="130">
        <v>0.33333333333333326</v>
      </c>
      <c r="E576" s="130">
        <v>0.33333333333333326</v>
      </c>
      <c r="F576" s="130">
        <v>1.7666666666666668</v>
      </c>
      <c r="G576" s="130">
        <v>0.56666666666666665</v>
      </c>
      <c r="H576" s="130">
        <v>0.56666666666666665</v>
      </c>
      <c r="I576" s="130">
        <v>0.56666666666666665</v>
      </c>
      <c r="J576" s="130">
        <v>0.16666666666666666</v>
      </c>
      <c r="K576" s="130">
        <v>0.56666666666666665</v>
      </c>
      <c r="L576" s="130">
        <v>0.16666666666666666</v>
      </c>
      <c r="M576" s="130">
        <v>0.16666666666666666</v>
      </c>
      <c r="N576" s="130">
        <v>2.5</v>
      </c>
      <c r="O5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2.5666666666666664</v>
      </c>
    </row>
    <row r="577" spans="1:15" x14ac:dyDescent="0.25">
      <c r="A577" s="15">
        <v>33063063497</v>
      </c>
      <c r="B577" s="16" t="str">
        <f>VLOOKUP(Projeção[[#This Row],[Código]],BD_Produto[#All],6,FALSE)</f>
        <v>Leitz, Pasta Sanfonada Bebop Branco - PN:4579-00-01</v>
      </c>
      <c r="C577" s="130">
        <v>2.8333333333333335</v>
      </c>
      <c r="D577" s="130">
        <v>0.83333333333333337</v>
      </c>
      <c r="E577" s="130">
        <v>0.83333333333333337</v>
      </c>
      <c r="F577" s="130">
        <v>3</v>
      </c>
      <c r="G577" s="130">
        <v>1</v>
      </c>
      <c r="H577" s="130">
        <v>1</v>
      </c>
      <c r="I577" s="130">
        <v>1</v>
      </c>
      <c r="J577" s="130">
        <v>0.33333333333333331</v>
      </c>
      <c r="K577" s="130">
        <v>1</v>
      </c>
      <c r="L577" s="130">
        <v>0.33333333333333331</v>
      </c>
      <c r="M577" s="130">
        <v>0.33333333333333331</v>
      </c>
      <c r="N577" s="130">
        <v>2.6666666666666665</v>
      </c>
      <c r="O5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1.6666666666666667</v>
      </c>
    </row>
    <row r="578" spans="1:15" x14ac:dyDescent="0.25">
      <c r="A578" s="15">
        <v>33063063496</v>
      </c>
      <c r="B578" s="16" t="str">
        <f>VLOOKUP(Projeção[[#This Row],[Código]],BD_Produto[#All],6,FALSE)</f>
        <v>Leitz, Pasta Sanfonada Bebop Laranja - PN:4579-00-45</v>
      </c>
      <c r="C578" s="130">
        <v>0</v>
      </c>
      <c r="D578" s="130">
        <v>0</v>
      </c>
      <c r="E578" s="130">
        <v>0</v>
      </c>
      <c r="F578" s="130">
        <v>3.9666666666666668</v>
      </c>
      <c r="G578" s="130">
        <v>1.1666666666666667</v>
      </c>
      <c r="H578" s="130">
        <v>1.1666666666666667</v>
      </c>
      <c r="I578" s="130">
        <v>1.1666666666666667</v>
      </c>
      <c r="J578" s="130">
        <v>0.23333333333333334</v>
      </c>
      <c r="K578" s="130">
        <v>1.1666666666666667</v>
      </c>
      <c r="L578" s="130">
        <v>0.23333333333333334</v>
      </c>
      <c r="M578" s="130">
        <v>0.23333333333333334</v>
      </c>
      <c r="N578" s="130">
        <v>2.5666666666666664</v>
      </c>
      <c r="O5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</v>
      </c>
    </row>
    <row r="579" spans="1:15" x14ac:dyDescent="0.25">
      <c r="A579" s="15">
        <v>33063063498</v>
      </c>
      <c r="B579" s="16" t="str">
        <f>VLOOKUP(Projeção[[#This Row],[Código]],BD_Produto[#All],6,FALSE)</f>
        <v>Leitz, Pasta Sanfonada Bebop Preto - PN:4579-00-95</v>
      </c>
      <c r="C579" s="130">
        <v>2.0000000000000004</v>
      </c>
      <c r="D579" s="130">
        <v>0.53333333333333333</v>
      </c>
      <c r="E579" s="130">
        <v>0.53333333333333333</v>
      </c>
      <c r="F579" s="130">
        <v>3.0666666666666669</v>
      </c>
      <c r="G579" s="130">
        <v>1.0666666666666667</v>
      </c>
      <c r="H579" s="130">
        <v>1.0666666666666667</v>
      </c>
      <c r="I579" s="130">
        <v>1.0666666666666667</v>
      </c>
      <c r="J579" s="130">
        <v>0.39999999999999997</v>
      </c>
      <c r="K579" s="130">
        <v>1.0666666666666667</v>
      </c>
      <c r="L579" s="130">
        <v>2.0666666666666669</v>
      </c>
      <c r="M579" s="130">
        <v>2.7333333333333329</v>
      </c>
      <c r="N579" s="130">
        <v>3.5666666666666673</v>
      </c>
      <c r="O5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9.6666666666666661</v>
      </c>
    </row>
    <row r="580" spans="1:15" x14ac:dyDescent="0.25">
      <c r="A580" s="15">
        <v>33063063494</v>
      </c>
      <c r="B580" s="16" t="str">
        <f>VLOOKUP(Projeção[[#This Row],[Código]],BD_Produto[#All],6,FALSE)</f>
        <v>Leitz, Pasta Sanfonada Bebop Vermelha - PN:4579-00-25</v>
      </c>
      <c r="C580" s="130">
        <v>0</v>
      </c>
      <c r="D580" s="130">
        <v>0</v>
      </c>
      <c r="E580" s="130">
        <v>0</v>
      </c>
      <c r="F580" s="130">
        <v>1.7</v>
      </c>
      <c r="G580" s="130">
        <v>0.5</v>
      </c>
      <c r="H580" s="130">
        <v>1.333333333333333</v>
      </c>
      <c r="I580" s="130">
        <v>1.333333333333333</v>
      </c>
      <c r="J580" s="130">
        <v>0.93333333333333335</v>
      </c>
      <c r="K580" s="130">
        <v>1.333333333333333</v>
      </c>
      <c r="L580" s="130">
        <v>0.76666666666666661</v>
      </c>
      <c r="M580" s="130">
        <v>1.2999999999999998</v>
      </c>
      <c r="N580" s="130">
        <v>3.6333333333333324</v>
      </c>
      <c r="O5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1.7666666666666668</v>
      </c>
    </row>
    <row r="581" spans="1:15" x14ac:dyDescent="0.25">
      <c r="A581" s="15">
        <v>33063063499</v>
      </c>
      <c r="B581" s="16" t="str">
        <f>VLOOKUP(Projeção[[#This Row],[Código]],BD_Produto[#All],6,FALSE)</f>
        <v>Leitz, Pasta Sanfonada Prestige Azul Marinho - PN:4616-00-35</v>
      </c>
      <c r="C581" s="130">
        <v>5.5666666666666673</v>
      </c>
      <c r="D581" s="130">
        <v>3.4999999999999996</v>
      </c>
      <c r="E581" s="130">
        <v>1.7666666666666668</v>
      </c>
      <c r="F581" s="130">
        <v>2.4</v>
      </c>
      <c r="G581" s="130">
        <v>0.93333333333333313</v>
      </c>
      <c r="H581" s="130">
        <v>1.7333333333333332</v>
      </c>
      <c r="I581" s="130">
        <v>1.6666666666666663</v>
      </c>
      <c r="J581" s="130">
        <v>1.3333333333333333</v>
      </c>
      <c r="K581" s="130">
        <v>1.7333333333333332</v>
      </c>
      <c r="L581" s="130">
        <v>0.66666666666666663</v>
      </c>
      <c r="M581" s="130">
        <v>1</v>
      </c>
      <c r="N581" s="130">
        <v>1.7</v>
      </c>
      <c r="O5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2.1999999999999997</v>
      </c>
    </row>
    <row r="582" spans="1:15" x14ac:dyDescent="0.25">
      <c r="A582" s="15">
        <v>33063063500</v>
      </c>
      <c r="B582" s="16" t="str">
        <f>VLOOKUP(Projeção[[#This Row],[Código]],BD_Produto[#All],6,FALSE)</f>
        <v>Leitz, Pasta Sanfonada Prestige Mogno - PN:4616-00-76</v>
      </c>
      <c r="C582" s="130">
        <v>3.3</v>
      </c>
      <c r="D582" s="130">
        <v>2.6666666666666661</v>
      </c>
      <c r="E582" s="130">
        <v>0.93333333333333313</v>
      </c>
      <c r="F582" s="130">
        <v>3.3666666666666663</v>
      </c>
      <c r="G582" s="130">
        <v>1.2333333333333334</v>
      </c>
      <c r="H582" s="130">
        <v>1.1666666666666667</v>
      </c>
      <c r="I582" s="130">
        <v>1</v>
      </c>
      <c r="J582" s="130">
        <v>0.5</v>
      </c>
      <c r="K582" s="130">
        <v>1.1666666666666667</v>
      </c>
      <c r="L582" s="130">
        <v>5.4999999999999991</v>
      </c>
      <c r="M582" s="130">
        <v>7.4666666666666668</v>
      </c>
      <c r="N582" s="130">
        <v>4.6333333333333329</v>
      </c>
      <c r="O5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2.5</v>
      </c>
    </row>
    <row r="583" spans="1:15" x14ac:dyDescent="0.25">
      <c r="A583" s="15">
        <v>33063063501</v>
      </c>
      <c r="B583" s="16" t="str">
        <f>VLOOKUP(Projeção[[#This Row],[Código]],BD_Produto[#All],6,FALSE)</f>
        <v>Leitz, Pasta Sanfonada Prestige Preto - PN:4616-00-95</v>
      </c>
      <c r="C583" s="130">
        <v>6.6999999999999993</v>
      </c>
      <c r="D583" s="130">
        <v>6.2666666666666657</v>
      </c>
      <c r="E583" s="130">
        <v>4.0333333333333332</v>
      </c>
      <c r="F583" s="130">
        <v>7.5333333333333341</v>
      </c>
      <c r="G583" s="130">
        <v>3.2666666666666662</v>
      </c>
      <c r="H583" s="130">
        <v>2.8000000000000003</v>
      </c>
      <c r="I583" s="130">
        <v>2.6666666666666661</v>
      </c>
      <c r="J583" s="130">
        <v>1.2999999999999998</v>
      </c>
      <c r="K583" s="130">
        <v>2.8000000000000003</v>
      </c>
      <c r="L583" s="130">
        <v>1.0333333333333334</v>
      </c>
      <c r="M583" s="130">
        <v>1.0333333333333334</v>
      </c>
      <c r="N583" s="130">
        <v>1.9333333333333336</v>
      </c>
      <c r="O5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3.5999999999999996</v>
      </c>
    </row>
    <row r="584" spans="1:15" x14ac:dyDescent="0.25">
      <c r="A584" s="15">
        <v>33063063605</v>
      </c>
      <c r="B584" s="16" t="str">
        <f>VLOOKUP(Projeção[[#This Row],[Código]],BD_Produto[#All],6,FALSE)</f>
        <v>Leitz, Pasta Sanfonada Re:cycle - PN:4624-00-69</v>
      </c>
      <c r="C584" s="130">
        <v>0</v>
      </c>
      <c r="D584" s="130">
        <v>0</v>
      </c>
      <c r="E584" s="130">
        <v>0</v>
      </c>
      <c r="F584" s="130">
        <v>0</v>
      </c>
      <c r="G584" s="130">
        <v>0</v>
      </c>
      <c r="H584" s="130">
        <v>0</v>
      </c>
      <c r="I584" s="130">
        <v>0</v>
      </c>
      <c r="J584" s="130">
        <v>0</v>
      </c>
      <c r="K584" s="130">
        <v>0</v>
      </c>
      <c r="L584" s="130">
        <v>0</v>
      </c>
      <c r="M584" s="130">
        <v>0</v>
      </c>
      <c r="N584" s="130">
        <v>0</v>
      </c>
      <c r="O5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85" spans="1:15" x14ac:dyDescent="0.25">
      <c r="A585" s="15">
        <v>33062163641</v>
      </c>
      <c r="B585" s="16" t="str">
        <f>VLOOKUP(Projeção[[#This Row],[Código]],BD_Produto[#All],6,FALSE)</f>
        <v>Leitz, Plastificadora I-LAM Easy - A4 - PN: 74770000</v>
      </c>
      <c r="C585" s="130">
        <v>0</v>
      </c>
      <c r="D585" s="130">
        <v>0</v>
      </c>
      <c r="E585" s="130">
        <v>0</v>
      </c>
      <c r="F585" s="130">
        <v>0</v>
      </c>
      <c r="G585" s="130">
        <v>0</v>
      </c>
      <c r="H585" s="130">
        <v>0</v>
      </c>
      <c r="I585" s="130">
        <v>0</v>
      </c>
      <c r="J585" s="130">
        <v>0</v>
      </c>
      <c r="K585" s="130">
        <v>0</v>
      </c>
      <c r="L585" s="130">
        <v>0</v>
      </c>
      <c r="M585" s="130">
        <v>0</v>
      </c>
      <c r="N585" s="130">
        <v>0</v>
      </c>
      <c r="O5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86" spans="1:15" x14ac:dyDescent="0.25">
      <c r="A586" s="15">
        <v>33062163643</v>
      </c>
      <c r="B586" s="16" t="str">
        <f>VLOOKUP(Projeção[[#This Row],[Código]],BD_Produto[#All],6,FALSE)</f>
        <v>Leitz, Plastificadora I-LAM Turbo A3 - PN: 74730000</v>
      </c>
      <c r="C586" s="130">
        <v>0</v>
      </c>
      <c r="D586" s="130">
        <v>0</v>
      </c>
      <c r="E586" s="130">
        <v>0</v>
      </c>
      <c r="F586" s="130">
        <v>0</v>
      </c>
      <c r="G586" s="130">
        <v>0</v>
      </c>
      <c r="H586" s="130">
        <v>0</v>
      </c>
      <c r="I586" s="130">
        <v>0</v>
      </c>
      <c r="J586" s="130">
        <v>0</v>
      </c>
      <c r="K586" s="130">
        <v>0</v>
      </c>
      <c r="L586" s="130">
        <v>0</v>
      </c>
      <c r="M586" s="130">
        <v>0</v>
      </c>
      <c r="N586" s="130">
        <v>0</v>
      </c>
      <c r="O5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87" spans="1:15" x14ac:dyDescent="0.25">
      <c r="A587" s="15">
        <v>33062163642</v>
      </c>
      <c r="B587" s="16" t="str">
        <f>VLOOKUP(Projeção[[#This Row],[Código]],BD_Produto[#All],6,FALSE)</f>
        <v>Leitz, Plastificadora I-LAM Turbo A4 - PN: 74750000</v>
      </c>
      <c r="C587" s="130">
        <v>0</v>
      </c>
      <c r="D587" s="130">
        <v>0</v>
      </c>
      <c r="E587" s="130">
        <v>0</v>
      </c>
      <c r="F587" s="130">
        <v>0</v>
      </c>
      <c r="G587" s="130">
        <v>0</v>
      </c>
      <c r="H587" s="130">
        <v>0</v>
      </c>
      <c r="I587" s="130">
        <v>0</v>
      </c>
      <c r="J587" s="130">
        <v>0</v>
      </c>
      <c r="K587" s="130">
        <v>0</v>
      </c>
      <c r="L587" s="130">
        <v>0</v>
      </c>
      <c r="M587" s="130">
        <v>0</v>
      </c>
      <c r="N587" s="130">
        <v>0</v>
      </c>
      <c r="O5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88" spans="1:15" x14ac:dyDescent="0.25">
      <c r="A588" s="15">
        <v>11061224044</v>
      </c>
      <c r="B588" s="16" t="str">
        <f>VLOOKUP(Projeção[[#This Row],[Código]],BD_Produto[#All],6,FALSE)</f>
        <v>MP-PAPEL VEGETAL SCHOELLER 60/65GR - A3 (297X420 MM)-FOLHAS</v>
      </c>
      <c r="C588" s="130">
        <v>0</v>
      </c>
      <c r="D588" s="130">
        <v>0</v>
      </c>
      <c r="E588" s="130">
        <v>0</v>
      </c>
      <c r="F588" s="130">
        <v>0</v>
      </c>
      <c r="G588" s="130">
        <v>0</v>
      </c>
      <c r="H588" s="130">
        <v>0</v>
      </c>
      <c r="I588" s="130">
        <v>0</v>
      </c>
      <c r="J588" s="130">
        <v>0</v>
      </c>
      <c r="K588" s="130">
        <v>0</v>
      </c>
      <c r="L588" s="130">
        <v>0</v>
      </c>
      <c r="M588" s="130">
        <v>0</v>
      </c>
      <c r="N588" s="130">
        <v>0</v>
      </c>
      <c r="O5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89" spans="1:15" x14ac:dyDescent="0.25">
      <c r="A589" s="15">
        <v>11061224043</v>
      </c>
      <c r="B589" s="16" t="str">
        <f>VLOOKUP(Projeção[[#This Row],[Código]],BD_Produto[#All],6,FALSE)</f>
        <v>MP-PAPEL VEGETAL SCHOELLER 62/65GR- A4 (210X297 MM )FOLHAS</v>
      </c>
      <c r="C589" s="130">
        <v>0</v>
      </c>
      <c r="D589" s="130">
        <v>0</v>
      </c>
      <c r="E589" s="130">
        <v>0</v>
      </c>
      <c r="F589" s="130">
        <v>0</v>
      </c>
      <c r="G589" s="130">
        <v>0</v>
      </c>
      <c r="H589" s="130">
        <v>0</v>
      </c>
      <c r="I589" s="130">
        <v>0</v>
      </c>
      <c r="J589" s="130">
        <v>0</v>
      </c>
      <c r="K589" s="130">
        <v>0</v>
      </c>
      <c r="L589" s="130">
        <v>0</v>
      </c>
      <c r="M589" s="130">
        <v>0</v>
      </c>
      <c r="N589" s="130">
        <v>0</v>
      </c>
      <c r="O5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0" spans="1:15" x14ac:dyDescent="0.25">
      <c r="A590" s="15">
        <v>11061224035</v>
      </c>
      <c r="B590" s="16" t="str">
        <f>VLOOKUP(Projeção[[#This Row],[Código]],BD_Produto[#All],6,FALSE)</f>
        <v>MP-PAPEL VEGETAL SCHOELLER 92/95 GR LEGAL (216X355MM)FOLHAS</v>
      </c>
      <c r="C590" s="130">
        <v>0</v>
      </c>
      <c r="D590" s="130">
        <v>0</v>
      </c>
      <c r="E590" s="130">
        <v>0</v>
      </c>
      <c r="F590" s="130">
        <v>0</v>
      </c>
      <c r="G590" s="130">
        <v>0</v>
      </c>
      <c r="H590" s="130">
        <v>0</v>
      </c>
      <c r="I590" s="130">
        <v>0</v>
      </c>
      <c r="J590" s="130">
        <v>0</v>
      </c>
      <c r="K590" s="130">
        <v>0</v>
      </c>
      <c r="L590" s="130">
        <v>0</v>
      </c>
      <c r="M590" s="130">
        <v>0</v>
      </c>
      <c r="N590" s="130">
        <v>0</v>
      </c>
      <c r="O5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1" spans="1:15" x14ac:dyDescent="0.25">
      <c r="A591" s="15">
        <v>11061260274</v>
      </c>
      <c r="B591" s="16" t="str">
        <f>VLOOKUP(Projeção[[#This Row],[Código]],BD_Produto[#All],6,FALSE)</f>
        <v>MP-PAPEL VEGETAL SCHOELLER, 660 x 960 mm, 110-115 g/m²</v>
      </c>
      <c r="C591" s="130">
        <v>0</v>
      </c>
      <c r="D591" s="130">
        <v>0</v>
      </c>
      <c r="E591" s="130">
        <v>0</v>
      </c>
      <c r="F591" s="130">
        <v>0</v>
      </c>
      <c r="G591" s="130">
        <v>0</v>
      </c>
      <c r="H591" s="130">
        <v>0</v>
      </c>
      <c r="I591" s="130">
        <v>0</v>
      </c>
      <c r="J591" s="130">
        <v>0</v>
      </c>
      <c r="K591" s="130">
        <v>0</v>
      </c>
      <c r="L591" s="130">
        <v>0</v>
      </c>
      <c r="M591" s="130">
        <v>0</v>
      </c>
      <c r="N591" s="130">
        <v>0</v>
      </c>
      <c r="O5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2" spans="1:15" x14ac:dyDescent="0.25">
      <c r="A592" s="15">
        <v>11061260273</v>
      </c>
      <c r="B592" s="16" t="str">
        <f>VLOOKUP(Projeção[[#This Row],[Código]],BD_Produto[#All],6,FALSE)</f>
        <v>MP-PAPEL VEGETAL SCHOELLER, 660 x 960 mm, 180-190 g/m²</v>
      </c>
      <c r="C592" s="130">
        <v>0</v>
      </c>
      <c r="D592" s="130">
        <v>0</v>
      </c>
      <c r="E592" s="130">
        <v>0</v>
      </c>
      <c r="F592" s="130">
        <v>0</v>
      </c>
      <c r="G592" s="130">
        <v>0</v>
      </c>
      <c r="H592" s="130">
        <v>0</v>
      </c>
      <c r="I592" s="130">
        <v>0</v>
      </c>
      <c r="J592" s="130">
        <v>0</v>
      </c>
      <c r="K592" s="130">
        <v>0</v>
      </c>
      <c r="L592" s="130">
        <v>0</v>
      </c>
      <c r="M592" s="130">
        <v>0</v>
      </c>
      <c r="N592" s="130">
        <v>0</v>
      </c>
      <c r="O5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3" spans="1:15" x14ac:dyDescent="0.25">
      <c r="A593" s="15">
        <v>11061224013</v>
      </c>
      <c r="B593" s="16" t="str">
        <f>VLOOKUP(Projeção[[#This Row],[Código]],BD_Produto[#All],6,FALSE)</f>
        <v>MP-PAPEL VEGETAL SCHOELLER, 660 x 960 mm, 90-95 g/m²</v>
      </c>
      <c r="C593" s="130">
        <v>0</v>
      </c>
      <c r="D593" s="130">
        <v>0</v>
      </c>
      <c r="E593" s="130">
        <v>0</v>
      </c>
      <c r="F593" s="130">
        <v>0</v>
      </c>
      <c r="G593" s="130">
        <v>0</v>
      </c>
      <c r="H593" s="130">
        <v>0</v>
      </c>
      <c r="I593" s="130">
        <v>0</v>
      </c>
      <c r="J593" s="130">
        <v>0</v>
      </c>
      <c r="K593" s="130">
        <v>0</v>
      </c>
      <c r="L593" s="130">
        <v>0</v>
      </c>
      <c r="M593" s="130">
        <v>0</v>
      </c>
      <c r="N593" s="130">
        <v>0</v>
      </c>
      <c r="O5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4" spans="1:15" x14ac:dyDescent="0.25">
      <c r="A594" s="15">
        <v>11061224037</v>
      </c>
      <c r="B594" s="16" t="str">
        <f>VLOOKUP(Projeção[[#This Row],[Código]],BD_Produto[#All],6,FALSE)</f>
        <v>MP-PAPEL VEGETAL SCHOELLER, A3 297 x 420 mm, 90-95 g/m²</v>
      </c>
      <c r="C594" s="130">
        <v>0</v>
      </c>
      <c r="D594" s="130">
        <v>0</v>
      </c>
      <c r="E594" s="130">
        <v>0</v>
      </c>
      <c r="F594" s="130">
        <v>0</v>
      </c>
      <c r="G594" s="130">
        <v>0</v>
      </c>
      <c r="H594" s="130">
        <v>0</v>
      </c>
      <c r="I594" s="130">
        <v>0</v>
      </c>
      <c r="J594" s="130">
        <v>0</v>
      </c>
      <c r="K594" s="130">
        <v>0</v>
      </c>
      <c r="L594" s="130">
        <v>0</v>
      </c>
      <c r="M594" s="130">
        <v>0</v>
      </c>
      <c r="N594" s="130">
        <v>0</v>
      </c>
      <c r="O5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5" spans="1:15" x14ac:dyDescent="0.25">
      <c r="A595" s="15">
        <v>11061224034</v>
      </c>
      <c r="B595" s="16" t="str">
        <f>VLOOKUP(Projeção[[#This Row],[Código]],BD_Produto[#All],6,FALSE)</f>
        <v>MP-PAPEL VEGETAL SCHOELLER, A4 210 x 297 mm, 92-95 g/m²</v>
      </c>
      <c r="C595" s="130">
        <v>0</v>
      </c>
      <c r="D595" s="130">
        <v>0</v>
      </c>
      <c r="E595" s="130">
        <v>0</v>
      </c>
      <c r="F595" s="130">
        <v>0</v>
      </c>
      <c r="G595" s="130">
        <v>0</v>
      </c>
      <c r="H595" s="130">
        <v>0</v>
      </c>
      <c r="I595" s="130">
        <v>0</v>
      </c>
      <c r="J595" s="130">
        <v>0</v>
      </c>
      <c r="K595" s="130">
        <v>0</v>
      </c>
      <c r="L595" s="130">
        <v>0</v>
      </c>
      <c r="M595" s="130">
        <v>0</v>
      </c>
      <c r="N595" s="130">
        <v>0</v>
      </c>
      <c r="O5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6" spans="1:15" x14ac:dyDescent="0.25">
      <c r="A596" s="15">
        <v>11061224036</v>
      </c>
      <c r="B596" s="16" t="str">
        <f>VLOOKUP(Projeção[[#This Row],[Código]],BD_Produto[#All],6,FALSE)</f>
        <v>MP-PAPEL VEGETAL SCHOELLER, Ofício 216 x 330 mm, 90-95 g/m²</v>
      </c>
      <c r="C596" s="130">
        <v>0</v>
      </c>
      <c r="D596" s="130">
        <v>0</v>
      </c>
      <c r="E596" s="130">
        <v>0</v>
      </c>
      <c r="F596" s="130">
        <v>0</v>
      </c>
      <c r="G596" s="130">
        <v>0</v>
      </c>
      <c r="H596" s="130">
        <v>0</v>
      </c>
      <c r="I596" s="130">
        <v>0</v>
      </c>
      <c r="J596" s="130">
        <v>0</v>
      </c>
      <c r="K596" s="130">
        <v>0</v>
      </c>
      <c r="L596" s="130">
        <v>0</v>
      </c>
      <c r="M596" s="130">
        <v>0</v>
      </c>
      <c r="N596" s="130">
        <v>0</v>
      </c>
      <c r="O5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597" spans="1:15" ht="15" customHeight="1" x14ac:dyDescent="0.2">
      <c r="A597" s="15">
        <v>30062065195</v>
      </c>
      <c r="B597" s="68" t="str">
        <f>VLOOKUP(Projeção[[#This Row],[Código]],BD_Produto[#All],6,FALSE)</f>
        <v>OLEO VEGETAL PARA FRAGMENTADORA EM FRASCO DE 20 ML</v>
      </c>
      <c r="C597" s="132"/>
      <c r="D597" s="132"/>
      <c r="E597" s="132"/>
      <c r="F597" s="132"/>
      <c r="G597" s="132"/>
      <c r="H597" s="132">
        <v>0</v>
      </c>
      <c r="I597" s="132">
        <v>0</v>
      </c>
      <c r="J597" s="132">
        <v>0</v>
      </c>
      <c r="K597" s="132">
        <v>0</v>
      </c>
      <c r="L597" s="132">
        <v>1.2333333333333332</v>
      </c>
      <c r="M597" s="132">
        <v>2.1666666666666665</v>
      </c>
      <c r="N597" s="133">
        <v>1.5</v>
      </c>
      <c r="O597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1.833333333333333</v>
      </c>
    </row>
    <row r="598" spans="1:15" ht="15" customHeight="1" x14ac:dyDescent="0.2">
      <c r="A598" s="15">
        <v>30062065196</v>
      </c>
      <c r="B598" s="68" t="str">
        <f>VLOOKUP(Projeção[[#This Row],[Código]],BD_Produto[#All],6,FALSE)</f>
        <v>OLEO VEGETAL PARA FRAGMENTADORA EM FRASCO DE 300ML</v>
      </c>
      <c r="C598" s="137"/>
      <c r="D598" s="137"/>
      <c r="E598" s="137"/>
      <c r="F598" s="137"/>
      <c r="G598" s="137"/>
      <c r="H598" s="137">
        <v>0</v>
      </c>
      <c r="I598" s="137">
        <v>0</v>
      </c>
      <c r="J598" s="137">
        <v>0</v>
      </c>
      <c r="K598" s="137">
        <v>0</v>
      </c>
      <c r="L598" s="137">
        <v>1.2333333333333334</v>
      </c>
      <c r="M598" s="137">
        <v>1.8333333333333335</v>
      </c>
      <c r="N598" s="138">
        <v>1.7</v>
      </c>
      <c r="O598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1.4333333333333333</v>
      </c>
    </row>
    <row r="599" spans="1:15" x14ac:dyDescent="0.25">
      <c r="A599" s="15">
        <v>33070614812</v>
      </c>
      <c r="B599" s="16" t="str">
        <f>VLOOKUP(Projeção[[#This Row],[Código]],BD_Produto[#All],6,FALSE)</f>
        <v>OLFA, BASE DE CORTE MULTIUSO CM-A1 - 92X61CM - 36"X24"</v>
      </c>
      <c r="C599" s="130">
        <v>5.833333333333333</v>
      </c>
      <c r="D599" s="130">
        <v>5.1333333333333329</v>
      </c>
      <c r="E599" s="130">
        <v>3.0333333333333337</v>
      </c>
      <c r="F599" s="130">
        <v>2.1333333333333333</v>
      </c>
      <c r="G599" s="130">
        <v>3.0333333333333337</v>
      </c>
      <c r="H599" s="130">
        <v>4.2666666666666666</v>
      </c>
      <c r="I599" s="130">
        <v>4.2666666666666666</v>
      </c>
      <c r="J599" s="130">
        <v>4.4666666666666668</v>
      </c>
      <c r="K599" s="130">
        <v>4.2666666666666666</v>
      </c>
      <c r="L599" s="130">
        <v>2.5</v>
      </c>
      <c r="M599" s="130">
        <v>4.5999999999999996</v>
      </c>
      <c r="N599" s="130">
        <v>4.5</v>
      </c>
      <c r="O5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2.0333333333333332</v>
      </c>
    </row>
    <row r="600" spans="1:15" x14ac:dyDescent="0.25">
      <c r="A600" s="15">
        <v>33070614813</v>
      </c>
      <c r="B600" s="16" t="str">
        <f>VLOOKUP(Projeção[[#This Row],[Código]],BD_Produto[#All],6,FALSE)</f>
        <v>OLFA, BASE DE CORTE MULTIUSO CM-A2 - 60X43CM - 24"X17"</v>
      </c>
      <c r="C600" s="130">
        <v>56.56666666666667</v>
      </c>
      <c r="D600" s="130">
        <v>47.733333333333334</v>
      </c>
      <c r="E600" s="130">
        <v>48.233333333333341</v>
      </c>
      <c r="F600" s="130">
        <v>60.033333333333324</v>
      </c>
      <c r="G600" s="130">
        <v>36.033333333333331</v>
      </c>
      <c r="H600" s="130">
        <v>31.4</v>
      </c>
      <c r="I600" s="130">
        <v>31.333333333333336</v>
      </c>
      <c r="J600" s="130">
        <v>38.733333333333334</v>
      </c>
      <c r="K600" s="130">
        <v>31.4</v>
      </c>
      <c r="L600" s="130">
        <v>59.466666666666654</v>
      </c>
      <c r="M600" s="130">
        <v>71.399999999999991</v>
      </c>
      <c r="N600" s="130">
        <v>71.23333333333332</v>
      </c>
      <c r="O6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71.533333333333331</v>
      </c>
    </row>
    <row r="601" spans="1:15" x14ac:dyDescent="0.25">
      <c r="A601" s="15">
        <v>33070614830</v>
      </c>
      <c r="B601" s="16" t="str">
        <f>VLOOKUP(Projeção[[#This Row],[Código]],BD_Produto[#All],6,FALSE)</f>
        <v>OLFA, BASE DE CORTE MULTIUSO CM-A3 - 43X30CM - 17"X12"</v>
      </c>
      <c r="C601" s="130">
        <v>165.5333333333333</v>
      </c>
      <c r="D601" s="130">
        <v>176.93333333333334</v>
      </c>
      <c r="E601" s="130">
        <v>121.76666666666667</v>
      </c>
      <c r="F601" s="130">
        <v>137.03333333333333</v>
      </c>
      <c r="G601" s="130">
        <v>82.066666666666677</v>
      </c>
      <c r="H601" s="130">
        <v>64.833333333333329</v>
      </c>
      <c r="I601" s="130">
        <v>64.433333333333337</v>
      </c>
      <c r="J601" s="130">
        <v>100.10000000000001</v>
      </c>
      <c r="K601" s="130">
        <v>64.833333333333329</v>
      </c>
      <c r="L601" s="130">
        <v>124.93333333333335</v>
      </c>
      <c r="M601" s="130">
        <v>126.93333333333332</v>
      </c>
      <c r="N601" s="130">
        <v>109.83333333333333</v>
      </c>
      <c r="O6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165.43333333333334</v>
      </c>
    </row>
    <row r="602" spans="1:15" x14ac:dyDescent="0.25">
      <c r="A602" s="15">
        <v>33070614829</v>
      </c>
      <c r="B602" s="16" t="str">
        <f>VLOOKUP(Projeção[[#This Row],[Código]],BD_Produto[#All],6,FALSE)</f>
        <v>OLFA, BASE DE CORTE MULTIUSO CM-A4 - 30X21CM - 12"X8"</v>
      </c>
      <c r="C602" s="130">
        <v>14.233333333333334</v>
      </c>
      <c r="D602" s="130">
        <v>15.566666666666665</v>
      </c>
      <c r="E602" s="130">
        <v>14.066666666666665</v>
      </c>
      <c r="F602" s="130">
        <v>7.2333333333333343</v>
      </c>
      <c r="G602" s="130">
        <v>4.833333333333333</v>
      </c>
      <c r="H602" s="130">
        <v>7.5</v>
      </c>
      <c r="I602" s="130">
        <v>6.8333333333333348</v>
      </c>
      <c r="J602" s="130">
        <v>7.4666666666666668</v>
      </c>
      <c r="K602" s="130">
        <v>7.5</v>
      </c>
      <c r="L602" s="130">
        <v>4.6666666666666661</v>
      </c>
      <c r="M602" s="130">
        <v>6.6999999999999993</v>
      </c>
      <c r="N602" s="130">
        <v>7.1000000000000005</v>
      </c>
      <c r="O6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6.6999999999999993</v>
      </c>
    </row>
    <row r="603" spans="1:15" x14ac:dyDescent="0.25">
      <c r="A603" s="15">
        <v>33070614022</v>
      </c>
      <c r="B603" s="16" t="str">
        <f>VLOOKUP(Projeção[[#This Row],[Código]],BD_Produto[#All],6,FALSE)</f>
        <v>OLFA, BASE DE CORTE MULTIUSO RM-30X30</v>
      </c>
      <c r="C603" s="130">
        <v>9.7666666666666639</v>
      </c>
      <c r="D603" s="130">
        <v>7.4333333333333345</v>
      </c>
      <c r="E603" s="130">
        <v>5</v>
      </c>
      <c r="F603" s="130">
        <v>4.8666666666666663</v>
      </c>
      <c r="G603" s="130">
        <v>4.3999999999999995</v>
      </c>
      <c r="H603" s="130">
        <v>5.0666666666666664</v>
      </c>
      <c r="I603" s="130">
        <v>4.5999999999999996</v>
      </c>
      <c r="J603" s="130">
        <v>4.5999999999999996</v>
      </c>
      <c r="K603" s="130">
        <v>5.0666666666666664</v>
      </c>
      <c r="L603" s="130">
        <v>5.9333333333333327</v>
      </c>
      <c r="M603" s="130">
        <v>9</v>
      </c>
      <c r="N603" s="130">
        <v>9.3999999999999986</v>
      </c>
      <c r="O6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6.333333333333333</v>
      </c>
    </row>
    <row r="604" spans="1:15" x14ac:dyDescent="0.25">
      <c r="A604" s="15">
        <v>33070614758</v>
      </c>
      <c r="B604" s="16" t="str">
        <f>VLOOKUP(Projeção[[#This Row],[Código]],BD_Produto[#All],6,FALSE)</f>
        <v>OLFA, BASE DE CORTE ROTATIVO RM- IC-C - 45X30CM - 18"12"</v>
      </c>
      <c r="C604" s="130">
        <v>45.533333333333339</v>
      </c>
      <c r="D604" s="130">
        <v>35.4</v>
      </c>
      <c r="E604" s="130">
        <v>24.633333333333333</v>
      </c>
      <c r="F604" s="130">
        <v>16.633333333333333</v>
      </c>
      <c r="G604" s="130">
        <v>15</v>
      </c>
      <c r="H604" s="130">
        <v>14.766666666666667</v>
      </c>
      <c r="I604" s="130">
        <v>12.9</v>
      </c>
      <c r="J604" s="130">
        <v>15</v>
      </c>
      <c r="K604" s="130">
        <v>14.766666666666667</v>
      </c>
      <c r="L604" s="130">
        <v>14.53333333333333</v>
      </c>
      <c r="M604" s="130">
        <v>22.066666666666663</v>
      </c>
      <c r="N604" s="130">
        <v>26.099999999999998</v>
      </c>
      <c r="O6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14.033333333333333</v>
      </c>
    </row>
    <row r="605" spans="1:15" x14ac:dyDescent="0.25">
      <c r="A605" s="15">
        <v>33070614757</v>
      </c>
      <c r="B605" s="16" t="str">
        <f>VLOOKUP(Projeção[[#This Row],[Código]],BD_Produto[#All],6,FALSE)</f>
        <v>OLFA, BASE DE CORTE ROTATIVO RM- IC-M - 92X61CM - 36"X24"</v>
      </c>
      <c r="C605" s="130">
        <v>13.799999999999999</v>
      </c>
      <c r="D605" s="130">
        <v>15.6</v>
      </c>
      <c r="E605" s="130">
        <v>8.8666666666666671</v>
      </c>
      <c r="F605" s="130">
        <v>8.0333333333333314</v>
      </c>
      <c r="G605" s="130">
        <v>5.8</v>
      </c>
      <c r="H605" s="130">
        <v>6.966666666666665</v>
      </c>
      <c r="I605" s="130">
        <v>6.4666666666666659</v>
      </c>
      <c r="J605" s="130">
        <v>7.5666666666666647</v>
      </c>
      <c r="K605" s="130">
        <v>6.966666666666665</v>
      </c>
      <c r="L605" s="130">
        <v>8.5333333333333332</v>
      </c>
      <c r="M605" s="130">
        <v>15</v>
      </c>
      <c r="N605" s="130">
        <v>14.399999999999999</v>
      </c>
      <c r="O6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10.233333333333333</v>
      </c>
    </row>
    <row r="606" spans="1:15" x14ac:dyDescent="0.25">
      <c r="A606" s="15">
        <v>33070614759</v>
      </c>
      <c r="B606" s="16" t="str">
        <f>VLOOKUP(Projeção[[#This Row],[Código]],BD_Produto[#All],6,FALSE)</f>
        <v>OLFA, BASE DE CORTE ROTATIVO RM- IC-S - 60X45CM - 24"X18"</v>
      </c>
      <c r="C606" s="130">
        <v>58.6</v>
      </c>
      <c r="D606" s="130">
        <v>52.099999999999994</v>
      </c>
      <c r="E606" s="130">
        <v>30.666666666666668</v>
      </c>
      <c r="F606" s="130">
        <v>31.866666666666667</v>
      </c>
      <c r="G606" s="130">
        <v>26.93333333333333</v>
      </c>
      <c r="H606" s="130">
        <v>27.7</v>
      </c>
      <c r="I606" s="130">
        <v>26.533333333333331</v>
      </c>
      <c r="J606" s="130">
        <v>30.266666666666659</v>
      </c>
      <c r="K606" s="130">
        <v>27.7</v>
      </c>
      <c r="L606" s="130">
        <v>24.133333333333333</v>
      </c>
      <c r="M606" s="130">
        <v>39.733333333333334</v>
      </c>
      <c r="N606" s="130">
        <v>44.533333333333339</v>
      </c>
      <c r="O6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29.499999999999996</v>
      </c>
    </row>
    <row r="607" spans="1:15" x14ac:dyDescent="0.25">
      <c r="A607" s="15">
        <v>33070664518</v>
      </c>
      <c r="B607" s="16" t="str">
        <f>VLOOKUP(Projeção[[#This Row],[Código]],BD_Produto[#All],6,FALSE)</f>
        <v>OLFA, ESLITELE HEAVY DUTY DL-1</v>
      </c>
      <c r="C607" s="130">
        <v>2.8000000000000003</v>
      </c>
      <c r="D607" s="130">
        <v>2.8000000000000003</v>
      </c>
      <c r="E607" s="130">
        <v>4.5999999999999996</v>
      </c>
      <c r="F607" s="130">
        <v>2.1999999999999997</v>
      </c>
      <c r="G607" s="130">
        <v>18.233333333333331</v>
      </c>
      <c r="H607" s="130">
        <v>6.8333333333333321</v>
      </c>
      <c r="I607" s="130">
        <v>6.8333333333333321</v>
      </c>
      <c r="J607" s="130">
        <v>6.8333333333333321</v>
      </c>
      <c r="K607" s="130">
        <v>6.8333333333333321</v>
      </c>
      <c r="L607" s="130">
        <v>3.1666666666666665</v>
      </c>
      <c r="M607" s="130">
        <v>5.4999999999999991</v>
      </c>
      <c r="N607" s="130">
        <v>4.9666666666666668</v>
      </c>
      <c r="O6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</v>
      </c>
    </row>
    <row r="608" spans="1:15" x14ac:dyDescent="0.25">
      <c r="A608" s="15">
        <v>33070664517</v>
      </c>
      <c r="B608" s="16" t="str">
        <f>VLOOKUP(Projeção[[#This Row],[Código]],BD_Produto[#All],6,FALSE)</f>
        <v>OLFA, ESLITELE HEAVY DUTY XH-AL</v>
      </c>
      <c r="C608" s="130">
        <v>0.19999999999999998</v>
      </c>
      <c r="D608" s="130">
        <v>0.19999999999999998</v>
      </c>
      <c r="E608" s="130">
        <v>0.19999999999999998</v>
      </c>
      <c r="F608" s="130">
        <v>0.19999999999999998</v>
      </c>
      <c r="G608" s="130">
        <v>0</v>
      </c>
      <c r="H608" s="130">
        <v>0</v>
      </c>
      <c r="I608" s="130">
        <v>0</v>
      </c>
      <c r="J608" s="130">
        <v>1</v>
      </c>
      <c r="K608" s="130">
        <v>0</v>
      </c>
      <c r="L608" s="130">
        <v>2</v>
      </c>
      <c r="M608" s="130">
        <v>3.4</v>
      </c>
      <c r="N608" s="130">
        <v>3.4</v>
      </c>
      <c r="O6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10.7</v>
      </c>
    </row>
    <row r="609" spans="1:15" x14ac:dyDescent="0.25">
      <c r="A609" s="15">
        <v>33070614012</v>
      </c>
      <c r="B609" s="16" t="str">
        <f>VLOOKUP(Projeção[[#This Row],[Código]],BD_Produto[#All],6,FALSE)</f>
        <v>OLFA, ESPÁTULA BSR-300</v>
      </c>
      <c r="C609" s="130">
        <v>6.6666666666666666E-2</v>
      </c>
      <c r="D609" s="130">
        <v>0</v>
      </c>
      <c r="E609" s="130">
        <v>0</v>
      </c>
      <c r="F609" s="130">
        <v>0.56666666666666654</v>
      </c>
      <c r="G609" s="130">
        <v>0.16666666666666663</v>
      </c>
      <c r="H609" s="130">
        <v>0.16666666666666663</v>
      </c>
      <c r="I609" s="130">
        <v>0.16666666666666663</v>
      </c>
      <c r="J609" s="130">
        <v>3.3333333333333333E-2</v>
      </c>
      <c r="K609" s="130">
        <v>0.16666666666666663</v>
      </c>
      <c r="L609" s="130">
        <v>1.0333333333333334</v>
      </c>
      <c r="M609" s="130">
        <v>1.4333333333333333</v>
      </c>
      <c r="N609" s="130">
        <v>1.4333333333333333</v>
      </c>
      <c r="O6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1.1333333333333333</v>
      </c>
    </row>
    <row r="610" spans="1:15" x14ac:dyDescent="0.25">
      <c r="A610" s="15">
        <v>33070614922</v>
      </c>
      <c r="B610" s="16" t="str">
        <f>VLOOKUP(Projeção[[#This Row],[Código]],BD_Produto[#All],6,FALSE)</f>
        <v>OLFA, ESPÁTULA SCR-L</v>
      </c>
      <c r="C610" s="130">
        <v>8.1999999999999993</v>
      </c>
      <c r="D610" s="130">
        <v>5.9</v>
      </c>
      <c r="E610" s="130">
        <v>3.4999999999999996</v>
      </c>
      <c r="F610" s="130">
        <v>3.0333333333333328</v>
      </c>
      <c r="G610" s="130">
        <v>1.4333333333333333</v>
      </c>
      <c r="H610" s="130">
        <v>1.1333333333333331</v>
      </c>
      <c r="I610" s="130">
        <v>1.1333333333333331</v>
      </c>
      <c r="J610" s="130">
        <v>0.86666666666666659</v>
      </c>
      <c r="K610" s="130">
        <v>1.1333333333333331</v>
      </c>
      <c r="L610" s="130">
        <v>2.8666666666666667</v>
      </c>
      <c r="M610" s="130">
        <v>6</v>
      </c>
      <c r="N610" s="130">
        <v>5.8</v>
      </c>
      <c r="O6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6.5666666666666664</v>
      </c>
    </row>
    <row r="611" spans="1:15" x14ac:dyDescent="0.25">
      <c r="A611" s="15">
        <v>33070663218</v>
      </c>
      <c r="B611" s="16" t="str">
        <f>VLOOKUP(Projeção[[#This Row],[Código]],BD_Produto[#All],6,FALSE)</f>
        <v>OLFA, ESTILETE DE SEGURANÇA SK-10</v>
      </c>
      <c r="C611" s="130">
        <v>24.5</v>
      </c>
      <c r="D611" s="130">
        <v>37.199999999999996</v>
      </c>
      <c r="E611" s="130">
        <v>14.966666666666665</v>
      </c>
      <c r="F611" s="130">
        <v>23.466666666666669</v>
      </c>
      <c r="G611" s="130">
        <v>11.033333333333333</v>
      </c>
      <c r="H611" s="130">
        <v>41.599999999999994</v>
      </c>
      <c r="I611" s="130">
        <v>41.599999999999994</v>
      </c>
      <c r="J611" s="130">
        <v>77.099999999999994</v>
      </c>
      <c r="K611" s="130">
        <v>41.599999999999994</v>
      </c>
      <c r="L611" s="130">
        <v>63.633333333333333</v>
      </c>
      <c r="M611" s="130">
        <v>62.3</v>
      </c>
      <c r="N611" s="130">
        <v>88.133333333333326</v>
      </c>
      <c r="O6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109.7</v>
      </c>
    </row>
    <row r="612" spans="1:15" ht="15" customHeight="1" x14ac:dyDescent="0.2">
      <c r="A612" s="15">
        <v>33070665298</v>
      </c>
      <c r="B612" s="126" t="str">
        <f>VLOOKUP(Projeção[[#This Row],[Código]],BD_Produto[#All],6,FALSE)</f>
        <v>OLFA, ESTILETE DE SEGURANÇA SK-12</v>
      </c>
      <c r="C612" s="142"/>
      <c r="D612" s="142"/>
      <c r="E612" s="142"/>
      <c r="F612" s="142"/>
      <c r="G612" s="142"/>
      <c r="H612" s="142"/>
      <c r="I612" s="142"/>
      <c r="J612" s="142"/>
      <c r="K612" s="142"/>
      <c r="L612" s="142">
        <v>0</v>
      </c>
      <c r="M612" s="142">
        <v>0</v>
      </c>
      <c r="N612" s="142">
        <v>0</v>
      </c>
      <c r="O612" s="142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1.4000000000000001</v>
      </c>
    </row>
    <row r="613" spans="1:15" x14ac:dyDescent="0.25">
      <c r="A613" s="15">
        <v>33070614778</v>
      </c>
      <c r="B613" s="16" t="str">
        <f>VLOOKUP(Projeção[[#This Row],[Código]],BD_Produto[#All],6,FALSE)</f>
        <v>OLFA, ESTILETE DE SEGURANÇA SK-4</v>
      </c>
      <c r="C613" s="130">
        <v>444.09999999999997</v>
      </c>
      <c r="D613" s="130">
        <v>405.36666666666673</v>
      </c>
      <c r="E613" s="130">
        <v>249.7</v>
      </c>
      <c r="F613" s="130">
        <v>316.10000000000002</v>
      </c>
      <c r="G613" s="130">
        <v>308.86666666666667</v>
      </c>
      <c r="H613" s="130">
        <v>221.86666666666665</v>
      </c>
      <c r="I613" s="130">
        <v>221.86666666666665</v>
      </c>
      <c r="J613" s="130">
        <v>186.53333333333333</v>
      </c>
      <c r="K613" s="130">
        <v>221.86666666666665</v>
      </c>
      <c r="L613" s="130">
        <v>146.03333333333333</v>
      </c>
      <c r="M613" s="130">
        <v>247.39999999999998</v>
      </c>
      <c r="N613" s="130">
        <v>233.63333333333333</v>
      </c>
      <c r="O6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144.23333333333332</v>
      </c>
    </row>
    <row r="614" spans="1:15" x14ac:dyDescent="0.25">
      <c r="A614" s="15">
        <v>33070661991</v>
      </c>
      <c r="B614" s="16" t="str">
        <f>VLOOKUP(Projeção[[#This Row],[Código]],BD_Produto[#All],6,FALSE)</f>
        <v>OLFA, ESTILETE DE SEGURANÇA SK-4/GREEN</v>
      </c>
      <c r="C614" s="130">
        <v>0</v>
      </c>
      <c r="D614" s="130">
        <v>0</v>
      </c>
      <c r="E614" s="130">
        <v>0</v>
      </c>
      <c r="F614" s="130">
        <v>0</v>
      </c>
      <c r="G614" s="130">
        <v>0</v>
      </c>
      <c r="H614" s="130">
        <v>0</v>
      </c>
      <c r="I614" s="130">
        <v>0</v>
      </c>
      <c r="J614" s="130">
        <v>0</v>
      </c>
      <c r="K614" s="130">
        <v>0</v>
      </c>
      <c r="L614" s="130">
        <v>0</v>
      </c>
      <c r="M614" s="130">
        <v>0</v>
      </c>
      <c r="N614" s="130">
        <v>0</v>
      </c>
      <c r="O6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15" spans="1:15" x14ac:dyDescent="0.25">
      <c r="A615" s="15">
        <v>33070664310</v>
      </c>
      <c r="B615" s="16" t="str">
        <f>VLOOKUP(Projeção[[#This Row],[Código]],BD_Produto[#All],6,FALSE)</f>
        <v>OLFA, ESTILETE DE SEGURANÇA SK-5</v>
      </c>
      <c r="C615" s="130">
        <v>7.1999999999999993</v>
      </c>
      <c r="D615" s="130">
        <v>5.8</v>
      </c>
      <c r="E615" s="130">
        <v>3.1999999999999997</v>
      </c>
      <c r="F615" s="130">
        <v>2.7333333333333325</v>
      </c>
      <c r="G615" s="130">
        <v>1.1333333333333331</v>
      </c>
      <c r="H615" s="130">
        <v>0.93333333333333335</v>
      </c>
      <c r="I615" s="130">
        <v>0.53333333333333333</v>
      </c>
      <c r="J615" s="130">
        <v>0.66666666666666663</v>
      </c>
      <c r="K615" s="130">
        <v>0.93333333333333335</v>
      </c>
      <c r="L615" s="130">
        <v>0.66666666666666663</v>
      </c>
      <c r="M615" s="130">
        <v>0.66666666666666663</v>
      </c>
      <c r="N615" s="130">
        <v>0.66666666666666663</v>
      </c>
      <c r="O6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4.2666666666666666</v>
      </c>
    </row>
    <row r="616" spans="1:15" x14ac:dyDescent="0.25">
      <c r="A616" s="15">
        <v>33070664309</v>
      </c>
      <c r="B616" s="16" t="str">
        <f>VLOOKUP(Projeção[[#This Row],[Código]],BD_Produto[#All],6,FALSE)</f>
        <v>OLFA, ESTILETE DE SEGURANÇA SK-6</v>
      </c>
      <c r="C616" s="130">
        <v>54.6</v>
      </c>
      <c r="D616" s="130">
        <v>38.199999999999996</v>
      </c>
      <c r="E616" s="130">
        <v>44.56666666666667</v>
      </c>
      <c r="F616" s="130">
        <v>19.233333333333331</v>
      </c>
      <c r="G616" s="130">
        <v>12.033333333333333</v>
      </c>
      <c r="H616" s="130">
        <v>7.1000000000000005</v>
      </c>
      <c r="I616" s="130">
        <v>6.8999999999999995</v>
      </c>
      <c r="J616" s="130">
        <v>6.3</v>
      </c>
      <c r="K616" s="130">
        <v>7.1000000000000005</v>
      </c>
      <c r="L616" s="130">
        <v>5.7</v>
      </c>
      <c r="M616" s="130">
        <v>7.1000000000000005</v>
      </c>
      <c r="N616" s="130">
        <v>9.9</v>
      </c>
      <c r="O6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13.966666666666665</v>
      </c>
    </row>
    <row r="617" spans="1:15" x14ac:dyDescent="0.25">
      <c r="A617" s="15">
        <v>33070660353</v>
      </c>
      <c r="B617" s="16" t="str">
        <f>VLOOKUP(Projeção[[#This Row],[Código]],BD_Produto[#All],6,FALSE)</f>
        <v>OLFA, ESTILETE DE SEGURANÇA SK-7</v>
      </c>
      <c r="C617" s="130">
        <v>90.166666666666657</v>
      </c>
      <c r="D617" s="130">
        <v>29.766666666666666</v>
      </c>
      <c r="E617" s="130">
        <v>29.7</v>
      </c>
      <c r="F617" s="130">
        <v>13.799999999999999</v>
      </c>
      <c r="G617" s="130">
        <v>9.7666666666666639</v>
      </c>
      <c r="H617" s="130">
        <v>9.1333333333333329</v>
      </c>
      <c r="I617" s="130">
        <v>9.1</v>
      </c>
      <c r="J617" s="130">
        <v>8.8333333333333339</v>
      </c>
      <c r="K617" s="130">
        <v>9.1333333333333329</v>
      </c>
      <c r="L617" s="130">
        <v>19.2</v>
      </c>
      <c r="M617" s="130">
        <v>21.2</v>
      </c>
      <c r="N617" s="130">
        <v>26.2</v>
      </c>
      <c r="O6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20.366666666666671</v>
      </c>
    </row>
    <row r="618" spans="1:15" x14ac:dyDescent="0.25">
      <c r="A618" s="15">
        <v>33070661992</v>
      </c>
      <c r="B618" s="16" t="str">
        <f>VLOOKUP(Projeção[[#This Row],[Código]],BD_Produto[#All],6,FALSE)</f>
        <v>OLFA, ESTILETE DE SEGURANÇA SK-8</v>
      </c>
      <c r="C618" s="130">
        <v>19.733333333333331</v>
      </c>
      <c r="D618" s="130">
        <v>17.533333333333331</v>
      </c>
      <c r="E618" s="130">
        <v>9.5333333333333314</v>
      </c>
      <c r="F618" s="130">
        <v>10.666666666666664</v>
      </c>
      <c r="G618" s="130">
        <v>26.066666666666659</v>
      </c>
      <c r="H618" s="130">
        <v>12.066666666666666</v>
      </c>
      <c r="I618" s="130">
        <v>12.066666666666666</v>
      </c>
      <c r="J618" s="130">
        <v>14.8</v>
      </c>
      <c r="K618" s="130">
        <v>12.066666666666666</v>
      </c>
      <c r="L618" s="130">
        <v>18.733333333333334</v>
      </c>
      <c r="M618" s="130">
        <v>20.733333333333331</v>
      </c>
      <c r="N618" s="130">
        <v>10.933333333333335</v>
      </c>
      <c r="O6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18.366666666666667</v>
      </c>
    </row>
    <row r="619" spans="1:15" x14ac:dyDescent="0.25">
      <c r="A619" s="15">
        <v>33070663732</v>
      </c>
      <c r="B619" s="16" t="str">
        <f>VLOOKUP(Projeção[[#This Row],[Código]],BD_Produto[#All],6,FALSE)</f>
        <v>OLFA, ESTILETE DE SEGURANÇA SK-9</v>
      </c>
      <c r="C619" s="130">
        <v>3.4</v>
      </c>
      <c r="D619" s="130">
        <v>1</v>
      </c>
      <c r="E619" s="130">
        <v>1</v>
      </c>
      <c r="F619" s="130">
        <v>1.333333333333333</v>
      </c>
      <c r="G619" s="130">
        <v>0.53333333333333333</v>
      </c>
      <c r="H619" s="130">
        <v>0.53333333333333333</v>
      </c>
      <c r="I619" s="130">
        <v>0.53333333333333333</v>
      </c>
      <c r="J619" s="130">
        <v>0.26666666666666666</v>
      </c>
      <c r="K619" s="130">
        <v>0.53333333333333333</v>
      </c>
      <c r="L619" s="130">
        <v>0.6</v>
      </c>
      <c r="M619" s="130">
        <v>2.1333333333333333</v>
      </c>
      <c r="N619" s="130">
        <v>3.5333333333333337</v>
      </c>
      <c r="O6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10.466666666666667</v>
      </c>
    </row>
    <row r="620" spans="1:15" x14ac:dyDescent="0.25">
      <c r="A620" s="15">
        <v>33070614908</v>
      </c>
      <c r="B620" s="16" t="str">
        <f>VLOOKUP(Projeção[[#This Row],[Código]],BD_Produto[#All],6,FALSE)</f>
        <v>OLFA, ESTILETE ESPECIAL 45-C</v>
      </c>
      <c r="C620" s="130">
        <v>19.733333333333331</v>
      </c>
      <c r="D620" s="130">
        <v>18.833333333333332</v>
      </c>
      <c r="E620" s="130">
        <v>17.966666666666665</v>
      </c>
      <c r="F620" s="130">
        <v>15.7</v>
      </c>
      <c r="G620" s="130">
        <v>12.6</v>
      </c>
      <c r="H620" s="130">
        <v>9.5666666666666664</v>
      </c>
      <c r="I620" s="130">
        <v>9.4666666666666668</v>
      </c>
      <c r="J620" s="130">
        <v>7.9333333333333327</v>
      </c>
      <c r="K620" s="130">
        <v>9.5666666666666664</v>
      </c>
      <c r="L620" s="130">
        <v>10.966666666666665</v>
      </c>
      <c r="M620" s="130">
        <v>16.600000000000001</v>
      </c>
      <c r="N620" s="130">
        <v>19.066666666666663</v>
      </c>
      <c r="O6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29.499999999999996</v>
      </c>
    </row>
    <row r="621" spans="1:15" x14ac:dyDescent="0.25">
      <c r="A621" s="15">
        <v>33070614831</v>
      </c>
      <c r="B621" s="16" t="str">
        <f>VLOOKUP(Projeção[[#This Row],[Código]],BD_Produto[#All],6,FALSE)</f>
        <v>OLFA, ESTILETE ESPECIAL AK-1/5B</v>
      </c>
      <c r="C621" s="130">
        <v>112.93333333333332</v>
      </c>
      <c r="D621" s="130">
        <v>124.46666666666667</v>
      </c>
      <c r="E621" s="130">
        <v>81.099999999999994</v>
      </c>
      <c r="F621" s="130">
        <v>82.933333333333337</v>
      </c>
      <c r="G621" s="130">
        <v>100.56666666666666</v>
      </c>
      <c r="H621" s="130">
        <v>86.633333333333326</v>
      </c>
      <c r="I621" s="130">
        <v>84.999999999999986</v>
      </c>
      <c r="J621" s="130">
        <v>94.066666666666677</v>
      </c>
      <c r="K621" s="130">
        <v>86.633333333333326</v>
      </c>
      <c r="L621" s="130">
        <v>73.8</v>
      </c>
      <c r="M621" s="130">
        <v>115.33333333333331</v>
      </c>
      <c r="N621" s="130">
        <v>140.06666666666666</v>
      </c>
      <c r="O6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99.133333333333312</v>
      </c>
    </row>
    <row r="622" spans="1:15" x14ac:dyDescent="0.25">
      <c r="A622" s="15">
        <v>33070663733</v>
      </c>
      <c r="B622" s="16" t="str">
        <f>VLOOKUP(Projeção[[#This Row],[Código]],BD_Produto[#All],6,FALSE)</f>
        <v>OLFA, ESTILETE ESPECIAL AK-4</v>
      </c>
      <c r="C622" s="130">
        <v>12.766666666666664</v>
      </c>
      <c r="D622" s="130">
        <v>17.833333333333329</v>
      </c>
      <c r="E622" s="130">
        <v>7.7</v>
      </c>
      <c r="F622" s="130">
        <v>10.733333333333333</v>
      </c>
      <c r="G622" s="130">
        <v>11.4</v>
      </c>
      <c r="H622" s="130">
        <v>10.366666666666665</v>
      </c>
      <c r="I622" s="130">
        <v>10.166666666666666</v>
      </c>
      <c r="J622" s="130">
        <v>10.233333333333334</v>
      </c>
      <c r="K622" s="130">
        <v>10.366666666666665</v>
      </c>
      <c r="L622" s="130">
        <v>11.4</v>
      </c>
      <c r="M622" s="130">
        <v>13.966666666666669</v>
      </c>
      <c r="N622" s="130">
        <v>19.599999999999998</v>
      </c>
      <c r="O6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23.266666666666662</v>
      </c>
    </row>
    <row r="623" spans="1:15" x14ac:dyDescent="0.25">
      <c r="A623" s="15">
        <v>33070664314</v>
      </c>
      <c r="B623" s="16" t="str">
        <f>VLOOKUP(Projeção[[#This Row],[Código]],BD_Produto[#All],6,FALSE)</f>
        <v>OLFA, ESTILETE ESPECIAL AK-5</v>
      </c>
      <c r="C623" s="130">
        <v>24.033333333333328</v>
      </c>
      <c r="D623" s="130">
        <v>16.233333333333334</v>
      </c>
      <c r="E623" s="130">
        <v>18.766666666666666</v>
      </c>
      <c r="F623" s="130">
        <v>15.1</v>
      </c>
      <c r="G623" s="130">
        <v>11.899999999999999</v>
      </c>
      <c r="H623" s="130">
        <v>14.033333333333331</v>
      </c>
      <c r="I623" s="130">
        <v>14.033333333333331</v>
      </c>
      <c r="J623" s="130">
        <v>13.833333333333332</v>
      </c>
      <c r="K623" s="130">
        <v>14.033333333333331</v>
      </c>
      <c r="L623" s="130">
        <v>19.466666666666669</v>
      </c>
      <c r="M623" s="130">
        <v>31.4</v>
      </c>
      <c r="N623" s="130">
        <v>32.1</v>
      </c>
      <c r="O6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22.5</v>
      </c>
    </row>
    <row r="624" spans="1:15" x14ac:dyDescent="0.25">
      <c r="A624" s="15">
        <v>33070614732</v>
      </c>
      <c r="B624" s="16" t="str">
        <f>VLOOKUP(Projeção[[#This Row],[Código]],BD_Produto[#All],6,FALSE)</f>
        <v>OLFA, ESTILETE ESPECIAL CMP-1</v>
      </c>
      <c r="C624" s="130">
        <v>23.93333333333333</v>
      </c>
      <c r="D624" s="130">
        <v>43.966666666666661</v>
      </c>
      <c r="E624" s="130">
        <v>25.133333333333329</v>
      </c>
      <c r="F624" s="130">
        <v>22.866666666666667</v>
      </c>
      <c r="G624" s="130">
        <v>27.533333333333331</v>
      </c>
      <c r="H624" s="130">
        <v>18.733333333333331</v>
      </c>
      <c r="I624" s="130">
        <v>17.833333333333329</v>
      </c>
      <c r="J624" s="130">
        <v>19.266666666666669</v>
      </c>
      <c r="K624" s="130">
        <v>18.733333333333331</v>
      </c>
      <c r="L624" s="130">
        <v>17.133333333333333</v>
      </c>
      <c r="M624" s="130">
        <v>25.43333333333333</v>
      </c>
      <c r="N624" s="130">
        <v>25.5</v>
      </c>
      <c r="O6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18.93333333333333</v>
      </c>
    </row>
    <row r="625" spans="1:15" x14ac:dyDescent="0.25">
      <c r="A625" s="15">
        <v>33070663734</v>
      </c>
      <c r="B625" s="16" t="str">
        <f>VLOOKUP(Projeção[[#This Row],[Código]],BD_Produto[#All],6,FALSE)</f>
        <v>OLFA, ESTILETE ESPECIAL CMP-1/DX</v>
      </c>
      <c r="C625" s="130">
        <v>26.099999999999998</v>
      </c>
      <c r="D625" s="130">
        <v>38.06666666666667</v>
      </c>
      <c r="E625" s="130">
        <v>21.466666666666665</v>
      </c>
      <c r="F625" s="130">
        <v>17.733333333333334</v>
      </c>
      <c r="G625" s="130">
        <v>8</v>
      </c>
      <c r="H625" s="130">
        <v>9.7999999999999989</v>
      </c>
      <c r="I625" s="130">
        <v>8.7999999999999989</v>
      </c>
      <c r="J625" s="130">
        <v>10.333333333333334</v>
      </c>
      <c r="K625" s="130">
        <v>9.7999999999999989</v>
      </c>
      <c r="L625" s="130">
        <v>12.2</v>
      </c>
      <c r="M625" s="130">
        <v>17.633333333333329</v>
      </c>
      <c r="N625" s="130">
        <v>19.233333333333331</v>
      </c>
      <c r="O6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8.5666666666666664</v>
      </c>
    </row>
    <row r="626" spans="1:15" x14ac:dyDescent="0.25">
      <c r="A626" s="15">
        <v>33070614733</v>
      </c>
      <c r="B626" s="16" t="str">
        <f>VLOOKUP(Projeção[[#This Row],[Código]],BD_Produto[#All],6,FALSE)</f>
        <v>OLFA, ESTILETE ESPECIAL CMP-2</v>
      </c>
      <c r="C626" s="130">
        <v>3.0666666666666664</v>
      </c>
      <c r="D626" s="130">
        <v>2.4666666666666668</v>
      </c>
      <c r="E626" s="130">
        <v>1.4000000000000001</v>
      </c>
      <c r="F626" s="130">
        <v>1.4000000000000001</v>
      </c>
      <c r="G626" s="130">
        <v>1.0666666666666667</v>
      </c>
      <c r="H626" s="130">
        <v>1.5</v>
      </c>
      <c r="I626" s="130">
        <v>1.4666666666666666</v>
      </c>
      <c r="J626" s="130">
        <v>3.6666666666666661</v>
      </c>
      <c r="K626" s="130">
        <v>1.5</v>
      </c>
      <c r="L626" s="130">
        <v>3.4</v>
      </c>
      <c r="M626" s="130">
        <v>3.3666666666666663</v>
      </c>
      <c r="N626" s="130">
        <v>6.1333333333333329</v>
      </c>
      <c r="O6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3.5999999999999996</v>
      </c>
    </row>
    <row r="627" spans="1:15" x14ac:dyDescent="0.25">
      <c r="A627" s="15">
        <v>33070614912</v>
      </c>
      <c r="B627" s="16" t="str">
        <f>VLOOKUP(Projeção[[#This Row],[Código]],BD_Produto[#All],6,FALSE)</f>
        <v>OLFA, ESTILETE ESPECIAL HOK-1</v>
      </c>
      <c r="C627" s="130">
        <v>3.4</v>
      </c>
      <c r="D627" s="130">
        <v>1.5</v>
      </c>
      <c r="E627" s="130">
        <v>1.5</v>
      </c>
      <c r="F627" s="130">
        <v>7.8999999999999995</v>
      </c>
      <c r="G627" s="130">
        <v>2.9</v>
      </c>
      <c r="H627" s="130">
        <v>7.8999999999999995</v>
      </c>
      <c r="I627" s="130">
        <v>7.8999999999999995</v>
      </c>
      <c r="J627" s="130">
        <v>8.3000000000000007</v>
      </c>
      <c r="K627" s="130">
        <v>7.8999999999999995</v>
      </c>
      <c r="L627" s="130">
        <v>4.6333333333333329</v>
      </c>
      <c r="M627" s="130">
        <v>6.5666666666666664</v>
      </c>
      <c r="N627" s="130">
        <v>6.5666666666666664</v>
      </c>
      <c r="O6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9.3333333333333321</v>
      </c>
    </row>
    <row r="628" spans="1:15" x14ac:dyDescent="0.25">
      <c r="A628" s="15">
        <v>33070614731</v>
      </c>
      <c r="B628" s="16" t="str">
        <f>VLOOKUP(Projeção[[#This Row],[Código]],BD_Produto[#All],6,FALSE)</f>
        <v>OLFA, ESTILETE ESPECIAL MC-45</v>
      </c>
      <c r="C628" s="130">
        <v>1.4333333333333333</v>
      </c>
      <c r="D628" s="130">
        <v>0.83333333333333337</v>
      </c>
      <c r="E628" s="130">
        <v>2.4666666666666663</v>
      </c>
      <c r="F628" s="130">
        <v>2.9666666666666663</v>
      </c>
      <c r="G628" s="130">
        <v>2.8666666666666667</v>
      </c>
      <c r="H628" s="130">
        <v>1.9</v>
      </c>
      <c r="I628" s="130">
        <v>1.9</v>
      </c>
      <c r="J628" s="130">
        <v>1.2666666666666666</v>
      </c>
      <c r="K628" s="130">
        <v>1.9</v>
      </c>
      <c r="L628" s="130">
        <v>1.1333333333333331</v>
      </c>
      <c r="M628" s="130">
        <v>2.1333333333333333</v>
      </c>
      <c r="N628" s="130">
        <v>2.5666666666666664</v>
      </c>
      <c r="O6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</v>
      </c>
    </row>
    <row r="629" spans="1:15" x14ac:dyDescent="0.25">
      <c r="A629" s="15">
        <v>33070614827</v>
      </c>
      <c r="B629" s="16" t="str">
        <f>VLOOKUP(Projeção[[#This Row],[Código]],BD_Produto[#All],6,FALSE)</f>
        <v>OLFA, ESTILETE ESPECIAL P-120</v>
      </c>
      <c r="C629" s="130">
        <v>0</v>
      </c>
      <c r="D629" s="130">
        <v>0</v>
      </c>
      <c r="E629" s="130">
        <v>0</v>
      </c>
      <c r="F629" s="130">
        <v>0</v>
      </c>
      <c r="G629" s="130">
        <v>0</v>
      </c>
      <c r="H629" s="130">
        <v>0</v>
      </c>
      <c r="I629" s="130">
        <v>0</v>
      </c>
      <c r="J629" s="130">
        <v>0</v>
      </c>
      <c r="K629" s="130">
        <v>0</v>
      </c>
      <c r="L629" s="130">
        <v>0</v>
      </c>
      <c r="M629" s="130">
        <v>0</v>
      </c>
      <c r="N629" s="130">
        <v>0</v>
      </c>
      <c r="O6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30" spans="1:15" x14ac:dyDescent="0.25">
      <c r="A630" s="15">
        <v>33070614739</v>
      </c>
      <c r="B630" s="16" t="str">
        <f>VLOOKUP(Projeção[[#This Row],[Código]],BD_Produto[#All],6,FALSE)</f>
        <v>OLFA, ESTILETE ESPECIAL P-450</v>
      </c>
      <c r="C630" s="130">
        <v>0</v>
      </c>
      <c r="D630" s="130">
        <v>0</v>
      </c>
      <c r="E630" s="130">
        <v>0</v>
      </c>
      <c r="F630" s="130">
        <v>0</v>
      </c>
      <c r="G630" s="130">
        <v>0</v>
      </c>
      <c r="H630" s="130">
        <v>0</v>
      </c>
      <c r="I630" s="130">
        <v>0</v>
      </c>
      <c r="J630" s="130">
        <v>0</v>
      </c>
      <c r="K630" s="130">
        <v>0</v>
      </c>
      <c r="L630" s="130">
        <v>0</v>
      </c>
      <c r="M630" s="130">
        <v>0</v>
      </c>
      <c r="N630" s="130">
        <v>0</v>
      </c>
      <c r="O6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31" spans="1:15" x14ac:dyDescent="0.25">
      <c r="A631" s="15">
        <v>33070614743</v>
      </c>
      <c r="B631" s="16" t="str">
        <f>VLOOKUP(Projeção[[#This Row],[Código]],BD_Produto[#All],6,FALSE)</f>
        <v>OLFA, ESTILETE ESPECIAL P-800</v>
      </c>
      <c r="C631" s="130">
        <v>0</v>
      </c>
      <c r="D631" s="130">
        <v>0</v>
      </c>
      <c r="E631" s="130">
        <v>0</v>
      </c>
      <c r="F631" s="130">
        <v>0</v>
      </c>
      <c r="G631" s="130">
        <v>0</v>
      </c>
      <c r="H631" s="130">
        <v>0</v>
      </c>
      <c r="I631" s="130">
        <v>0</v>
      </c>
      <c r="J631" s="130">
        <v>0</v>
      </c>
      <c r="K631" s="130">
        <v>0</v>
      </c>
      <c r="L631" s="130">
        <v>0</v>
      </c>
      <c r="M631" s="130">
        <v>0</v>
      </c>
      <c r="N631" s="130">
        <v>0</v>
      </c>
      <c r="O6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32" spans="1:15" x14ac:dyDescent="0.25">
      <c r="A632" s="15">
        <v>33070663176</v>
      </c>
      <c r="B632" s="16" t="str">
        <f>VLOOKUP(Projeção[[#This Row],[Código]],BD_Produto[#All],6,FALSE)</f>
        <v>OLFA, ESTILETE ESPECIAL PC-L</v>
      </c>
      <c r="C632" s="130">
        <v>12.633333333333335</v>
      </c>
      <c r="D632" s="130">
        <v>10.266666666666666</v>
      </c>
      <c r="E632" s="130">
        <v>6.3666666666666663</v>
      </c>
      <c r="F632" s="130">
        <v>5.5666666666666655</v>
      </c>
      <c r="G632" s="130">
        <v>14.566666666666665</v>
      </c>
      <c r="H632" s="130">
        <v>10.166666666666666</v>
      </c>
      <c r="I632" s="130">
        <v>9.9333333333333318</v>
      </c>
      <c r="J632" s="130">
        <v>14.666666666666668</v>
      </c>
      <c r="K632" s="130">
        <v>10.166666666666666</v>
      </c>
      <c r="L632" s="130">
        <v>15.299999999999999</v>
      </c>
      <c r="M632" s="130">
        <v>18.433333333333334</v>
      </c>
      <c r="N632" s="130">
        <v>17.366666666666667</v>
      </c>
      <c r="O6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12.1</v>
      </c>
    </row>
    <row r="633" spans="1:15" x14ac:dyDescent="0.25">
      <c r="A633" s="15">
        <v>33070663175</v>
      </c>
      <c r="B633" s="16" t="str">
        <f>VLOOKUP(Projeção[[#This Row],[Código]],BD_Produto[#All],6,FALSE)</f>
        <v>OLFA, ESTILETE ESPECIAL PC-S</v>
      </c>
      <c r="C633" s="130">
        <v>19.033333333333335</v>
      </c>
      <c r="D633" s="130">
        <v>21.733333333333331</v>
      </c>
      <c r="E633" s="130">
        <v>10.133333333333333</v>
      </c>
      <c r="F633" s="130">
        <v>13.333333333333334</v>
      </c>
      <c r="G633" s="130">
        <v>6.1333333333333337</v>
      </c>
      <c r="H633" s="130">
        <v>14.933333333333334</v>
      </c>
      <c r="I633" s="130">
        <v>14.533333333333335</v>
      </c>
      <c r="J633" s="130">
        <v>14.333333333333334</v>
      </c>
      <c r="K633" s="130">
        <v>14.933333333333334</v>
      </c>
      <c r="L633" s="130">
        <v>10.466666666666665</v>
      </c>
      <c r="M633" s="130">
        <v>15.533333333333333</v>
      </c>
      <c r="N633" s="130">
        <v>18.333333333333332</v>
      </c>
      <c r="O6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15.833333333333332</v>
      </c>
    </row>
    <row r="634" spans="1:15" x14ac:dyDescent="0.25">
      <c r="A634" s="15">
        <v>33070614897</v>
      </c>
      <c r="B634" s="16" t="str">
        <f>VLOOKUP(Projeção[[#This Row],[Código]],BD_Produto[#All],6,FALSE)</f>
        <v>OLFA, ESTILETE ESPECIAL PRC-2</v>
      </c>
      <c r="C634" s="130">
        <v>11.333333333333334</v>
      </c>
      <c r="D634" s="130">
        <v>20.93333333333333</v>
      </c>
      <c r="E634" s="130">
        <v>11.8</v>
      </c>
      <c r="F634" s="130">
        <v>13.66666666666667</v>
      </c>
      <c r="G634" s="130">
        <v>9.4666666666666668</v>
      </c>
      <c r="H634" s="130">
        <v>11.1</v>
      </c>
      <c r="I634" s="130">
        <v>10.866666666666665</v>
      </c>
      <c r="J634" s="130">
        <v>14.5</v>
      </c>
      <c r="K634" s="130">
        <v>11.1</v>
      </c>
      <c r="L634" s="130">
        <v>21.666666666666668</v>
      </c>
      <c r="M634" s="130">
        <v>25.8</v>
      </c>
      <c r="N634" s="130">
        <v>23.499999999999996</v>
      </c>
      <c r="O6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14.1</v>
      </c>
    </row>
    <row r="635" spans="1:15" ht="15" customHeight="1" x14ac:dyDescent="0.2">
      <c r="A635" s="15">
        <v>33070665295</v>
      </c>
      <c r="B635" s="126" t="str">
        <f>VLOOKUP(Projeção[[#This Row],[Código]],BD_Produto[#All],6,FALSE)</f>
        <v>OLFA, ESTILETE ESPECIAL PRC-3</v>
      </c>
      <c r="C635" s="141"/>
      <c r="D635" s="141"/>
      <c r="E635" s="141"/>
      <c r="F635" s="141"/>
      <c r="G635" s="141"/>
      <c r="H635" s="141"/>
      <c r="I635" s="141"/>
      <c r="J635" s="141"/>
      <c r="K635" s="141"/>
      <c r="L635" s="141">
        <v>0</v>
      </c>
      <c r="M635" s="141">
        <v>0</v>
      </c>
      <c r="N635" s="141">
        <v>0</v>
      </c>
      <c r="O635" s="14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3.2666666666666662</v>
      </c>
    </row>
    <row r="636" spans="1:15" x14ac:dyDescent="0.25">
      <c r="A636" s="15">
        <v>33070614911</v>
      </c>
      <c r="B636" s="16" t="str">
        <f>VLOOKUP(Projeção[[#This Row],[Código]],BD_Produto[#All],6,FALSE)</f>
        <v>OLFA, ESTILETE ESPECIAL SC-1</v>
      </c>
      <c r="C636" s="130">
        <v>0</v>
      </c>
      <c r="D636" s="130">
        <v>0</v>
      </c>
      <c r="E636" s="130">
        <v>0</v>
      </c>
      <c r="F636" s="130">
        <v>0</v>
      </c>
      <c r="G636" s="130">
        <v>0</v>
      </c>
      <c r="H636" s="130">
        <v>0</v>
      </c>
      <c r="I636" s="130">
        <v>0</v>
      </c>
      <c r="J636" s="130">
        <v>0</v>
      </c>
      <c r="K636" s="130">
        <v>0</v>
      </c>
      <c r="L636" s="130">
        <v>0</v>
      </c>
      <c r="M636" s="130">
        <v>0</v>
      </c>
      <c r="N636" s="130">
        <v>0</v>
      </c>
      <c r="O6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37" spans="1:15" x14ac:dyDescent="0.25">
      <c r="A637" s="15">
        <v>33070664311</v>
      </c>
      <c r="B637" s="16" t="str">
        <f>VLOOKUP(Projeção[[#This Row],[Código]],BD_Produto[#All],6,FALSE)</f>
        <v>OLFA, ESTILETE ESPECIAL SK-3</v>
      </c>
      <c r="C637" s="130">
        <v>0.79999999999999993</v>
      </c>
      <c r="D637" s="130">
        <v>0.6</v>
      </c>
      <c r="E637" s="130">
        <v>0.39999999999999997</v>
      </c>
      <c r="F637" s="130">
        <v>1.5333333333333332</v>
      </c>
      <c r="G637" s="130">
        <v>0.73333333333333339</v>
      </c>
      <c r="H637" s="130">
        <v>0.73333333333333339</v>
      </c>
      <c r="I637" s="130">
        <v>0.73333333333333339</v>
      </c>
      <c r="J637" s="130">
        <v>2.2666666666666666</v>
      </c>
      <c r="K637" s="130">
        <v>0.73333333333333339</v>
      </c>
      <c r="L637" s="130">
        <v>2.2666666666666666</v>
      </c>
      <c r="M637" s="130">
        <v>1.2666666666666666</v>
      </c>
      <c r="N637" s="130">
        <v>2.6666666666666665</v>
      </c>
      <c r="O6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1.2999999999999998</v>
      </c>
    </row>
    <row r="638" spans="1:15" x14ac:dyDescent="0.25">
      <c r="A638" s="15">
        <v>33070614725</v>
      </c>
      <c r="B638" s="16" t="str">
        <f>VLOOKUP(Projeção[[#This Row],[Código]],BD_Produto[#All],6,FALSE)</f>
        <v>OLFA, ESTILETE ESPECIAL XL-2</v>
      </c>
      <c r="C638" s="130">
        <v>0</v>
      </c>
      <c r="D638" s="130">
        <v>0</v>
      </c>
      <c r="E638" s="130">
        <v>0</v>
      </c>
      <c r="F638" s="130">
        <v>0</v>
      </c>
      <c r="G638" s="130">
        <v>0</v>
      </c>
      <c r="H638" s="130">
        <v>0</v>
      </c>
      <c r="I638" s="130">
        <v>0</v>
      </c>
      <c r="J638" s="130">
        <v>0</v>
      </c>
      <c r="K638" s="130">
        <v>0</v>
      </c>
      <c r="L638" s="130">
        <v>0</v>
      </c>
      <c r="M638" s="130">
        <v>0</v>
      </c>
      <c r="N638" s="130">
        <v>0</v>
      </c>
      <c r="O6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</v>
      </c>
    </row>
    <row r="639" spans="1:15" x14ac:dyDescent="0.25">
      <c r="A639" s="15">
        <v>33070664313</v>
      </c>
      <c r="B639" s="16" t="str">
        <f>VLOOKUP(Projeção[[#This Row],[Código]],BD_Produto[#All],6,FALSE)</f>
        <v>OLFA, ESTILETE HEAVY DUTY 2X1 CS-5</v>
      </c>
      <c r="C639" s="130">
        <v>0.6</v>
      </c>
      <c r="D639" s="130">
        <v>0.6</v>
      </c>
      <c r="E639" s="130">
        <v>0.39999999999999997</v>
      </c>
      <c r="F639" s="130">
        <v>1.5333333333333332</v>
      </c>
      <c r="G639" s="130">
        <v>4.1333333333333329</v>
      </c>
      <c r="H639" s="130">
        <v>1.7333333333333332</v>
      </c>
      <c r="I639" s="130">
        <v>1.5333333333333332</v>
      </c>
      <c r="J639" s="130">
        <v>1.4666666666666668</v>
      </c>
      <c r="K639" s="130">
        <v>1.7333333333333332</v>
      </c>
      <c r="L639" s="130">
        <v>0.46666666666666667</v>
      </c>
      <c r="M639" s="130">
        <v>2.0666666666666669</v>
      </c>
      <c r="N639" s="130">
        <v>1.6666666666666667</v>
      </c>
      <c r="O6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1.833333333333333</v>
      </c>
    </row>
    <row r="640" spans="1:15" x14ac:dyDescent="0.25">
      <c r="A640" s="15">
        <v>33070614728</v>
      </c>
      <c r="B640" s="16" t="str">
        <f>VLOOKUP(Projeção[[#This Row],[Código]],BD_Produto[#All],6,FALSE)</f>
        <v>OLFA, ESTILETE HEAVY DUTY AL</v>
      </c>
      <c r="C640" s="130">
        <v>0.33333333333333331</v>
      </c>
      <c r="D640" s="130">
        <v>0.33333333333333331</v>
      </c>
      <c r="E640" s="130">
        <v>0.33333333333333331</v>
      </c>
      <c r="F640" s="130">
        <v>0.33333333333333331</v>
      </c>
      <c r="G640" s="130">
        <v>0.33333333333333331</v>
      </c>
      <c r="H640" s="130">
        <v>0</v>
      </c>
      <c r="I640" s="130">
        <v>0</v>
      </c>
      <c r="J640" s="130">
        <v>0</v>
      </c>
      <c r="K640" s="130">
        <v>0</v>
      </c>
      <c r="L640" s="130">
        <v>0</v>
      </c>
      <c r="M640" s="130">
        <v>0</v>
      </c>
      <c r="N640" s="130">
        <v>0</v>
      </c>
      <c r="O6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41" spans="1:15" x14ac:dyDescent="0.25">
      <c r="A641" s="15">
        <v>33070614716</v>
      </c>
      <c r="B641" s="16" t="str">
        <f>VLOOKUP(Projeção[[#This Row],[Código]],BD_Produto[#All],6,FALSE)</f>
        <v>OLFA, ESTILETE HEAVY DUTY EXL</v>
      </c>
      <c r="C641" s="130">
        <v>65.333333333333314</v>
      </c>
      <c r="D641" s="130">
        <v>45.466666666666669</v>
      </c>
      <c r="E641" s="130">
        <v>30.599999999999998</v>
      </c>
      <c r="F641" s="130">
        <v>30.166666666666661</v>
      </c>
      <c r="G641" s="130">
        <v>35.966666666666661</v>
      </c>
      <c r="H641" s="130">
        <v>26.900000000000002</v>
      </c>
      <c r="I641" s="130">
        <v>26.466666666666669</v>
      </c>
      <c r="J641" s="130">
        <v>29.3</v>
      </c>
      <c r="K641" s="130">
        <v>26.900000000000002</v>
      </c>
      <c r="L641" s="130">
        <v>28.433333333333334</v>
      </c>
      <c r="M641" s="130">
        <v>51.333333333333336</v>
      </c>
      <c r="N641" s="130">
        <v>53.800000000000004</v>
      </c>
      <c r="O6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63.633333333333326</v>
      </c>
    </row>
    <row r="642" spans="1:15" x14ac:dyDescent="0.25">
      <c r="A642" s="15">
        <v>33070614722</v>
      </c>
      <c r="B642" s="16" t="str">
        <f>VLOOKUP(Projeção[[#This Row],[Código]],BD_Produto[#All],6,FALSE)</f>
        <v>OLFA, ESTILETE HEAVY DUTY H-1</v>
      </c>
      <c r="C642" s="130">
        <v>47.43333333333333</v>
      </c>
      <c r="D642" s="130">
        <v>13.366666666666669</v>
      </c>
      <c r="E642" s="130">
        <v>10.999999999999998</v>
      </c>
      <c r="F642" s="130">
        <v>33.933333333333337</v>
      </c>
      <c r="G642" s="130">
        <v>13.133333333333333</v>
      </c>
      <c r="H642" s="130">
        <v>14.8</v>
      </c>
      <c r="I642" s="130">
        <v>14.8</v>
      </c>
      <c r="J642" s="130">
        <v>7.2666666666666648</v>
      </c>
      <c r="K642" s="130">
        <v>14.8</v>
      </c>
      <c r="L642" s="130">
        <v>7.5666666666666673</v>
      </c>
      <c r="M642" s="130">
        <v>9.7000000000000011</v>
      </c>
      <c r="N642" s="130">
        <v>9.5</v>
      </c>
      <c r="O6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48.466666666666669</v>
      </c>
    </row>
    <row r="643" spans="1:15" x14ac:dyDescent="0.25">
      <c r="A643" s="15">
        <v>33070664796</v>
      </c>
      <c r="B643" s="16" t="str">
        <f>VLOOKUP(Projeção[[#This Row],[Código]],BD_Produto[#All],6,FALSE)</f>
        <v>OLFA, ESTILETE HEAVY DUTY H-1 + 3 LÂMINAS</v>
      </c>
      <c r="C643" s="130">
        <v>31.333333333333332</v>
      </c>
      <c r="D643" s="130">
        <v>29.533333333333331</v>
      </c>
      <c r="E643" s="130">
        <v>12.566666666666665</v>
      </c>
      <c r="F643" s="130">
        <v>8.966666666666665</v>
      </c>
      <c r="G643" s="130">
        <v>20.166666666666668</v>
      </c>
      <c r="H643" s="130">
        <v>11.966666666666667</v>
      </c>
      <c r="I643" s="130">
        <v>11.766666666666666</v>
      </c>
      <c r="J643" s="130">
        <v>11.766666666666666</v>
      </c>
      <c r="K643" s="130">
        <v>11.966666666666667</v>
      </c>
      <c r="L643" s="130">
        <v>12.066666666666666</v>
      </c>
      <c r="M643" s="130">
        <v>22.733333333333331</v>
      </c>
      <c r="N643" s="130">
        <v>24.966666666666669</v>
      </c>
      <c r="O6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8.5</v>
      </c>
    </row>
    <row r="644" spans="1:15" x14ac:dyDescent="0.25">
      <c r="A644" s="15">
        <v>33070614723</v>
      </c>
      <c r="B644" s="16" t="str">
        <f>VLOOKUP(Projeção[[#This Row],[Código]],BD_Produto[#All],6,FALSE)</f>
        <v>OLFA, ESTILETE HEAVY DUTY L-1</v>
      </c>
      <c r="C644" s="130">
        <v>372.06666666666655</v>
      </c>
      <c r="D644" s="130">
        <v>245.43333333333328</v>
      </c>
      <c r="E644" s="130">
        <v>198.96666666666667</v>
      </c>
      <c r="F644" s="130">
        <v>210.4666666666667</v>
      </c>
      <c r="G644" s="130">
        <v>212.43333333333328</v>
      </c>
      <c r="H644" s="130">
        <v>154.99999999999997</v>
      </c>
      <c r="I644" s="130">
        <v>153.96666666666667</v>
      </c>
      <c r="J644" s="130">
        <v>167.76666666666665</v>
      </c>
      <c r="K644" s="130">
        <v>154.99999999999997</v>
      </c>
      <c r="L644" s="130">
        <v>228.96666666666667</v>
      </c>
      <c r="M644" s="130">
        <v>323.60000000000002</v>
      </c>
      <c r="N644" s="130">
        <v>280.60000000000002</v>
      </c>
      <c r="O6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328.66666666666663</v>
      </c>
    </row>
    <row r="645" spans="1:15" x14ac:dyDescent="0.25">
      <c r="A645" s="15">
        <v>33070664797</v>
      </c>
      <c r="B645" s="16" t="str">
        <f>VLOOKUP(Projeção[[#This Row],[Código]],BD_Produto[#All],6,FALSE)</f>
        <v>OLFA, ESTILETE HEAVY DUTY L-1 + ESTILETE TK4</v>
      </c>
      <c r="C645" s="130">
        <v>25.733333333333331</v>
      </c>
      <c r="D645" s="130">
        <v>61.933333333333337</v>
      </c>
      <c r="E645" s="130">
        <v>19.933333333333334</v>
      </c>
      <c r="F645" s="130">
        <v>18.333333333333332</v>
      </c>
      <c r="G645" s="130">
        <v>27</v>
      </c>
      <c r="H645" s="130">
        <v>12.499999999999998</v>
      </c>
      <c r="I645" s="130">
        <v>12.299999999999999</v>
      </c>
      <c r="J645" s="130">
        <v>15.499999999999998</v>
      </c>
      <c r="K645" s="130">
        <v>12.499999999999998</v>
      </c>
      <c r="L645" s="130">
        <v>17.366666666666664</v>
      </c>
      <c r="M645" s="130">
        <v>21.233333333333331</v>
      </c>
      <c r="N645" s="130">
        <v>27.033333333333328</v>
      </c>
      <c r="O6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36.5</v>
      </c>
    </row>
    <row r="646" spans="1:15" x14ac:dyDescent="0.25">
      <c r="A646" s="15">
        <v>33070661990</v>
      </c>
      <c r="B646" s="16" t="str">
        <f>VLOOKUP(Projeção[[#This Row],[Código]],BD_Produto[#All],6,FALSE)</f>
        <v>OLFA, ESTILETE HEAVY DUTY L-1/GREEN</v>
      </c>
      <c r="C646" s="130">
        <v>4.4333333333333336</v>
      </c>
      <c r="D646" s="130">
        <v>2.4333333333333336</v>
      </c>
      <c r="E646" s="130">
        <v>2.4333333333333336</v>
      </c>
      <c r="F646" s="130">
        <v>1.7666666666666668</v>
      </c>
      <c r="G646" s="130">
        <v>1.7666666666666668</v>
      </c>
      <c r="H646" s="130">
        <v>0.16666666666666666</v>
      </c>
      <c r="I646" s="130">
        <v>0.16666666666666666</v>
      </c>
      <c r="J646" s="130">
        <v>0.16666666666666666</v>
      </c>
      <c r="K646" s="130">
        <v>0.16666666666666666</v>
      </c>
      <c r="L646" s="130">
        <v>0.16666666666666666</v>
      </c>
      <c r="M646" s="130">
        <v>0.16666666666666666</v>
      </c>
      <c r="N646" s="130">
        <v>0.16666666666666666</v>
      </c>
      <c r="O6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47" spans="1:15" x14ac:dyDescent="0.25">
      <c r="A647" s="15">
        <v>33070663714</v>
      </c>
      <c r="B647" s="16" t="str">
        <f>VLOOKUP(Projeção[[#This Row],[Código]],BD_Produto[#All],6,FALSE)</f>
        <v xml:space="preserve">OLFA, ESTILETE HEAVY DUTY L-1/SPC </v>
      </c>
      <c r="C647" s="130">
        <v>75.73333333333332</v>
      </c>
      <c r="D647" s="130">
        <v>63.533333333333317</v>
      </c>
      <c r="E647" s="130">
        <v>34.433333333333337</v>
      </c>
      <c r="F647" s="130">
        <v>28.2</v>
      </c>
      <c r="G647" s="130">
        <v>78.666666666666671</v>
      </c>
      <c r="H647" s="130">
        <v>47.86666666666666</v>
      </c>
      <c r="I647" s="130">
        <v>47.86666666666666</v>
      </c>
      <c r="J647" s="130">
        <v>59.033333333333339</v>
      </c>
      <c r="K647" s="130">
        <v>47.86666666666666</v>
      </c>
      <c r="L647" s="130">
        <v>40.300000000000004</v>
      </c>
      <c r="M647" s="130">
        <v>68.566666666666663</v>
      </c>
      <c r="N647" s="130">
        <v>90.300000000000011</v>
      </c>
      <c r="O6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66.766666666666666</v>
      </c>
    </row>
    <row r="648" spans="1:15" x14ac:dyDescent="0.25">
      <c r="A648" s="15">
        <v>33070614724</v>
      </c>
      <c r="B648" s="16" t="str">
        <f>VLOOKUP(Projeção[[#This Row],[Código]],BD_Produto[#All],6,FALSE)</f>
        <v>OLFA, ESTILETE HEAVY DUTY L-2</v>
      </c>
      <c r="C648" s="130">
        <v>325.73333333333335</v>
      </c>
      <c r="D648" s="130">
        <v>359.16666666666669</v>
      </c>
      <c r="E648" s="130">
        <v>268.36666666666667</v>
      </c>
      <c r="F648" s="130">
        <v>313.96666666666664</v>
      </c>
      <c r="G648" s="130">
        <v>253.4666666666667</v>
      </c>
      <c r="H648" s="130">
        <v>181.66666666666666</v>
      </c>
      <c r="I648" s="130">
        <v>180.86666666666665</v>
      </c>
      <c r="J648" s="130">
        <v>180.43333333333334</v>
      </c>
      <c r="K648" s="130">
        <v>181.66666666666666</v>
      </c>
      <c r="L648" s="130">
        <v>220.13333333333335</v>
      </c>
      <c r="M648" s="130">
        <v>308</v>
      </c>
      <c r="N648" s="130">
        <v>290.86666666666667</v>
      </c>
      <c r="O6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414.59999999999997</v>
      </c>
    </row>
    <row r="649" spans="1:15" x14ac:dyDescent="0.25">
      <c r="A649" s="15">
        <v>33070614726</v>
      </c>
      <c r="B649" s="16" t="str">
        <f>VLOOKUP(Projeção[[#This Row],[Código]],BD_Produto[#All],6,FALSE)</f>
        <v>OLFA, ESTILETE HEAVY DUTY L-3</v>
      </c>
      <c r="C649" s="130">
        <v>0</v>
      </c>
      <c r="D649" s="130">
        <v>0</v>
      </c>
      <c r="E649" s="130">
        <v>0</v>
      </c>
      <c r="F649" s="130">
        <v>0</v>
      </c>
      <c r="G649" s="130">
        <v>0</v>
      </c>
      <c r="H649" s="130">
        <v>0</v>
      </c>
      <c r="I649" s="130">
        <v>0</v>
      </c>
      <c r="J649" s="130">
        <v>0</v>
      </c>
      <c r="K649" s="130">
        <v>0</v>
      </c>
      <c r="L649" s="130">
        <v>0</v>
      </c>
      <c r="M649" s="130">
        <v>0</v>
      </c>
      <c r="N649" s="130">
        <v>0</v>
      </c>
      <c r="O6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50" spans="1:15" x14ac:dyDescent="0.25">
      <c r="A650" s="15">
        <v>33070614028</v>
      </c>
      <c r="B650" s="16" t="str">
        <f>VLOOKUP(Projeção[[#This Row],[Código]],BD_Produto[#All],6,FALSE)</f>
        <v>OLFA, ESTILETE HEAVY DUTY L-5</v>
      </c>
      <c r="C650" s="130">
        <v>127.06666666666668</v>
      </c>
      <c r="D650" s="130">
        <v>108.26666666666667</v>
      </c>
      <c r="E650" s="130">
        <v>62.033333333333317</v>
      </c>
      <c r="F650" s="130">
        <v>77.399999999999991</v>
      </c>
      <c r="G650" s="130">
        <v>103.23333333333332</v>
      </c>
      <c r="H650" s="130">
        <v>60.966666666666654</v>
      </c>
      <c r="I650" s="130">
        <v>59.466666666666654</v>
      </c>
      <c r="J650" s="130">
        <v>54.9</v>
      </c>
      <c r="K650" s="130">
        <v>60.966666666666654</v>
      </c>
      <c r="L650" s="130">
        <v>43.199999999999996</v>
      </c>
      <c r="M650" s="130">
        <v>80.966666666666654</v>
      </c>
      <c r="N650" s="130">
        <v>82.6</v>
      </c>
      <c r="O6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49.833333333333336</v>
      </c>
    </row>
    <row r="651" spans="1:15" ht="15" customHeight="1" x14ac:dyDescent="0.2">
      <c r="A651" s="15">
        <v>33070665293</v>
      </c>
      <c r="B651" s="126" t="str">
        <f>VLOOKUP(Projeção[[#This Row],[Código]],BD_Produto[#All],6,FALSE)</f>
        <v>OLFA, ESTILETE HEAVY DUTY L-5/FLB</v>
      </c>
      <c r="C651" s="141"/>
      <c r="D651" s="141"/>
      <c r="E651" s="141"/>
      <c r="F651" s="141"/>
      <c r="G651" s="141"/>
      <c r="H651" s="141"/>
      <c r="I651" s="141"/>
      <c r="J651" s="141"/>
      <c r="K651" s="141"/>
      <c r="L651" s="141">
        <v>0</v>
      </c>
      <c r="M651" s="141">
        <v>0</v>
      </c>
      <c r="N651" s="141">
        <v>0</v>
      </c>
      <c r="O651" s="14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52" spans="1:15" ht="15" customHeight="1" x14ac:dyDescent="0.25">
      <c r="A652" s="15">
        <v>33070663730</v>
      </c>
      <c r="B652" s="16" t="str">
        <f>VLOOKUP(Projeção[[#This Row],[Código]],BD_Produto[#All],6,FALSE)</f>
        <v>OLFA, ESTILETE HEAVY DUTY ML</v>
      </c>
      <c r="C652" s="130">
        <v>9.2666666666666657</v>
      </c>
      <c r="D652" s="130">
        <v>14.866666666666664</v>
      </c>
      <c r="E652" s="130">
        <v>8.0666666666666647</v>
      </c>
      <c r="F652" s="130">
        <v>5.666666666666667</v>
      </c>
      <c r="G652" s="130">
        <v>3.8666666666666671</v>
      </c>
      <c r="H652" s="130">
        <v>3.666666666666667</v>
      </c>
      <c r="I652" s="130">
        <v>3.666666666666667</v>
      </c>
      <c r="J652" s="130">
        <v>3.5999999999999996</v>
      </c>
      <c r="K652" s="130">
        <v>3.666666666666667</v>
      </c>
      <c r="L652" s="130">
        <v>5.1333333333333329</v>
      </c>
      <c r="M652" s="130">
        <v>8.4666666666666668</v>
      </c>
      <c r="N652" s="130">
        <v>16.666666666666664</v>
      </c>
      <c r="O6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8.8666666666666654</v>
      </c>
    </row>
    <row r="653" spans="1:15" ht="15" customHeight="1" x14ac:dyDescent="0.25">
      <c r="A653" s="15">
        <v>33070614729</v>
      </c>
      <c r="B653" s="16" t="str">
        <f>VLOOKUP(Projeção[[#This Row],[Código]],BD_Produto[#All],6,FALSE)</f>
        <v>OLFA, ESTILETE HEAVY DUTY NOL-1</v>
      </c>
      <c r="C653" s="130">
        <v>19.666666666666668</v>
      </c>
      <c r="D653" s="130">
        <v>11.066666666666668</v>
      </c>
      <c r="E653" s="130">
        <v>19.06666666666667</v>
      </c>
      <c r="F653" s="130">
        <v>12.466666666666667</v>
      </c>
      <c r="G653" s="130">
        <v>9.8666666666666671</v>
      </c>
      <c r="H653" s="130">
        <v>6.9999999999999991</v>
      </c>
      <c r="I653" s="130">
        <v>6.9999999999999991</v>
      </c>
      <c r="J653" s="130">
        <v>6.6</v>
      </c>
      <c r="K653" s="130">
        <v>6.9999999999999991</v>
      </c>
      <c r="L653" s="130">
        <v>10.733333333333333</v>
      </c>
      <c r="M653" s="130">
        <v>19.466666666666665</v>
      </c>
      <c r="N653" s="130">
        <v>32.43333333333333</v>
      </c>
      <c r="O6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27.433333333333334</v>
      </c>
    </row>
    <row r="654" spans="1:15" ht="15" customHeight="1" x14ac:dyDescent="0.25">
      <c r="A654" s="15">
        <v>33070614740</v>
      </c>
      <c r="B654" s="16" t="str">
        <f>VLOOKUP(Projeção[[#This Row],[Código]],BD_Produto[#All],6,FALSE)</f>
        <v>OLFA, ESTILETE HEAVY DUTY OL</v>
      </c>
      <c r="C654" s="130">
        <v>0</v>
      </c>
      <c r="D654" s="130">
        <v>0</v>
      </c>
      <c r="E654" s="130">
        <v>0</v>
      </c>
      <c r="F654" s="130">
        <v>0</v>
      </c>
      <c r="G654" s="130">
        <v>0</v>
      </c>
      <c r="H654" s="130">
        <v>0</v>
      </c>
      <c r="I654" s="130">
        <v>0</v>
      </c>
      <c r="J654" s="130">
        <v>0</v>
      </c>
      <c r="K654" s="130">
        <v>0</v>
      </c>
      <c r="L654" s="130">
        <v>0</v>
      </c>
      <c r="M654" s="130">
        <v>0</v>
      </c>
      <c r="N654" s="130">
        <v>0</v>
      </c>
      <c r="O6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55" spans="1:15" ht="15" customHeight="1" x14ac:dyDescent="0.25">
      <c r="A655" s="15">
        <v>33070614727</v>
      </c>
      <c r="B655" s="16" t="str">
        <f>VLOOKUP(Projeção[[#This Row],[Código]],BD_Produto[#All],6,FALSE)</f>
        <v>OLFA, ESTILETE HEAVY DUTY SL-1</v>
      </c>
      <c r="C655" s="130">
        <v>233.16666666666663</v>
      </c>
      <c r="D655" s="130">
        <v>127.83333333333334</v>
      </c>
      <c r="E655" s="130">
        <v>167.23333333333332</v>
      </c>
      <c r="F655" s="130">
        <v>159.23333333333335</v>
      </c>
      <c r="G655" s="130">
        <v>169.23333333333335</v>
      </c>
      <c r="H655" s="130">
        <v>109.73333333333335</v>
      </c>
      <c r="I655" s="130">
        <v>109.7</v>
      </c>
      <c r="J655" s="130">
        <v>101.86666666666666</v>
      </c>
      <c r="K655" s="130">
        <v>109.73333333333335</v>
      </c>
      <c r="L655" s="130">
        <v>152.19999999999999</v>
      </c>
      <c r="M655" s="130">
        <v>233.06666666666663</v>
      </c>
      <c r="N655" s="130">
        <v>281.46666666666664</v>
      </c>
      <c r="O6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198.4</v>
      </c>
    </row>
    <row r="656" spans="1:15" ht="15" customHeight="1" x14ac:dyDescent="0.25">
      <c r="A656" s="15">
        <v>33070663585</v>
      </c>
      <c r="B656" s="16" t="str">
        <f>VLOOKUP(Projeção[[#This Row],[Código]],BD_Produto[#All],6,FALSE)</f>
        <v>OLFA, ESTILETE HSW-1</v>
      </c>
      <c r="C656" s="130">
        <v>1.1666666666666667</v>
      </c>
      <c r="D656" s="130">
        <v>1.0333333333333334</v>
      </c>
      <c r="E656" s="130">
        <v>0.6333333333333333</v>
      </c>
      <c r="F656" s="130">
        <v>1.7666666666666664</v>
      </c>
      <c r="G656" s="130">
        <v>0.96666666666666656</v>
      </c>
      <c r="H656" s="130">
        <v>0.76666666666666661</v>
      </c>
      <c r="I656" s="130">
        <v>0.76666666666666661</v>
      </c>
      <c r="J656" s="130">
        <v>1.5</v>
      </c>
      <c r="K656" s="130">
        <v>0.76666666666666661</v>
      </c>
      <c r="L656" s="130">
        <v>1.6333333333333331</v>
      </c>
      <c r="M656" s="130">
        <v>2.5666666666666664</v>
      </c>
      <c r="N656" s="130">
        <v>2.5333333333333332</v>
      </c>
      <c r="O6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3.9</v>
      </c>
    </row>
    <row r="657" spans="1:15" ht="15" customHeight="1" x14ac:dyDescent="0.25">
      <c r="A657" s="15">
        <v>33070665095</v>
      </c>
      <c r="B657" s="16" t="str">
        <f>VLOOKUP(Projeção[[#This Row],[Código]],BD_Produto[#All],6,FALSE)</f>
        <v>OLFA, ESTILETE L5/5LBB + 5 LAMINAS LBB</v>
      </c>
      <c r="C657" s="130">
        <v>0</v>
      </c>
      <c r="D657" s="130">
        <v>0</v>
      </c>
      <c r="E657" s="130">
        <v>0</v>
      </c>
      <c r="F657" s="130">
        <v>0</v>
      </c>
      <c r="G657" s="130">
        <v>0</v>
      </c>
      <c r="H657" s="130">
        <v>0</v>
      </c>
      <c r="I657" s="130">
        <v>0</v>
      </c>
      <c r="J657" s="130">
        <v>0.5</v>
      </c>
      <c r="K657" s="130">
        <v>0</v>
      </c>
      <c r="L657" s="130">
        <v>3.4999999999999996</v>
      </c>
      <c r="M657" s="130">
        <v>11.5</v>
      </c>
      <c r="N657" s="130">
        <v>17.099999999999998</v>
      </c>
      <c r="O6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29.666666666666668</v>
      </c>
    </row>
    <row r="658" spans="1:15" ht="15" customHeight="1" x14ac:dyDescent="0.25">
      <c r="A658" s="15">
        <v>33070663687</v>
      </c>
      <c r="B658" s="16" t="str">
        <f>VLOOKUP(Projeção[[#This Row],[Código]],BD_Produto[#All],6,FALSE)</f>
        <v>OLFA, ESTILETE L5-AL/5LBB + 5 LAMINAS LBB</v>
      </c>
      <c r="C658" s="130">
        <v>0</v>
      </c>
      <c r="D658" s="130">
        <v>0</v>
      </c>
      <c r="E658" s="130">
        <v>0</v>
      </c>
      <c r="F658" s="130">
        <v>0</v>
      </c>
      <c r="G658" s="130">
        <v>0</v>
      </c>
      <c r="H658" s="130">
        <v>0</v>
      </c>
      <c r="I658" s="130">
        <v>0</v>
      </c>
      <c r="J658" s="130">
        <v>1</v>
      </c>
      <c r="K658" s="130">
        <v>0</v>
      </c>
      <c r="L658" s="130">
        <v>1.5</v>
      </c>
      <c r="M658" s="130">
        <v>5.4999999999999991</v>
      </c>
      <c r="N658" s="130">
        <v>6.8999999999999995</v>
      </c>
      <c r="O6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36.666666666666664</v>
      </c>
    </row>
    <row r="659" spans="1:15" ht="15" customHeight="1" x14ac:dyDescent="0.2">
      <c r="A659" s="15">
        <v>33070665294</v>
      </c>
      <c r="B659" s="126" t="str">
        <f>VLOOKUP(Projeção[[#This Row],[Código]],BD_Produto[#All],6,FALSE)</f>
        <v>OLFA, ESTILETE HEAVY DUTY L5-AL/LWB</v>
      </c>
      <c r="C659" s="141"/>
      <c r="D659" s="141"/>
      <c r="E659" s="141"/>
      <c r="F659" s="141"/>
      <c r="G659" s="141"/>
      <c r="H659" s="141"/>
      <c r="I659" s="141"/>
      <c r="J659" s="141"/>
      <c r="K659" s="141"/>
      <c r="L659" s="141">
        <v>0</v>
      </c>
      <c r="M659" s="141">
        <v>0</v>
      </c>
      <c r="N659" s="141">
        <v>0</v>
      </c>
      <c r="O659" s="14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60" spans="1:15" ht="15" customHeight="1" x14ac:dyDescent="0.25">
      <c r="A660" s="15">
        <v>33070661635</v>
      </c>
      <c r="B660" s="16" t="str">
        <f>VLOOKUP(Projeção[[#This Row],[Código]],BD_Produto[#All],6,FALSE)</f>
        <v>OLFA, ESTILETE MÉDIO MT-1</v>
      </c>
      <c r="C660" s="130">
        <v>7.6333333333333337</v>
      </c>
      <c r="D660" s="130">
        <v>4.4333333333333336</v>
      </c>
      <c r="E660" s="130">
        <v>2.8666666666666667</v>
      </c>
      <c r="F660" s="130">
        <v>7.7666666666666666</v>
      </c>
      <c r="G660" s="130">
        <v>3.7666666666666671</v>
      </c>
      <c r="H660" s="130">
        <v>8.1</v>
      </c>
      <c r="I660" s="130">
        <v>8.1</v>
      </c>
      <c r="J660" s="130">
        <v>6.8999999999999995</v>
      </c>
      <c r="K660" s="130">
        <v>8.1</v>
      </c>
      <c r="L660" s="130">
        <v>5.166666666666667</v>
      </c>
      <c r="M660" s="130">
        <v>12.1</v>
      </c>
      <c r="N660" s="130">
        <v>14.1</v>
      </c>
      <c r="O6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8.8666666666666671</v>
      </c>
    </row>
    <row r="661" spans="1:15" ht="15" customHeight="1" x14ac:dyDescent="0.25">
      <c r="A661" s="15">
        <v>33070664795</v>
      </c>
      <c r="B661" s="16" t="str">
        <f>VLOOKUP(Projeção[[#This Row],[Código]],BD_Produto[#All],6,FALSE)</f>
        <v>OLFA, ESTILETE MÉDIO MT-1 + 5 LÂMINAS</v>
      </c>
      <c r="C661" s="130">
        <v>14.200000000000001</v>
      </c>
      <c r="D661" s="130">
        <v>8</v>
      </c>
      <c r="E661" s="130">
        <v>5.6000000000000005</v>
      </c>
      <c r="F661" s="130">
        <v>2.4</v>
      </c>
      <c r="G661" s="130">
        <v>1.5999999999999999</v>
      </c>
      <c r="H661" s="130">
        <v>1.4000000000000001</v>
      </c>
      <c r="I661" s="130">
        <v>1.4000000000000001</v>
      </c>
      <c r="J661" s="130">
        <v>2.4</v>
      </c>
      <c r="K661" s="130">
        <v>1.4000000000000001</v>
      </c>
      <c r="L661" s="130">
        <v>3</v>
      </c>
      <c r="M661" s="130">
        <v>3</v>
      </c>
      <c r="N661" s="130">
        <v>7.1999999999999993</v>
      </c>
      <c r="O6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7.3333333333333321</v>
      </c>
    </row>
    <row r="662" spans="1:15" ht="15" customHeight="1" x14ac:dyDescent="0.25">
      <c r="A662" s="15">
        <v>33070614718</v>
      </c>
      <c r="B662" s="16" t="str">
        <f>VLOOKUP(Projeção[[#This Row],[Código]],BD_Produto[#All],6,FALSE)</f>
        <v>OLFA, ESTILETE MULTIUSO 180 BLACK</v>
      </c>
      <c r="C662" s="130">
        <v>189</v>
      </c>
      <c r="D662" s="130">
        <v>199.53333333333336</v>
      </c>
      <c r="E662" s="130">
        <v>114.03333333333335</v>
      </c>
      <c r="F662" s="130">
        <v>131.5</v>
      </c>
      <c r="G662" s="130">
        <v>174.46666666666667</v>
      </c>
      <c r="H662" s="130">
        <v>117.03333333333333</v>
      </c>
      <c r="I662" s="130">
        <v>116.1</v>
      </c>
      <c r="J662" s="130">
        <v>116.26666666666664</v>
      </c>
      <c r="K662" s="130">
        <v>117.03333333333333</v>
      </c>
      <c r="L662" s="130">
        <v>93.333333333333329</v>
      </c>
      <c r="M662" s="130">
        <v>190.46666666666664</v>
      </c>
      <c r="N662" s="130">
        <v>214.26666666666665</v>
      </c>
      <c r="O6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122.39999999999999</v>
      </c>
    </row>
    <row r="663" spans="1:15" ht="15" customHeight="1" x14ac:dyDescent="0.25">
      <c r="A663" s="15">
        <v>33070614721</v>
      </c>
      <c r="B663" s="16" t="str">
        <f>VLOOKUP(Projeção[[#This Row],[Código]],BD_Produto[#All],6,FALSE)</f>
        <v>OLFA, ESTILETE MULTIUSO 300</v>
      </c>
      <c r="C663" s="130">
        <v>108.83333333333333</v>
      </c>
      <c r="D663" s="130">
        <v>128.76666666666665</v>
      </c>
      <c r="E663" s="130">
        <v>95.86666666666666</v>
      </c>
      <c r="F663" s="130">
        <v>97.766666666666666</v>
      </c>
      <c r="G663" s="130">
        <v>84.933333333333337</v>
      </c>
      <c r="H663" s="130">
        <v>70.099999999999994</v>
      </c>
      <c r="I663" s="130">
        <v>69.666666666666671</v>
      </c>
      <c r="J663" s="130">
        <v>55.5</v>
      </c>
      <c r="K663" s="130">
        <v>70.099999999999994</v>
      </c>
      <c r="L663" s="130">
        <v>38.266666666666666</v>
      </c>
      <c r="M663" s="130">
        <v>53.86666666666666</v>
      </c>
      <c r="N663" s="130">
        <v>58.3</v>
      </c>
      <c r="O6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91.766666666666666</v>
      </c>
    </row>
    <row r="664" spans="1:15" ht="15" customHeight="1" x14ac:dyDescent="0.25">
      <c r="A664" s="15">
        <v>33070664013</v>
      </c>
      <c r="B664" s="16" t="str">
        <f>VLOOKUP(Projeção[[#This Row],[Código]],BD_Produto[#All],6,FALSE)</f>
        <v>OLFA, ESTILETE MULTIUSO A-1</v>
      </c>
      <c r="C664" s="130">
        <v>64.8</v>
      </c>
      <c r="D664" s="130">
        <v>26.2</v>
      </c>
      <c r="E664" s="130">
        <v>26.2</v>
      </c>
      <c r="F664" s="130">
        <v>65.466666666666669</v>
      </c>
      <c r="G664" s="130">
        <v>60.733333333333327</v>
      </c>
      <c r="H664" s="130">
        <v>39.533333333333331</v>
      </c>
      <c r="I664" s="130">
        <v>38.733333333333334</v>
      </c>
      <c r="J664" s="130">
        <v>33.200000000000003</v>
      </c>
      <c r="K664" s="130">
        <v>39.533333333333331</v>
      </c>
      <c r="L664" s="130">
        <v>25.266666666666662</v>
      </c>
      <c r="M664" s="130">
        <v>44.333333333333321</v>
      </c>
      <c r="N664" s="130">
        <v>44.86666666666666</v>
      </c>
      <c r="O6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48.733333333333334</v>
      </c>
    </row>
    <row r="665" spans="1:15" ht="15" customHeight="1" x14ac:dyDescent="0.25">
      <c r="A665" s="15">
        <v>33070614719</v>
      </c>
      <c r="B665" s="16" t="str">
        <f>VLOOKUP(Projeção[[#This Row],[Código]],BD_Produto[#All],6,FALSE)</f>
        <v>OLFA, ESTILETE MULTIUSO A-2</v>
      </c>
      <c r="C665" s="130">
        <v>139.46666666666667</v>
      </c>
      <c r="D665" s="130">
        <v>129.19999999999999</v>
      </c>
      <c r="E665" s="130">
        <v>76.599999999999994</v>
      </c>
      <c r="F665" s="130">
        <v>83.600000000000009</v>
      </c>
      <c r="G665" s="130">
        <v>96.6</v>
      </c>
      <c r="H665" s="130">
        <v>73.533333333333317</v>
      </c>
      <c r="I665" s="130">
        <v>72.5</v>
      </c>
      <c r="J665" s="130">
        <v>68.266666666666666</v>
      </c>
      <c r="K665" s="130">
        <v>73.533333333333317</v>
      </c>
      <c r="L665" s="130">
        <v>51.06666666666667</v>
      </c>
      <c r="M665" s="130">
        <v>73.866666666666674</v>
      </c>
      <c r="N665" s="130">
        <v>90.899999999999991</v>
      </c>
      <c r="O6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74.266666666666666</v>
      </c>
    </row>
    <row r="666" spans="1:15" ht="15" customHeight="1" x14ac:dyDescent="0.25">
      <c r="A666" s="15">
        <v>33070614720</v>
      </c>
      <c r="B666" s="16" t="str">
        <f>VLOOKUP(Projeção[[#This Row],[Código]],BD_Produto[#All],6,FALSE)</f>
        <v>OLFA, ESTILETE MULTIUSO A-3</v>
      </c>
      <c r="C666" s="130">
        <v>54.133333333333326</v>
      </c>
      <c r="D666" s="130">
        <v>41.133333333333333</v>
      </c>
      <c r="E666" s="130">
        <v>53.933333333333337</v>
      </c>
      <c r="F666" s="130">
        <v>51.733333333333334</v>
      </c>
      <c r="G666" s="130">
        <v>34.533333333333339</v>
      </c>
      <c r="H666" s="130">
        <v>30.099999999999998</v>
      </c>
      <c r="I666" s="130">
        <v>23.900000000000002</v>
      </c>
      <c r="J666" s="130">
        <v>27.5</v>
      </c>
      <c r="K666" s="130">
        <v>30.099999999999998</v>
      </c>
      <c r="L666" s="130">
        <v>37.93333333333333</v>
      </c>
      <c r="M666" s="130">
        <v>54.9</v>
      </c>
      <c r="N666" s="130">
        <v>67.36666666666666</v>
      </c>
      <c r="O6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61.433333333333337</v>
      </c>
    </row>
    <row r="667" spans="1:15" ht="15" customHeight="1" x14ac:dyDescent="0.25">
      <c r="A667" s="15">
        <v>33070660894</v>
      </c>
      <c r="B667" s="16" t="str">
        <f>VLOOKUP(Projeção[[#This Row],[Código]],BD_Produto[#All],6,FALSE)</f>
        <v>OLFA, ESTILETE MULTIUSO A-5</v>
      </c>
      <c r="C667" s="130">
        <v>41.9</v>
      </c>
      <c r="D667" s="130">
        <v>60.9</v>
      </c>
      <c r="E667" s="130">
        <v>24.433333333333334</v>
      </c>
      <c r="F667" s="130">
        <v>24.8</v>
      </c>
      <c r="G667" s="130">
        <v>24.599999999999998</v>
      </c>
      <c r="H667" s="130">
        <v>20.2</v>
      </c>
      <c r="I667" s="130">
        <v>20.2</v>
      </c>
      <c r="J667" s="130">
        <v>22.366666666666667</v>
      </c>
      <c r="K667" s="130">
        <v>20.2</v>
      </c>
      <c r="L667" s="130">
        <v>23.099999999999998</v>
      </c>
      <c r="M667" s="130">
        <v>43.36666666666666</v>
      </c>
      <c r="N667" s="130">
        <v>70.566666666666677</v>
      </c>
      <c r="O6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50.1</v>
      </c>
    </row>
    <row r="668" spans="1:15" ht="15" customHeight="1" x14ac:dyDescent="0.25">
      <c r="A668" s="15">
        <v>33070614705</v>
      </c>
      <c r="B668" s="16" t="str">
        <f>VLOOKUP(Projeção[[#This Row],[Código]],BD_Produto[#All],6,FALSE)</f>
        <v>OLFA, ESTILETE MULTIUSO A-5/BB + kit de lâminas</v>
      </c>
      <c r="C668" s="130">
        <v>0</v>
      </c>
      <c r="D668" s="130">
        <v>0</v>
      </c>
      <c r="E668" s="130">
        <v>0</v>
      </c>
      <c r="F668" s="130">
        <v>0</v>
      </c>
      <c r="G668" s="130">
        <v>0</v>
      </c>
      <c r="H668" s="130">
        <v>0</v>
      </c>
      <c r="I668" s="130">
        <v>0</v>
      </c>
      <c r="J668" s="130">
        <v>0</v>
      </c>
      <c r="K668" s="130">
        <v>0</v>
      </c>
      <c r="L668" s="130">
        <v>0</v>
      </c>
      <c r="M668" s="130">
        <v>0</v>
      </c>
      <c r="N668" s="130">
        <v>0</v>
      </c>
      <c r="O6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69" spans="1:15" ht="15" customHeight="1" x14ac:dyDescent="0.25">
      <c r="A669" s="15">
        <v>33070664519</v>
      </c>
      <c r="B669" s="16" t="str">
        <f>VLOOKUP(Projeção[[#This Row],[Código]],BD_Produto[#All],6,FALSE)</f>
        <v>OLFA, ESTILETE MULTIUSO DA-1</v>
      </c>
      <c r="C669" s="130">
        <v>4.2</v>
      </c>
      <c r="D669" s="130">
        <v>4.2</v>
      </c>
      <c r="E669" s="130">
        <v>1.7999999999999998</v>
      </c>
      <c r="F669" s="130">
        <v>5.1999999999999993</v>
      </c>
      <c r="G669" s="130">
        <v>2.4</v>
      </c>
      <c r="H669" s="130">
        <v>4.3999999999999995</v>
      </c>
      <c r="I669" s="130">
        <v>4.3999999999999995</v>
      </c>
      <c r="J669" s="130">
        <v>3.5999999999999996</v>
      </c>
      <c r="K669" s="130">
        <v>4.3999999999999995</v>
      </c>
      <c r="L669" s="130">
        <v>3</v>
      </c>
      <c r="M669" s="130">
        <v>4.8</v>
      </c>
      <c r="N669" s="130">
        <v>10.399999999999999</v>
      </c>
      <c r="O6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5.1999999999999993</v>
      </c>
    </row>
    <row r="670" spans="1:15" ht="15" customHeight="1" x14ac:dyDescent="0.25">
      <c r="A670" s="15">
        <v>33070614717</v>
      </c>
      <c r="B670" s="16" t="str">
        <f>VLOOKUP(Projeção[[#This Row],[Código]],BD_Produto[#All],6,FALSE)</f>
        <v>OLFA, ESTILETE MULTIUSO S</v>
      </c>
      <c r="C670" s="130">
        <v>135.96666666666667</v>
      </c>
      <c r="D670" s="130">
        <v>98.966666666666669</v>
      </c>
      <c r="E670" s="130">
        <v>78.3</v>
      </c>
      <c r="F670" s="130">
        <v>73.566666666666677</v>
      </c>
      <c r="G670" s="130">
        <v>149.36666666666667</v>
      </c>
      <c r="H670" s="130">
        <v>81.5</v>
      </c>
      <c r="I670" s="130">
        <v>81.066666666666663</v>
      </c>
      <c r="J670" s="130">
        <v>72.833333333333314</v>
      </c>
      <c r="K670" s="130">
        <v>81.5</v>
      </c>
      <c r="L670" s="130">
        <v>41.466666666666661</v>
      </c>
      <c r="M670" s="130">
        <v>89.666666666666671</v>
      </c>
      <c r="N670" s="130">
        <v>122.06666666666666</v>
      </c>
      <c r="O6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91.333333333333329</v>
      </c>
    </row>
    <row r="671" spans="1:15" ht="15" customHeight="1" x14ac:dyDescent="0.25">
      <c r="A671" s="15">
        <v>33070663731</v>
      </c>
      <c r="B671" s="16" t="str">
        <f>VLOOKUP(Projeção[[#This Row],[Código]],BD_Produto[#All],6,FALSE)</f>
        <v>OLFA, ESTILETE MULTIUSO SAC-1</v>
      </c>
      <c r="C671" s="130">
        <v>25.066666666666666</v>
      </c>
      <c r="D671" s="130">
        <v>34.266666666666666</v>
      </c>
      <c r="E671" s="130">
        <v>14.266666666666664</v>
      </c>
      <c r="F671" s="130">
        <v>31.966666666666665</v>
      </c>
      <c r="G671" s="130">
        <v>17.233333333333331</v>
      </c>
      <c r="H671" s="130">
        <v>14.633333333333331</v>
      </c>
      <c r="I671" s="130">
        <v>14.033333333333331</v>
      </c>
      <c r="J671" s="130">
        <v>9.2333333333333325</v>
      </c>
      <c r="K671" s="130">
        <v>14.633333333333331</v>
      </c>
      <c r="L671" s="130">
        <v>10.833333333333334</v>
      </c>
      <c r="M671" s="130">
        <v>17.833333333333329</v>
      </c>
      <c r="N671" s="130">
        <v>22.066666666666666</v>
      </c>
      <c r="O6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34.166666666666671</v>
      </c>
    </row>
    <row r="672" spans="1:15" ht="15" customHeight="1" x14ac:dyDescent="0.25">
      <c r="A672" s="15">
        <v>33070654136</v>
      </c>
      <c r="B672" s="16" t="str">
        <f>VLOOKUP(Projeção[[#This Row],[Código]],BD_Produto[#All],6,FALSE)</f>
        <v>OLFA, ESTILETE MULTIUSO SPC-1</v>
      </c>
      <c r="C672" s="130">
        <v>291.13333333333333</v>
      </c>
      <c r="D672" s="130">
        <v>479.13333333333338</v>
      </c>
      <c r="E672" s="130">
        <v>228.2</v>
      </c>
      <c r="F672" s="130">
        <v>263.26666666666665</v>
      </c>
      <c r="G672" s="130">
        <v>190.36666666666665</v>
      </c>
      <c r="H672" s="130">
        <v>194.83333333333334</v>
      </c>
      <c r="I672" s="130">
        <v>190.83333333333331</v>
      </c>
      <c r="J672" s="130">
        <v>207.2</v>
      </c>
      <c r="K672" s="130">
        <v>194.83333333333334</v>
      </c>
      <c r="L672" s="130">
        <v>163.5</v>
      </c>
      <c r="M672" s="130">
        <v>259.23333333333335</v>
      </c>
      <c r="N672" s="130">
        <v>301.76666666666671</v>
      </c>
      <c r="O6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344.23333333333335</v>
      </c>
    </row>
    <row r="673" spans="1:15" ht="15" customHeight="1" x14ac:dyDescent="0.25">
      <c r="A673" s="15">
        <v>33070654001</v>
      </c>
      <c r="B673" s="16" t="str">
        <f>VLOOKUP(Projeção[[#This Row],[Código]],BD_Produto[#All],6,FALSE)</f>
        <v>OLFA, ESTILETE MULTIUSO SVR-2 - ESTILETE DE INOX</v>
      </c>
      <c r="C673" s="130">
        <v>54.133333333333333</v>
      </c>
      <c r="D673" s="130">
        <v>31.233333333333338</v>
      </c>
      <c r="E673" s="130">
        <v>24.833333333333332</v>
      </c>
      <c r="F673" s="130">
        <v>22.633333333333333</v>
      </c>
      <c r="G673" s="130">
        <v>36.699999999999996</v>
      </c>
      <c r="H673" s="130">
        <v>25.5</v>
      </c>
      <c r="I673" s="130">
        <v>24.9</v>
      </c>
      <c r="J673" s="130">
        <v>24.9</v>
      </c>
      <c r="K673" s="130">
        <v>25.5</v>
      </c>
      <c r="L673" s="130">
        <v>17.2</v>
      </c>
      <c r="M673" s="130">
        <v>33.333333333333329</v>
      </c>
      <c r="N673" s="130">
        <v>30.966666666666669</v>
      </c>
      <c r="O6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35.199999999999996</v>
      </c>
    </row>
    <row r="674" spans="1:15" ht="15" customHeight="1" x14ac:dyDescent="0.25">
      <c r="A674" s="15">
        <v>33070661131</v>
      </c>
      <c r="B674" s="16" t="str">
        <f>VLOOKUP(Projeção[[#This Row],[Código]],BD_Produto[#All],6,FALSE)</f>
        <v>OLFA, ESTILETE MULTIUSO XA-1 - COM LAMINA BLACK</v>
      </c>
      <c r="C674" s="130">
        <v>27.133333333333333</v>
      </c>
      <c r="D674" s="130">
        <v>18.733333333333331</v>
      </c>
      <c r="E674" s="130">
        <v>12.333333333333332</v>
      </c>
      <c r="F674" s="130">
        <v>22.133333333333329</v>
      </c>
      <c r="G674" s="130">
        <v>11.733333333333333</v>
      </c>
      <c r="H674" s="130">
        <v>16.666666666666668</v>
      </c>
      <c r="I674" s="130">
        <v>16.266666666666669</v>
      </c>
      <c r="J674" s="130">
        <v>18.399999999999999</v>
      </c>
      <c r="K674" s="130">
        <v>16.666666666666668</v>
      </c>
      <c r="L674" s="130">
        <v>19.599999999999998</v>
      </c>
      <c r="M674" s="130">
        <v>25.666666666666668</v>
      </c>
      <c r="N674" s="130">
        <v>23.266666666666666</v>
      </c>
      <c r="O6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15.499999999999998</v>
      </c>
    </row>
    <row r="675" spans="1:15" ht="15" customHeight="1" x14ac:dyDescent="0.25">
      <c r="A675" s="15">
        <v>33070614026</v>
      </c>
      <c r="B675" s="16" t="str">
        <f>VLOOKUP(Projeção[[#This Row],[Código]],BD_Produto[#All],6,FALSE)</f>
        <v xml:space="preserve">OLFA, ESTILETE ROTATIVO CHN-1 - CHENILE </v>
      </c>
      <c r="C675" s="130">
        <v>14.166666666666668</v>
      </c>
      <c r="D675" s="130">
        <v>16</v>
      </c>
      <c r="E675" s="130">
        <v>8.8666666666666654</v>
      </c>
      <c r="F675" s="130">
        <v>7.3666666666666654</v>
      </c>
      <c r="G675" s="130">
        <v>4.8999999999999995</v>
      </c>
      <c r="H675" s="130">
        <v>6.1</v>
      </c>
      <c r="I675" s="130">
        <v>5.8666666666666663</v>
      </c>
      <c r="J675" s="130">
        <v>5.6000000000000005</v>
      </c>
      <c r="K675" s="130">
        <v>6.1</v>
      </c>
      <c r="L675" s="130">
        <v>6.2</v>
      </c>
      <c r="M675" s="130">
        <v>10.566666666666666</v>
      </c>
      <c r="N675" s="130">
        <v>8.8333333333333321</v>
      </c>
      <c r="O6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8.7333333333333325</v>
      </c>
    </row>
    <row r="676" spans="1:15" ht="15" customHeight="1" x14ac:dyDescent="0.25">
      <c r="A676" s="15">
        <v>33070614910</v>
      </c>
      <c r="B676" s="16" t="str">
        <f>VLOOKUP(Projeção[[#This Row],[Código]],BD_Produto[#All],6,FALSE)</f>
        <v>OLFA, ESTILETE ROTATIVO CMP-3 - FUXICO</v>
      </c>
      <c r="C676" s="130">
        <v>22.9</v>
      </c>
      <c r="D676" s="130">
        <v>34.466666666666669</v>
      </c>
      <c r="E676" s="130">
        <v>20.066666666666666</v>
      </c>
      <c r="F676" s="130">
        <v>19.033333333333331</v>
      </c>
      <c r="G676" s="130">
        <v>14.566666666666668</v>
      </c>
      <c r="H676" s="130">
        <v>11.899999999999999</v>
      </c>
      <c r="I676" s="130">
        <v>11.1</v>
      </c>
      <c r="J676" s="130">
        <v>10.233333333333334</v>
      </c>
      <c r="K676" s="130">
        <v>11.899999999999999</v>
      </c>
      <c r="L676" s="130">
        <v>12.433333333333335</v>
      </c>
      <c r="M676" s="130">
        <v>19.233333333333334</v>
      </c>
      <c r="N676" s="130">
        <v>18.133333333333333</v>
      </c>
      <c r="O6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14.53333333333333</v>
      </c>
    </row>
    <row r="677" spans="1:15" ht="15" customHeight="1" x14ac:dyDescent="0.25">
      <c r="A677" s="15">
        <v>33070614018</v>
      </c>
      <c r="B677" s="16" t="str">
        <f>VLOOKUP(Projeção[[#This Row],[Código]],BD_Produto[#All],6,FALSE)</f>
        <v>OLFA, ESTILETE ROTATIVO PIK-2 (45MM)</v>
      </c>
      <c r="C677" s="130">
        <v>0</v>
      </c>
      <c r="D677" s="130">
        <v>0</v>
      </c>
      <c r="E677" s="130">
        <v>0</v>
      </c>
      <c r="F677" s="130">
        <v>0</v>
      </c>
      <c r="G677" s="130">
        <v>0</v>
      </c>
      <c r="H677" s="130">
        <v>0</v>
      </c>
      <c r="I677" s="130">
        <v>0</v>
      </c>
      <c r="J677" s="130">
        <v>0</v>
      </c>
      <c r="K677" s="130">
        <v>0</v>
      </c>
      <c r="L677" s="130">
        <v>0</v>
      </c>
      <c r="M677" s="130">
        <v>0</v>
      </c>
      <c r="N677" s="130">
        <v>0</v>
      </c>
      <c r="O6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78" spans="1:15" ht="15" customHeight="1" x14ac:dyDescent="0.25">
      <c r="A678" s="15">
        <v>33070614020</v>
      </c>
      <c r="B678" s="16" t="str">
        <f>VLOOKUP(Projeção[[#This Row],[Código]],BD_Produto[#All],6,FALSE)</f>
        <v>OLFA, ESTILETE ROTATIVO RTY-1/DX (28MM)</v>
      </c>
      <c r="C678" s="130">
        <v>0</v>
      </c>
      <c r="D678" s="130">
        <v>0</v>
      </c>
      <c r="E678" s="130">
        <v>0</v>
      </c>
      <c r="F678" s="130">
        <v>0</v>
      </c>
      <c r="G678" s="130">
        <v>0</v>
      </c>
      <c r="H678" s="130">
        <v>0</v>
      </c>
      <c r="I678" s="130">
        <v>0</v>
      </c>
      <c r="J678" s="130">
        <v>0</v>
      </c>
      <c r="K678" s="130">
        <v>0</v>
      </c>
      <c r="L678" s="130">
        <v>0</v>
      </c>
      <c r="M678" s="130">
        <v>0</v>
      </c>
      <c r="N678" s="130">
        <v>0</v>
      </c>
      <c r="O6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79" spans="1:15" ht="15" customHeight="1" x14ac:dyDescent="0.25">
      <c r="A679" s="15">
        <v>33070614741</v>
      </c>
      <c r="B679" s="16" t="str">
        <f>VLOOKUP(Projeção[[#This Row],[Código]],BD_Produto[#All],6,FALSE)</f>
        <v>OLFA, ESTILETE ROTATIVO RTY-1G (28MM)</v>
      </c>
      <c r="C679" s="130">
        <v>29.9</v>
      </c>
      <c r="D679" s="130">
        <v>49.333333333333329</v>
      </c>
      <c r="E679" s="130">
        <v>28.133333333333336</v>
      </c>
      <c r="F679" s="130">
        <v>32.1</v>
      </c>
      <c r="G679" s="130">
        <v>36.133333333333333</v>
      </c>
      <c r="H679" s="130">
        <v>28.366666666666664</v>
      </c>
      <c r="I679" s="130">
        <v>27.766666666666666</v>
      </c>
      <c r="J679" s="130">
        <v>30.866666666666667</v>
      </c>
      <c r="K679" s="130">
        <v>28.366666666666664</v>
      </c>
      <c r="L679" s="130">
        <v>31.866666666666664</v>
      </c>
      <c r="M679" s="130">
        <v>46.433333333333337</v>
      </c>
      <c r="N679" s="130">
        <v>47.5</v>
      </c>
      <c r="O6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22.033333333333331</v>
      </c>
    </row>
    <row r="680" spans="1:15" ht="15" customHeight="1" x14ac:dyDescent="0.2">
      <c r="A680" s="15">
        <v>33070665297</v>
      </c>
      <c r="B680" s="126" t="str">
        <f>VLOOKUP(Projeção[[#This Row],[Código]],BD_Produto[#All],6,FALSE)</f>
        <v>OLFA, ESTILETE ROTATIVO RTY-2/C (45MM)</v>
      </c>
      <c r="C680" s="141"/>
      <c r="D680" s="141"/>
      <c r="E680" s="141"/>
      <c r="F680" s="141"/>
      <c r="G680" s="141"/>
      <c r="H680" s="141"/>
      <c r="I680" s="141"/>
      <c r="J680" s="141"/>
      <c r="K680" s="141"/>
      <c r="L680" s="141">
        <v>0</v>
      </c>
      <c r="M680" s="141">
        <v>0</v>
      </c>
      <c r="N680" s="141">
        <v>0</v>
      </c>
      <c r="O680" s="14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4.8999999999999995</v>
      </c>
    </row>
    <row r="681" spans="1:15" ht="15" customHeight="1" x14ac:dyDescent="0.25">
      <c r="A681" s="15">
        <v>33070614906</v>
      </c>
      <c r="B681" s="16" t="str">
        <f>VLOOKUP(Projeção[[#This Row],[Código]],BD_Produto[#All],6,FALSE)</f>
        <v>OLFA, ESTILETE ROTATIVO RTY2/DX (45MM)</v>
      </c>
      <c r="C681" s="130">
        <v>39.1</v>
      </c>
      <c r="D681" s="130">
        <v>42.93333333333333</v>
      </c>
      <c r="E681" s="130">
        <v>25.833333333333329</v>
      </c>
      <c r="F681" s="130">
        <v>23.133333333333333</v>
      </c>
      <c r="G681" s="130">
        <v>26.533333333333331</v>
      </c>
      <c r="H681" s="130">
        <v>23.099999999999998</v>
      </c>
      <c r="I681" s="130">
        <v>22.366666666666667</v>
      </c>
      <c r="J681" s="130">
        <v>23.900000000000002</v>
      </c>
      <c r="K681" s="130">
        <v>23.099999999999998</v>
      </c>
      <c r="L681" s="130">
        <v>24.433333333333334</v>
      </c>
      <c r="M681" s="130">
        <v>36.666666666666664</v>
      </c>
      <c r="N681" s="130">
        <v>30.033333333333328</v>
      </c>
      <c r="O6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29</v>
      </c>
    </row>
    <row r="682" spans="1:15" ht="15" customHeight="1" x14ac:dyDescent="0.25">
      <c r="A682" s="15">
        <v>33070660825</v>
      </c>
      <c r="B682" s="16" t="str">
        <f>VLOOKUP(Projeção[[#This Row],[Código]],BD_Produto[#All],6,FALSE)</f>
        <v>OLFA, ESTILETE ROTATIVO RTY-2/NS (45MM)</v>
      </c>
      <c r="C682" s="130">
        <v>7.6333333333333337</v>
      </c>
      <c r="D682" s="130">
        <v>8.2333333333333343</v>
      </c>
      <c r="E682" s="130">
        <v>4.9666666666666668</v>
      </c>
      <c r="F682" s="130">
        <v>4.0333333333333332</v>
      </c>
      <c r="G682" s="130">
        <v>2.7666666666666671</v>
      </c>
      <c r="H682" s="130">
        <v>6.3999999999999995</v>
      </c>
      <c r="I682" s="130">
        <v>5.3666666666666663</v>
      </c>
      <c r="J682" s="130">
        <v>6.6</v>
      </c>
      <c r="K682" s="130">
        <v>6.3999999999999995</v>
      </c>
      <c r="L682" s="130">
        <v>7.2999999999999989</v>
      </c>
      <c r="M682" s="130">
        <v>14.83333333333333</v>
      </c>
      <c r="N682" s="130">
        <v>13.999999999999998</v>
      </c>
      <c r="O6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12.299999999999999</v>
      </c>
    </row>
    <row r="683" spans="1:15" ht="15" customHeight="1" x14ac:dyDescent="0.25">
      <c r="A683" s="15">
        <v>33070614742</v>
      </c>
      <c r="B683" s="16" t="str">
        <f>VLOOKUP(Projeção[[#This Row],[Código]],BD_Produto[#All],6,FALSE)</f>
        <v>OLFA, ESTILETE ROTATIVO RTY-2G (45MM)</v>
      </c>
      <c r="C683" s="130">
        <v>107.33333333333334</v>
      </c>
      <c r="D683" s="130">
        <v>102.2</v>
      </c>
      <c r="E683" s="130">
        <v>60.266666666666666</v>
      </c>
      <c r="F683" s="130">
        <v>64.399999999999991</v>
      </c>
      <c r="G683" s="130">
        <v>83.466666666666669</v>
      </c>
      <c r="H683" s="130">
        <v>62.866666666666667</v>
      </c>
      <c r="I683" s="130">
        <v>61.266666666666673</v>
      </c>
      <c r="J683" s="130">
        <v>64.666666666666657</v>
      </c>
      <c r="K683" s="130">
        <v>62.866666666666667</v>
      </c>
      <c r="L683" s="130">
        <v>66.599999999999994</v>
      </c>
      <c r="M683" s="130">
        <v>108.39999999999999</v>
      </c>
      <c r="N683" s="130">
        <v>100.2</v>
      </c>
      <c r="O6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66.099999999999994</v>
      </c>
    </row>
    <row r="684" spans="1:15" ht="15" customHeight="1" x14ac:dyDescent="0.25">
      <c r="A684" s="15">
        <v>33070660565</v>
      </c>
      <c r="B684" s="16" t="str">
        <f>VLOOKUP(Projeção[[#This Row],[Código]],BD_Produto[#All],6,FALSE)</f>
        <v>OLFA, ESTILETE ROTATIVO RTY2-GP1 (45MM)</v>
      </c>
      <c r="C684" s="130">
        <v>0</v>
      </c>
      <c r="D684" s="130">
        <v>0</v>
      </c>
      <c r="E684" s="130">
        <v>0</v>
      </c>
      <c r="F684" s="130">
        <v>0</v>
      </c>
      <c r="G684" s="130">
        <v>0</v>
      </c>
      <c r="H684" s="130">
        <v>0</v>
      </c>
      <c r="I684" s="130">
        <v>0</v>
      </c>
      <c r="J684" s="130">
        <v>0</v>
      </c>
      <c r="K684" s="130">
        <v>0</v>
      </c>
      <c r="L684" s="130">
        <v>0</v>
      </c>
      <c r="M684" s="130">
        <v>0</v>
      </c>
      <c r="N684" s="130">
        <v>0</v>
      </c>
      <c r="O6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85" spans="1:15" ht="15" customHeight="1" x14ac:dyDescent="0.25">
      <c r="A685" s="15">
        <v>33070660566</v>
      </c>
      <c r="B685" s="16" t="str">
        <f>VLOOKUP(Projeção[[#This Row],[Código]],BD_Produto[#All],6,FALSE)</f>
        <v>OLFA, ESTILETE ROTATIVO RTY2-GP2 (45MM)</v>
      </c>
      <c r="C685" s="130">
        <v>0</v>
      </c>
      <c r="D685" s="130">
        <v>0</v>
      </c>
      <c r="E685" s="130">
        <v>0</v>
      </c>
      <c r="F685" s="130">
        <v>0</v>
      </c>
      <c r="G685" s="130">
        <v>0</v>
      </c>
      <c r="H685" s="130">
        <v>0</v>
      </c>
      <c r="I685" s="130">
        <v>0</v>
      </c>
      <c r="J685" s="130">
        <v>0</v>
      </c>
      <c r="K685" s="130">
        <v>0</v>
      </c>
      <c r="L685" s="130">
        <v>0</v>
      </c>
      <c r="M685" s="130">
        <v>0</v>
      </c>
      <c r="N685" s="130">
        <v>0</v>
      </c>
      <c r="O6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86" spans="1:15" ht="15" customHeight="1" x14ac:dyDescent="0.25">
      <c r="A686" s="15">
        <v>33070614019</v>
      </c>
      <c r="B686" s="16" t="str">
        <f>VLOOKUP(Projeção[[#This Row],[Código]],BD_Produto[#All],6,FALSE)</f>
        <v>OLFA, ESTILETE ROTATIVO RTY-3/G (60MM)</v>
      </c>
      <c r="C686" s="130">
        <v>27.533333333333331</v>
      </c>
      <c r="D686" s="130">
        <v>27.066666666666663</v>
      </c>
      <c r="E686" s="130">
        <v>17.93333333333333</v>
      </c>
      <c r="F686" s="130">
        <v>18.266666666666666</v>
      </c>
      <c r="G686" s="130">
        <v>24.4</v>
      </c>
      <c r="H686" s="130">
        <v>16.2</v>
      </c>
      <c r="I686" s="130">
        <v>15.2</v>
      </c>
      <c r="J686" s="130">
        <v>14.5</v>
      </c>
      <c r="K686" s="130">
        <v>16.2</v>
      </c>
      <c r="L686" s="130">
        <v>14.5</v>
      </c>
      <c r="M686" s="130">
        <v>22.233333333333334</v>
      </c>
      <c r="N686" s="130">
        <v>18.100000000000001</v>
      </c>
      <c r="O6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15.499999999999998</v>
      </c>
    </row>
    <row r="687" spans="1:15" ht="15" customHeight="1" x14ac:dyDescent="0.25">
      <c r="A687" s="15">
        <v>33070614021</v>
      </c>
      <c r="B687" s="16" t="str">
        <f>VLOOKUP(Projeção[[#This Row],[Código]],BD_Produto[#All],6,FALSE)</f>
        <v>OLFA, ESTILETE ROTATIVO RTY-4 (18MM)</v>
      </c>
      <c r="C687" s="130">
        <v>21.86666666666666</v>
      </c>
      <c r="D687" s="130">
        <v>21.933333333333337</v>
      </c>
      <c r="E687" s="130">
        <v>15.4</v>
      </c>
      <c r="F687" s="130">
        <v>11.6</v>
      </c>
      <c r="G687" s="130">
        <v>10.533333333333331</v>
      </c>
      <c r="H687" s="130">
        <v>14.5</v>
      </c>
      <c r="I687" s="130">
        <v>13.799999999999999</v>
      </c>
      <c r="J687" s="130">
        <v>17.8</v>
      </c>
      <c r="K687" s="130">
        <v>14.5</v>
      </c>
      <c r="L687" s="130">
        <v>19.533333333333335</v>
      </c>
      <c r="M687" s="130">
        <v>24.933333333333337</v>
      </c>
      <c r="N687" s="130">
        <v>19.666666666666668</v>
      </c>
      <c r="O6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10.666666666666664</v>
      </c>
    </row>
    <row r="688" spans="1:15" ht="15" customHeight="1" x14ac:dyDescent="0.25">
      <c r="A688" s="15">
        <v>33070654000</v>
      </c>
      <c r="B688" s="16" t="str">
        <f>VLOOKUP(Projeção[[#This Row],[Código]],BD_Produto[#All],6,FALSE)</f>
        <v>OLFA, ESTILETE ROTATIVO RTY-TK/3M (45MM)</v>
      </c>
      <c r="C688" s="130">
        <v>0</v>
      </c>
      <c r="D688" s="130">
        <v>0</v>
      </c>
      <c r="E688" s="130">
        <v>0</v>
      </c>
      <c r="F688" s="130">
        <v>0</v>
      </c>
      <c r="G688" s="130">
        <v>0</v>
      </c>
      <c r="H688" s="130">
        <v>0</v>
      </c>
      <c r="I688" s="130">
        <v>0</v>
      </c>
      <c r="J688" s="130">
        <v>0</v>
      </c>
      <c r="K688" s="130">
        <v>0</v>
      </c>
      <c r="L688" s="130">
        <v>0</v>
      </c>
      <c r="M688" s="130">
        <v>0</v>
      </c>
      <c r="N688" s="130">
        <v>0</v>
      </c>
      <c r="O6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89" spans="1:15" ht="15" customHeight="1" x14ac:dyDescent="0.25">
      <c r="A689" s="15">
        <v>33070614017</v>
      </c>
      <c r="B689" s="16" t="str">
        <f>VLOOKUP(Projeção[[#This Row],[Código]],BD_Produto[#All],6,FALSE)</f>
        <v>OLFA, ESTILETE ROTATIVO TEC-1 - SEMI-ROTATIVO</v>
      </c>
      <c r="C689" s="130">
        <v>0</v>
      </c>
      <c r="D689" s="130">
        <v>0</v>
      </c>
      <c r="E689" s="130">
        <v>0</v>
      </c>
      <c r="F689" s="130">
        <v>0</v>
      </c>
      <c r="G689" s="130">
        <v>0</v>
      </c>
      <c r="H689" s="130">
        <v>0</v>
      </c>
      <c r="I689" s="130">
        <v>0</v>
      </c>
      <c r="J689" s="130">
        <v>0</v>
      </c>
      <c r="K689" s="130">
        <v>0</v>
      </c>
      <c r="L689" s="130">
        <v>0</v>
      </c>
      <c r="M689" s="130">
        <v>0</v>
      </c>
      <c r="N689" s="130">
        <v>0</v>
      </c>
      <c r="O6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90" spans="1:15" ht="15" customHeight="1" x14ac:dyDescent="0.25">
      <c r="A690" s="15">
        <v>33070614737</v>
      </c>
      <c r="B690" s="16" t="str">
        <f>VLOOKUP(Projeção[[#This Row],[Código]],BD_Produto[#All],6,FALSE)</f>
        <v>OLFA, ESTILETE ROTATIVO WAC-1</v>
      </c>
      <c r="C690" s="130">
        <v>0</v>
      </c>
      <c r="D690" s="130">
        <v>0</v>
      </c>
      <c r="E690" s="130">
        <v>0</v>
      </c>
      <c r="F690" s="130">
        <v>0</v>
      </c>
      <c r="G690" s="130">
        <v>0</v>
      </c>
      <c r="H690" s="130">
        <v>0</v>
      </c>
      <c r="I690" s="130">
        <v>0</v>
      </c>
      <c r="J690" s="130">
        <v>0</v>
      </c>
      <c r="K690" s="130">
        <v>0</v>
      </c>
      <c r="L690" s="130">
        <v>0</v>
      </c>
      <c r="M690" s="130">
        <v>0</v>
      </c>
      <c r="N690" s="130">
        <v>0</v>
      </c>
      <c r="O6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91" spans="1:15" ht="15" customHeight="1" x14ac:dyDescent="0.25">
      <c r="A691" s="15">
        <v>33070614896</v>
      </c>
      <c r="B691" s="16" t="str">
        <f>VLOOKUP(Projeção[[#This Row],[Código]],BD_Produto[#All],6,FALSE)</f>
        <v>OLFA, ESTILETE ROTATIVO WAC-2</v>
      </c>
      <c r="C691" s="130">
        <v>0</v>
      </c>
      <c r="D691" s="130">
        <v>0</v>
      </c>
      <c r="E691" s="130">
        <v>0</v>
      </c>
      <c r="F691" s="130">
        <v>0</v>
      </c>
      <c r="G691" s="130">
        <v>0</v>
      </c>
      <c r="H691" s="130">
        <v>0</v>
      </c>
      <c r="I691" s="130">
        <v>0</v>
      </c>
      <c r="J691" s="130">
        <v>0</v>
      </c>
      <c r="K691" s="130">
        <v>0</v>
      </c>
      <c r="L691" s="130">
        <v>0</v>
      </c>
      <c r="M691" s="130">
        <v>0</v>
      </c>
      <c r="N691" s="130">
        <v>0</v>
      </c>
      <c r="O6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92" spans="1:15" ht="15" customHeight="1" x14ac:dyDescent="0.25">
      <c r="A692" s="15">
        <v>33070614030</v>
      </c>
      <c r="B692" s="16" t="str">
        <f>VLOOKUP(Projeção[[#This Row],[Código]],BD_Produto[#All],6,FALSE)</f>
        <v>OLFA, ESTOJO DE LÂMINA CHB-1</v>
      </c>
      <c r="C692" s="130">
        <v>5.633333333333332</v>
      </c>
      <c r="D692" s="130">
        <v>6.6333333333333329</v>
      </c>
      <c r="E692" s="130">
        <v>3.4333333333333327</v>
      </c>
      <c r="F692" s="130">
        <v>2.6333333333333329</v>
      </c>
      <c r="G692" s="130">
        <v>1.5999999999999999</v>
      </c>
      <c r="H692" s="130">
        <v>1.4000000000000001</v>
      </c>
      <c r="I692" s="130">
        <v>1</v>
      </c>
      <c r="J692" s="130">
        <v>1</v>
      </c>
      <c r="K692" s="130">
        <v>1.4000000000000001</v>
      </c>
      <c r="L692" s="130">
        <v>4.9333333333333327</v>
      </c>
      <c r="M692" s="130">
        <v>7.833333333333333</v>
      </c>
      <c r="N692" s="130">
        <v>6.2333333333333325</v>
      </c>
      <c r="O6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4.4333333333333327</v>
      </c>
    </row>
    <row r="693" spans="1:15" ht="15" customHeight="1" x14ac:dyDescent="0.25">
      <c r="A693" s="15">
        <v>33070614999</v>
      </c>
      <c r="B693" s="16" t="str">
        <f>VLOOKUP(Projeção[[#This Row],[Código]],BD_Produto[#All],6,FALSE)</f>
        <v>OLFA, ESTOJO DE LÂMINA HOB-1</v>
      </c>
      <c r="C693" s="130">
        <v>1.9</v>
      </c>
      <c r="D693" s="130">
        <v>1.7999999999999998</v>
      </c>
      <c r="E693" s="130">
        <v>0.6</v>
      </c>
      <c r="F693" s="130">
        <v>14.200000000000001</v>
      </c>
      <c r="G693" s="130">
        <v>4.3999999999999995</v>
      </c>
      <c r="H693" s="130">
        <v>8.1999999999999993</v>
      </c>
      <c r="I693" s="130">
        <v>8.1999999999999993</v>
      </c>
      <c r="J693" s="130">
        <v>10</v>
      </c>
      <c r="K693" s="130">
        <v>8.1999999999999993</v>
      </c>
      <c r="L693" s="130">
        <v>6.8</v>
      </c>
      <c r="M693" s="130">
        <v>6.3999999999999995</v>
      </c>
      <c r="N693" s="130">
        <v>6.3999999999999995</v>
      </c>
      <c r="O6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1.4000000000000001</v>
      </c>
    </row>
    <row r="694" spans="1:15" ht="15" customHeight="1" x14ac:dyDescent="0.25">
      <c r="A694" s="15">
        <v>33070614015</v>
      </c>
      <c r="B694" s="16" t="str">
        <f>VLOOKUP(Projeção[[#This Row],[Código]],BD_Produto[#All],6,FALSE)</f>
        <v>OLFA, ESTOJO DE LÂMINA PIB 45-1 - AÇO INOX</v>
      </c>
      <c r="C694" s="130">
        <v>21.766666666666666</v>
      </c>
      <c r="D694" s="130">
        <v>13.7</v>
      </c>
      <c r="E694" s="130">
        <v>9.7666666666666675</v>
      </c>
      <c r="F694" s="130">
        <v>7.9666666666666668</v>
      </c>
      <c r="G694" s="130">
        <v>5.7333333333333334</v>
      </c>
      <c r="H694" s="130">
        <v>9.466666666666665</v>
      </c>
      <c r="I694" s="130">
        <v>8.9333333333333318</v>
      </c>
      <c r="J694" s="130">
        <v>11.733333333333333</v>
      </c>
      <c r="K694" s="130">
        <v>9.466666666666665</v>
      </c>
      <c r="L694" s="130">
        <v>14.133333333333331</v>
      </c>
      <c r="M694" s="130">
        <v>23.799999999999997</v>
      </c>
      <c r="N694" s="130">
        <v>18.133333333333329</v>
      </c>
      <c r="O6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11.4</v>
      </c>
    </row>
    <row r="695" spans="1:15" ht="15" customHeight="1" x14ac:dyDescent="0.25">
      <c r="A695" s="15">
        <v>33070614016</v>
      </c>
      <c r="B695" s="16" t="str">
        <f>VLOOKUP(Projeção[[#This Row],[Código]],BD_Produto[#All],6,FALSE)</f>
        <v>OLFA, ESTOJO DE LÂMINA RB60-1</v>
      </c>
      <c r="C695" s="130">
        <v>25.5</v>
      </c>
      <c r="D695" s="130">
        <v>26.4</v>
      </c>
      <c r="E695" s="130">
        <v>14.599999999999998</v>
      </c>
      <c r="F695" s="130">
        <v>14.366666666666665</v>
      </c>
      <c r="G695" s="130">
        <v>29.93333333333333</v>
      </c>
      <c r="H695" s="130">
        <v>23.466666666666669</v>
      </c>
      <c r="I695" s="130">
        <v>22.866666666666667</v>
      </c>
      <c r="J695" s="130">
        <v>23.4</v>
      </c>
      <c r="K695" s="130">
        <v>23.466666666666669</v>
      </c>
      <c r="L695" s="130">
        <v>24.366666666666667</v>
      </c>
      <c r="M695" s="130">
        <v>37.833333333333336</v>
      </c>
      <c r="N695" s="130">
        <v>37.43333333333333</v>
      </c>
      <c r="O6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30.066666666666666</v>
      </c>
    </row>
    <row r="696" spans="1:15" ht="15" customHeight="1" x14ac:dyDescent="0.25">
      <c r="A696" s="15">
        <v>33070614014</v>
      </c>
      <c r="B696" s="16" t="str">
        <f>VLOOKUP(Projeção[[#This Row],[Código]],BD_Produto[#All],6,FALSE)</f>
        <v>OLFA, ESTOJO DE LÂMINA TCB-1 - Kit com 3</v>
      </c>
      <c r="C696" s="130">
        <v>0.19999999999999998</v>
      </c>
      <c r="D696" s="130">
        <v>0.19999999999999998</v>
      </c>
      <c r="E696" s="130">
        <v>0.19999999999999998</v>
      </c>
      <c r="F696" s="130">
        <v>0.19999999999999998</v>
      </c>
      <c r="G696" s="130">
        <v>0.19999999999999998</v>
      </c>
      <c r="H696" s="130">
        <v>0</v>
      </c>
      <c r="I696" s="130">
        <v>0</v>
      </c>
      <c r="J696" s="130">
        <v>0</v>
      </c>
      <c r="K696" s="130">
        <v>0</v>
      </c>
      <c r="L696" s="130">
        <v>0</v>
      </c>
      <c r="M696" s="130">
        <v>0</v>
      </c>
      <c r="N696" s="130">
        <v>0</v>
      </c>
      <c r="O6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697" spans="1:15" ht="15" customHeight="1" x14ac:dyDescent="0.25">
      <c r="A697" s="15">
        <v>33070614907</v>
      </c>
      <c r="B697" s="16" t="str">
        <f>VLOOKUP(Projeção[[#This Row],[Código]],BD_Produto[#All],6,FALSE)</f>
        <v>OLFA, ESTOJO DE LÂMINA WAB45-1 - AÇO INOX</v>
      </c>
      <c r="C697" s="130">
        <v>16</v>
      </c>
      <c r="D697" s="130">
        <v>15.1</v>
      </c>
      <c r="E697" s="130">
        <v>9.8333333333333339</v>
      </c>
      <c r="F697" s="130">
        <v>8.9</v>
      </c>
      <c r="G697" s="130">
        <v>13.6</v>
      </c>
      <c r="H697" s="130">
        <v>9.8333333333333339</v>
      </c>
      <c r="I697" s="130">
        <v>8.9</v>
      </c>
      <c r="J697" s="130">
        <v>12</v>
      </c>
      <c r="K697" s="130">
        <v>9.7333333333333343</v>
      </c>
      <c r="L697" s="130">
        <v>14.866666666666664</v>
      </c>
      <c r="M697" s="130">
        <v>25.2</v>
      </c>
      <c r="N697" s="130">
        <v>18.566666666666666</v>
      </c>
      <c r="O6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8.3333333333333321</v>
      </c>
    </row>
    <row r="698" spans="1:15" ht="15" customHeight="1" x14ac:dyDescent="0.25">
      <c r="A698" s="15">
        <v>33070614898</v>
      </c>
      <c r="B698" s="16" t="str">
        <f>VLOOKUP(Projeção[[#This Row],[Código]],BD_Produto[#All],6,FALSE)</f>
        <v>OLFA, ESTOJO DE LÂMINAS AB-10S - AÇO INOX - KIT COM 10</v>
      </c>
      <c r="C698" s="130">
        <v>76.833333333333343</v>
      </c>
      <c r="D698" s="130">
        <v>40.766666666666666</v>
      </c>
      <c r="E698" s="130">
        <v>23.43333333333333</v>
      </c>
      <c r="F698" s="130">
        <v>22.299999999999997</v>
      </c>
      <c r="G698" s="130">
        <v>28.7</v>
      </c>
      <c r="H698" s="130">
        <v>22.299999999999997</v>
      </c>
      <c r="I698" s="130">
        <v>22.299999999999997</v>
      </c>
      <c r="J698" s="130">
        <v>27.9</v>
      </c>
      <c r="K698" s="130">
        <v>22.299999999999997</v>
      </c>
      <c r="L698" s="130">
        <v>20</v>
      </c>
      <c r="M698" s="130">
        <v>36.266666666666659</v>
      </c>
      <c r="N698" s="130">
        <v>49.6</v>
      </c>
      <c r="O6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37.233333333333334</v>
      </c>
    </row>
    <row r="699" spans="1:15" ht="15" customHeight="1" x14ac:dyDescent="0.25">
      <c r="A699" s="15">
        <v>33070663729</v>
      </c>
      <c r="B699" s="16" t="str">
        <f>VLOOKUP(Projeção[[#This Row],[Código]],BD_Produto[#All],6,FALSE)</f>
        <v>OLFA, ESTOJO DE LÂMINAS ABB-10B - KIT COM 10</v>
      </c>
      <c r="C699" s="130">
        <v>203.26666666666665</v>
      </c>
      <c r="D699" s="130">
        <v>226.53333333333336</v>
      </c>
      <c r="E699" s="130">
        <v>123.33333333333331</v>
      </c>
      <c r="F699" s="130">
        <v>302.86666666666667</v>
      </c>
      <c r="G699" s="130">
        <v>160.86666666666665</v>
      </c>
      <c r="H699" s="130">
        <v>225.6</v>
      </c>
      <c r="I699" s="130">
        <v>224.6</v>
      </c>
      <c r="J699" s="130">
        <v>186.33333333333331</v>
      </c>
      <c r="K699" s="130">
        <v>225.6</v>
      </c>
      <c r="L699" s="130">
        <v>125.73333333333332</v>
      </c>
      <c r="M699" s="130">
        <v>285.79999999999995</v>
      </c>
      <c r="N699" s="130">
        <v>290</v>
      </c>
      <c r="O6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258.56666666666661</v>
      </c>
    </row>
    <row r="700" spans="1:15" ht="15" customHeight="1" x14ac:dyDescent="0.25">
      <c r="A700" s="15">
        <v>33070614744</v>
      </c>
      <c r="B700" s="16" t="str">
        <f>VLOOKUP(Projeção[[#This Row],[Código]],BD_Produto[#All],6,FALSE)</f>
        <v>OLFA, ESTOJO DE LÂMINAS ASB-10 - KIT COM 10</v>
      </c>
      <c r="C700" s="130">
        <v>1179.1999999999998</v>
      </c>
      <c r="D700" s="130">
        <v>1077.3333333333333</v>
      </c>
      <c r="E700" s="130">
        <v>941.0333333333333</v>
      </c>
      <c r="F700" s="130">
        <v>915.03333333333319</v>
      </c>
      <c r="G700" s="130">
        <v>927.26666666666654</v>
      </c>
      <c r="H700" s="130">
        <v>595.33333333333337</v>
      </c>
      <c r="I700" s="130">
        <v>593.33333333333337</v>
      </c>
      <c r="J700" s="130">
        <v>700.06666666666649</v>
      </c>
      <c r="K700" s="130">
        <v>595.33333333333337</v>
      </c>
      <c r="L700" s="130">
        <v>702.86666666666656</v>
      </c>
      <c r="M700" s="130">
        <v>1051.7333333333333</v>
      </c>
      <c r="N700" s="130">
        <v>1056.1666666666667</v>
      </c>
      <c r="O7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1001.3333333333331</v>
      </c>
    </row>
    <row r="701" spans="1:15" ht="15" customHeight="1" x14ac:dyDescent="0.25">
      <c r="A701" s="15">
        <v>33070614029</v>
      </c>
      <c r="B701" s="16" t="str">
        <f>VLOOKUP(Projeção[[#This Row],[Código]],BD_Produto[#All],6,FALSE)</f>
        <v>OLFA, ESTOJO DE LÂMINAS ASBB-10 - KIT COM 10</v>
      </c>
      <c r="C701" s="130">
        <v>0.66666666666666663</v>
      </c>
      <c r="D701" s="130">
        <v>0.66666666666666663</v>
      </c>
      <c r="E701" s="130">
        <v>0</v>
      </c>
      <c r="F701" s="130">
        <v>0</v>
      </c>
      <c r="G701" s="130">
        <v>0</v>
      </c>
      <c r="H701" s="130">
        <v>0</v>
      </c>
      <c r="I701" s="130">
        <v>0</v>
      </c>
      <c r="J701" s="130">
        <v>0</v>
      </c>
      <c r="K701" s="130">
        <v>0</v>
      </c>
      <c r="L701" s="130">
        <v>0</v>
      </c>
      <c r="M701" s="130">
        <v>0</v>
      </c>
      <c r="N701" s="130">
        <v>0</v>
      </c>
      <c r="O7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02" spans="1:15" ht="15" customHeight="1" x14ac:dyDescent="0.25">
      <c r="A702" s="15">
        <v>33070614013</v>
      </c>
      <c r="B702" s="16" t="str">
        <f>VLOOKUP(Projeção[[#This Row],[Código]],BD_Produto[#All],6,FALSE)</f>
        <v>OLFA, ESTOJO DE LÂMINAS BS-10B - KIT COM 10</v>
      </c>
      <c r="C702" s="130">
        <v>6.6666666666666666E-2</v>
      </c>
      <c r="D702" s="130">
        <v>0</v>
      </c>
      <c r="E702" s="130">
        <v>0</v>
      </c>
      <c r="F702" s="130">
        <v>0</v>
      </c>
      <c r="G702" s="130">
        <v>0</v>
      </c>
      <c r="H702" s="130">
        <v>0</v>
      </c>
      <c r="I702" s="130">
        <v>0</v>
      </c>
      <c r="J702" s="130">
        <v>0</v>
      </c>
      <c r="K702" s="130">
        <v>0</v>
      </c>
      <c r="L702" s="130">
        <v>0</v>
      </c>
      <c r="M702" s="130">
        <v>0</v>
      </c>
      <c r="N702" s="130">
        <v>0</v>
      </c>
      <c r="O7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03" spans="1:15" ht="15" customHeight="1" x14ac:dyDescent="0.25">
      <c r="A703" s="15">
        <v>33070614747</v>
      </c>
      <c r="B703" s="16" t="str">
        <f>VLOOKUP(Projeção[[#This Row],[Código]],BD_Produto[#All],6,FALSE)</f>
        <v>OLFA, ESTOJO DE LÂMINAS CKB-1 - KIT COM 2</v>
      </c>
      <c r="C703" s="130">
        <v>79.2</v>
      </c>
      <c r="D703" s="130">
        <v>32.633333333333333</v>
      </c>
      <c r="E703" s="130">
        <v>36.033333333333339</v>
      </c>
      <c r="F703" s="130">
        <v>14.899999999999999</v>
      </c>
      <c r="G703" s="130">
        <v>16.2</v>
      </c>
      <c r="H703" s="130">
        <v>13.2</v>
      </c>
      <c r="I703" s="130">
        <v>13.2</v>
      </c>
      <c r="J703" s="130">
        <v>15.499999999999998</v>
      </c>
      <c r="K703" s="130">
        <v>13.1</v>
      </c>
      <c r="L703" s="130">
        <v>15.333333333333332</v>
      </c>
      <c r="M703" s="130">
        <v>58.933333333333337</v>
      </c>
      <c r="N703" s="130">
        <v>57.533333333333339</v>
      </c>
      <c r="O7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33</v>
      </c>
    </row>
    <row r="704" spans="1:15" ht="15" customHeight="1" x14ac:dyDescent="0.25">
      <c r="A704" s="15">
        <v>33070614748</v>
      </c>
      <c r="B704" s="16" t="str">
        <f>VLOOKUP(Projeção[[#This Row],[Código]],BD_Produto[#All],6,FALSE)</f>
        <v>OLFA, ESTOJO DE LÂMINAS COB-1 - KIT COM 15</v>
      </c>
      <c r="C704" s="130">
        <v>12.9</v>
      </c>
      <c r="D704" s="130">
        <v>5.7</v>
      </c>
      <c r="E704" s="130">
        <v>5.4999999999999991</v>
      </c>
      <c r="F704" s="130">
        <v>3</v>
      </c>
      <c r="G704" s="130">
        <v>2.7666666666666671</v>
      </c>
      <c r="H704" s="130">
        <v>3.666666666666667</v>
      </c>
      <c r="I704" s="130">
        <v>3.1666666666666665</v>
      </c>
      <c r="J704" s="130">
        <v>3.6333333333333324</v>
      </c>
      <c r="K704" s="130">
        <v>3.666666666666667</v>
      </c>
      <c r="L704" s="130">
        <v>2.7333333333333329</v>
      </c>
      <c r="M704" s="130">
        <v>3.1999999999999997</v>
      </c>
      <c r="N704" s="130">
        <v>3.1999999999999997</v>
      </c>
      <c r="O7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13.366666666666669</v>
      </c>
    </row>
    <row r="705" spans="1:15" ht="15" customHeight="1" x14ac:dyDescent="0.25">
      <c r="A705" s="15">
        <v>33070614745</v>
      </c>
      <c r="B705" s="16" t="str">
        <f>VLOOKUP(Projeção[[#This Row],[Código]],BD_Produto[#All],6,FALSE)</f>
        <v>OLFA, ESTOJO DE LÂMINAS HB-5B - KIT COM 5</v>
      </c>
      <c r="C705" s="130">
        <v>41.533333333333339</v>
      </c>
      <c r="D705" s="130">
        <v>39.166666666666664</v>
      </c>
      <c r="E705" s="130">
        <v>13.3</v>
      </c>
      <c r="F705" s="130">
        <v>133.43333333333334</v>
      </c>
      <c r="G705" s="130">
        <v>93.833333333333329</v>
      </c>
      <c r="H705" s="130">
        <v>80.499999999999986</v>
      </c>
      <c r="I705" s="130">
        <v>80.499999999999986</v>
      </c>
      <c r="J705" s="130">
        <v>53.433333333333323</v>
      </c>
      <c r="K705" s="130">
        <v>80.499999999999986</v>
      </c>
      <c r="L705" s="130">
        <v>24.7</v>
      </c>
      <c r="M705" s="130">
        <v>46.199999999999996</v>
      </c>
      <c r="N705" s="130">
        <v>38.63333333333334</v>
      </c>
      <c r="O7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90.466666666666654</v>
      </c>
    </row>
    <row r="706" spans="1:15" ht="15" customHeight="1" x14ac:dyDescent="0.25">
      <c r="A706" s="15">
        <v>33070663720</v>
      </c>
      <c r="B706" s="16" t="str">
        <f>VLOOKUP(Projeção[[#This Row],[Código]],BD_Produto[#All],6,FALSE)</f>
        <v>OLFA, ESTOJO DE LÂMINAS HOB-2/5</v>
      </c>
      <c r="C706" s="130">
        <v>0.19999999999999998</v>
      </c>
      <c r="D706" s="130">
        <v>0.19999999999999998</v>
      </c>
      <c r="E706" s="130">
        <v>0.19999999999999998</v>
      </c>
      <c r="F706" s="130">
        <v>0.19999999999999998</v>
      </c>
      <c r="G706" s="130">
        <v>0.19999999999999998</v>
      </c>
      <c r="H706" s="130">
        <v>0.19999999999999998</v>
      </c>
      <c r="I706" s="130">
        <v>0.19999999999999998</v>
      </c>
      <c r="J706" s="130">
        <v>0</v>
      </c>
      <c r="K706" s="130">
        <v>0.19999999999999998</v>
      </c>
      <c r="L706" s="130">
        <v>0</v>
      </c>
      <c r="M706" s="130">
        <v>0</v>
      </c>
      <c r="N706" s="130">
        <v>0</v>
      </c>
      <c r="O7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7.7</v>
      </c>
    </row>
    <row r="707" spans="1:15" ht="15" customHeight="1" x14ac:dyDescent="0.25">
      <c r="A707" s="15">
        <v>33070663584</v>
      </c>
      <c r="B707" s="16" t="str">
        <f>VLOOKUP(Projeção[[#This Row],[Código]],BD_Produto[#All],6,FALSE)</f>
        <v>OLFA, ESTOJO DE LÂMINAS HSWB-1/1B</v>
      </c>
      <c r="C707" s="130">
        <v>2.0333333333333332</v>
      </c>
      <c r="D707" s="130">
        <v>1.2333333333333332</v>
      </c>
      <c r="E707" s="130">
        <v>0.43333333333333329</v>
      </c>
      <c r="F707" s="130">
        <v>0.43333333333333329</v>
      </c>
      <c r="G707" s="130">
        <v>0.43333333333333329</v>
      </c>
      <c r="H707" s="130">
        <v>0.43333333333333329</v>
      </c>
      <c r="I707" s="130">
        <v>0.43333333333333329</v>
      </c>
      <c r="J707" s="130">
        <v>1.4333333333333333</v>
      </c>
      <c r="K707" s="130">
        <v>0.43333333333333329</v>
      </c>
      <c r="L707" s="130">
        <v>1.4333333333333333</v>
      </c>
      <c r="M707" s="130">
        <v>3.8</v>
      </c>
      <c r="N707" s="130">
        <v>3.5999999999999996</v>
      </c>
      <c r="O7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4.5666666666666664</v>
      </c>
    </row>
    <row r="708" spans="1:15" ht="15" customHeight="1" x14ac:dyDescent="0.25">
      <c r="A708" s="15">
        <v>33070614751</v>
      </c>
      <c r="B708" s="16" t="str">
        <f>VLOOKUP(Projeção[[#This Row],[Código]],BD_Produto[#All],6,FALSE)</f>
        <v>OLFA, ESTOJO DE LÂMINAS KB - KIT COM 25</v>
      </c>
      <c r="C708" s="130">
        <v>48.3</v>
      </c>
      <c r="D708" s="130">
        <v>72.166666666666657</v>
      </c>
      <c r="E708" s="130">
        <v>38.566666666666663</v>
      </c>
      <c r="F708" s="130">
        <v>32.199999999999996</v>
      </c>
      <c r="G708" s="130">
        <v>47.133333333333333</v>
      </c>
      <c r="H708" s="130">
        <v>35.633333333333333</v>
      </c>
      <c r="I708" s="130">
        <v>34.633333333333333</v>
      </c>
      <c r="J708" s="130">
        <v>34.966666666666661</v>
      </c>
      <c r="K708" s="130">
        <v>35.633333333333333</v>
      </c>
      <c r="L708" s="130">
        <v>39.36666666666666</v>
      </c>
      <c r="M708" s="130">
        <v>62.899999999999991</v>
      </c>
      <c r="N708" s="130">
        <v>62.099999999999994</v>
      </c>
      <c r="O7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45.566666666666663</v>
      </c>
    </row>
    <row r="709" spans="1:15" ht="15" customHeight="1" x14ac:dyDescent="0.25">
      <c r="A709" s="15">
        <v>33070614777</v>
      </c>
      <c r="B709" s="16" t="str">
        <f>VLOOKUP(Projeção[[#This Row],[Código]],BD_Produto[#All],6,FALSE)</f>
        <v>OLFA, ESTOJO DE LÂMINAS KB-3 - KIT COM 30</v>
      </c>
      <c r="C709" s="130">
        <v>0</v>
      </c>
      <c r="D709" s="130">
        <v>0</v>
      </c>
      <c r="E709" s="130">
        <v>0</v>
      </c>
      <c r="F709" s="130">
        <v>0</v>
      </c>
      <c r="G709" s="130">
        <v>0</v>
      </c>
      <c r="H709" s="130">
        <v>0</v>
      </c>
      <c r="I709" s="130">
        <v>0</v>
      </c>
      <c r="J709" s="130">
        <v>0</v>
      </c>
      <c r="K709" s="130">
        <v>0</v>
      </c>
      <c r="L709" s="130">
        <v>0</v>
      </c>
      <c r="M709" s="130">
        <v>0</v>
      </c>
      <c r="N709" s="130">
        <v>0</v>
      </c>
      <c r="O7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10" spans="1:15" ht="15" customHeight="1" x14ac:dyDescent="0.25">
      <c r="A710" s="15">
        <v>33070663724</v>
      </c>
      <c r="B710" s="16" t="str">
        <f>VLOOKUP(Projeção[[#This Row],[Código]],BD_Produto[#All],6,FALSE)</f>
        <v>OLFA, ESTOJO DE LÂMINAS KB4-F/5</v>
      </c>
      <c r="C710" s="130">
        <v>0.89999999999999991</v>
      </c>
      <c r="D710" s="130">
        <v>0.89999999999999991</v>
      </c>
      <c r="E710" s="130">
        <v>4.0333333333333332</v>
      </c>
      <c r="F710" s="130">
        <v>1.6333333333333335</v>
      </c>
      <c r="G710" s="130">
        <v>1.6333333333333335</v>
      </c>
      <c r="H710" s="130">
        <v>0.83333333333333337</v>
      </c>
      <c r="I710" s="130">
        <v>0.6333333333333333</v>
      </c>
      <c r="J710" s="130">
        <v>0.6333333333333333</v>
      </c>
      <c r="K710" s="130">
        <v>0.83333333333333337</v>
      </c>
      <c r="L710" s="130">
        <v>2.4333333333333336</v>
      </c>
      <c r="M710" s="130">
        <v>3.0666666666666669</v>
      </c>
      <c r="N710" s="130">
        <v>2.8666666666666667</v>
      </c>
      <c r="O7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2.8000000000000003</v>
      </c>
    </row>
    <row r="711" spans="1:15" ht="15" customHeight="1" x14ac:dyDescent="0.25">
      <c r="A711" s="15">
        <v>33070663725</v>
      </c>
      <c r="B711" s="16" t="str">
        <f>VLOOKUP(Projeção[[#This Row],[Código]],BD_Produto[#All],6,FALSE)</f>
        <v>OLFA, ESTOJO DE LÂMINAS KB4-NS/3</v>
      </c>
      <c r="C711" s="130">
        <v>0.36666666666666664</v>
      </c>
      <c r="D711" s="130">
        <v>0.36666666666666664</v>
      </c>
      <c r="E711" s="130">
        <v>0.36666666666666664</v>
      </c>
      <c r="F711" s="130">
        <v>0.36666666666666664</v>
      </c>
      <c r="G711" s="130">
        <v>0.36666666666666664</v>
      </c>
      <c r="H711" s="130">
        <v>0.36666666666666664</v>
      </c>
      <c r="I711" s="130">
        <v>0.16666666666666666</v>
      </c>
      <c r="J711" s="130">
        <v>0.36666666666666664</v>
      </c>
      <c r="K711" s="130">
        <v>0.36666666666666664</v>
      </c>
      <c r="L711" s="130">
        <v>0.16666666666666666</v>
      </c>
      <c r="M711" s="130">
        <v>0</v>
      </c>
      <c r="N711" s="130">
        <v>0</v>
      </c>
      <c r="O7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2.1999999999999997</v>
      </c>
    </row>
    <row r="712" spans="1:15" ht="15" customHeight="1" x14ac:dyDescent="0.25">
      <c r="A712" s="15">
        <v>33070663723</v>
      </c>
      <c r="B712" s="16" t="str">
        <f>VLOOKUP(Projeção[[#This Row],[Código]],BD_Produto[#All],6,FALSE)</f>
        <v>OLFA, ESTOJO DE LÂMINAS KB4-R/5</v>
      </c>
      <c r="C712" s="130">
        <v>6.6666666666666652</v>
      </c>
      <c r="D712" s="130">
        <v>5.5333333333333341</v>
      </c>
      <c r="E712" s="130">
        <v>3.1333333333333333</v>
      </c>
      <c r="F712" s="130">
        <v>2.3333333333333335</v>
      </c>
      <c r="G712" s="130">
        <v>1.5333333333333334</v>
      </c>
      <c r="H712" s="130">
        <v>1.5333333333333334</v>
      </c>
      <c r="I712" s="130">
        <v>1.1333333333333333</v>
      </c>
      <c r="J712" s="130">
        <v>1.5333333333333334</v>
      </c>
      <c r="K712" s="130">
        <v>1.5333333333333334</v>
      </c>
      <c r="L712" s="130">
        <v>3.666666666666667</v>
      </c>
      <c r="M712" s="130">
        <v>6.9999999999999991</v>
      </c>
      <c r="N712" s="130">
        <v>5.666666666666667</v>
      </c>
      <c r="O7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5.8666666666666671</v>
      </c>
    </row>
    <row r="713" spans="1:15" ht="15" customHeight="1" x14ac:dyDescent="0.25">
      <c r="A713" s="15">
        <v>33070663722</v>
      </c>
      <c r="B713" s="16" t="str">
        <f>VLOOKUP(Projeção[[#This Row],[Código]],BD_Produto[#All],6,FALSE)</f>
        <v>OLFA, ESTOJO DE LÂMINAS KB4-S/5</v>
      </c>
      <c r="C713" s="130">
        <v>5.6000000000000005</v>
      </c>
      <c r="D713" s="130">
        <v>5.8</v>
      </c>
      <c r="E713" s="130">
        <v>6.8</v>
      </c>
      <c r="F713" s="130">
        <v>3.5999999999999996</v>
      </c>
      <c r="G713" s="130">
        <v>2.5999999999999996</v>
      </c>
      <c r="H713" s="130">
        <v>1.4000000000000001</v>
      </c>
      <c r="I713" s="130">
        <v>1</v>
      </c>
      <c r="J713" s="130">
        <v>2.4</v>
      </c>
      <c r="K713" s="130">
        <v>1.4000000000000001</v>
      </c>
      <c r="L713" s="130">
        <v>5.5333333333333323</v>
      </c>
      <c r="M713" s="130">
        <v>6.0666666666666673</v>
      </c>
      <c r="N713" s="130">
        <v>7.8666666666666671</v>
      </c>
      <c r="O7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10.066666666666665</v>
      </c>
    </row>
    <row r="714" spans="1:15" ht="15" customHeight="1" x14ac:dyDescent="0.25">
      <c r="A714" s="15">
        <v>33070663726</v>
      </c>
      <c r="B714" s="16" t="str">
        <f>VLOOKUP(Projeção[[#This Row],[Código]],BD_Produto[#All],6,FALSE)</f>
        <v>OLFA, ESTOJO DE LÂMINAS KB4-WS/3</v>
      </c>
      <c r="C714" s="130">
        <v>0.56666666666666665</v>
      </c>
      <c r="D714" s="130">
        <v>0.56666666666666665</v>
      </c>
      <c r="E714" s="130">
        <v>0.56666666666666665</v>
      </c>
      <c r="F714" s="130">
        <v>0.56666666666666665</v>
      </c>
      <c r="G714" s="130">
        <v>0.56666666666666665</v>
      </c>
      <c r="H714" s="130">
        <v>0.36666666666666664</v>
      </c>
      <c r="I714" s="130">
        <v>0.16666666666666666</v>
      </c>
      <c r="J714" s="130">
        <v>0.36666666666666664</v>
      </c>
      <c r="K714" s="130">
        <v>0.36666666666666664</v>
      </c>
      <c r="L714" s="130">
        <v>0.16666666666666666</v>
      </c>
      <c r="M714" s="130">
        <v>0</v>
      </c>
      <c r="N714" s="130">
        <v>0</v>
      </c>
      <c r="O7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</v>
      </c>
    </row>
    <row r="715" spans="1:15" ht="15" customHeight="1" x14ac:dyDescent="0.25">
      <c r="A715" s="15">
        <v>33070664316</v>
      </c>
      <c r="B715" s="16" t="str">
        <f>VLOOKUP(Projeção[[#This Row],[Código]],BD_Produto[#All],6,FALSE)</f>
        <v>OLFA, ESTOJO DE LAMINAS KB-5/30B KIT C/ 30</v>
      </c>
      <c r="C715" s="130">
        <v>0.70000000000000007</v>
      </c>
      <c r="D715" s="130">
        <v>0.3</v>
      </c>
      <c r="E715" s="130">
        <v>0.3</v>
      </c>
      <c r="F715" s="130">
        <v>0.3</v>
      </c>
      <c r="G715" s="130">
        <v>0.3</v>
      </c>
      <c r="H715" s="130">
        <v>0.3</v>
      </c>
      <c r="I715" s="130">
        <v>0.3</v>
      </c>
      <c r="J715" s="130">
        <v>0.3</v>
      </c>
      <c r="K715" s="130">
        <v>0.3</v>
      </c>
      <c r="L715" s="130">
        <v>2.1</v>
      </c>
      <c r="M715" s="130">
        <v>4.3</v>
      </c>
      <c r="N715" s="130">
        <v>4.2</v>
      </c>
      <c r="O7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4.1333333333333329</v>
      </c>
    </row>
    <row r="716" spans="1:15" ht="15" customHeight="1" x14ac:dyDescent="0.25">
      <c r="A716" s="15">
        <v>33070614746</v>
      </c>
      <c r="B716" s="16" t="str">
        <f>VLOOKUP(Projeção[[#This Row],[Código]],BD_Produto[#All],6,FALSE)</f>
        <v>OLFA, ESTOJO DE LÂMINAS LB-10 - KIT COM 10</v>
      </c>
      <c r="C716" s="130">
        <v>0</v>
      </c>
      <c r="D716" s="130">
        <v>0</v>
      </c>
      <c r="E716" s="130">
        <v>0</v>
      </c>
      <c r="F716" s="130">
        <v>0</v>
      </c>
      <c r="G716" s="130">
        <v>0</v>
      </c>
      <c r="H716" s="130">
        <v>0</v>
      </c>
      <c r="I716" s="130">
        <v>0</v>
      </c>
      <c r="J716" s="130">
        <v>0</v>
      </c>
      <c r="K716" s="130">
        <v>0</v>
      </c>
      <c r="L716" s="130">
        <v>0</v>
      </c>
      <c r="M716" s="130">
        <v>0</v>
      </c>
      <c r="N716" s="130">
        <v>0</v>
      </c>
      <c r="O7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17" spans="1:15" ht="15" customHeight="1" x14ac:dyDescent="0.25">
      <c r="A717" s="15">
        <v>33070663727</v>
      </c>
      <c r="B717" s="16" t="str">
        <f>VLOOKUP(Projeção[[#This Row],[Código]],BD_Produto[#All],6,FALSE)</f>
        <v>OLFA, ESTOJO DE LÂMINAS LB-10B - KIT COM 10</v>
      </c>
      <c r="C717" s="130">
        <v>6964.9</v>
      </c>
      <c r="D717" s="130">
        <v>4444.0333333333328</v>
      </c>
      <c r="E717" s="130">
        <v>5535.9</v>
      </c>
      <c r="F717" s="130">
        <v>3263.7666666666669</v>
      </c>
      <c r="G717" s="130">
        <v>2876.5666666666671</v>
      </c>
      <c r="H717" s="130">
        <v>3025.5</v>
      </c>
      <c r="I717" s="130">
        <v>2997.1666666666665</v>
      </c>
      <c r="J717" s="130">
        <v>4478.4333333333334</v>
      </c>
      <c r="K717" s="130">
        <v>3025.5</v>
      </c>
      <c r="L717" s="130">
        <v>6815.7999999999993</v>
      </c>
      <c r="M717" s="130">
        <v>9103.8666666666668</v>
      </c>
      <c r="N717" s="130">
        <v>7776.9333333333325</v>
      </c>
      <c r="O7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3462.4666666666662</v>
      </c>
    </row>
    <row r="718" spans="1:15" ht="15" customHeight="1" x14ac:dyDescent="0.2">
      <c r="A718" s="15">
        <v>33070665222</v>
      </c>
      <c r="B718" s="129" t="str">
        <f>VLOOKUP(Projeção[[#This Row],[Código]],BD_Produto[#All],6,FALSE)</f>
        <v>OLFA, ESTOJO DE LÂMINAS LB-50 - KIT COM 50</v>
      </c>
      <c r="C718" s="140"/>
      <c r="D718" s="140"/>
      <c r="E718" s="140"/>
      <c r="F718" s="140"/>
      <c r="G718" s="140"/>
      <c r="H718" s="140"/>
      <c r="I718" s="140"/>
      <c r="J718" s="140"/>
      <c r="K718" s="140"/>
      <c r="L718" s="140">
        <v>0</v>
      </c>
      <c r="M718" s="140">
        <v>0</v>
      </c>
      <c r="N718" s="140">
        <v>0</v>
      </c>
      <c r="O718" s="140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1180.4333333333332</v>
      </c>
    </row>
    <row r="719" spans="1:15" ht="15" customHeight="1" x14ac:dyDescent="0.25">
      <c r="A719" s="15">
        <v>33070614998</v>
      </c>
      <c r="B719" s="16" t="str">
        <f>VLOOKUP(Projeção[[#This Row],[Código]],BD_Produto[#All],6,FALSE)</f>
        <v>OLFA, ESTOJO DE LÂMINAS LBB-10 - KIT COM 10</v>
      </c>
      <c r="C719" s="130">
        <v>0</v>
      </c>
      <c r="D719" s="130">
        <v>0</v>
      </c>
      <c r="E719" s="130">
        <v>0</v>
      </c>
      <c r="F719" s="130">
        <v>0</v>
      </c>
      <c r="G719" s="130">
        <v>0</v>
      </c>
      <c r="H719" s="130">
        <v>0</v>
      </c>
      <c r="I719" s="130">
        <v>0</v>
      </c>
      <c r="J719" s="130">
        <v>0</v>
      </c>
      <c r="K719" s="130">
        <v>0</v>
      </c>
      <c r="L719" s="130">
        <v>0</v>
      </c>
      <c r="M719" s="130">
        <v>0</v>
      </c>
      <c r="N719" s="130">
        <v>0</v>
      </c>
      <c r="O7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20" spans="1:15" ht="15" customHeight="1" x14ac:dyDescent="0.25">
      <c r="A720" s="15">
        <v>33070663728</v>
      </c>
      <c r="B720" s="16" t="str">
        <f>VLOOKUP(Projeção[[#This Row],[Código]],BD_Produto[#All],6,FALSE)</f>
        <v>OLFA, ESTOJO DE LÂMINAS LBB-10B - KIT COM 10</v>
      </c>
      <c r="C720" s="130">
        <v>205.86666666666667</v>
      </c>
      <c r="D720" s="130">
        <v>220.16666666666663</v>
      </c>
      <c r="E720" s="130">
        <v>140.36666666666667</v>
      </c>
      <c r="F720" s="130">
        <v>169.9</v>
      </c>
      <c r="G720" s="130">
        <v>229.2</v>
      </c>
      <c r="H720" s="130">
        <v>168.66666666666666</v>
      </c>
      <c r="I720" s="130">
        <v>168.46666666666667</v>
      </c>
      <c r="J720" s="130">
        <v>156.06666666666663</v>
      </c>
      <c r="K720" s="130">
        <v>168.66666666666666</v>
      </c>
      <c r="L720" s="130">
        <v>98.133333333333326</v>
      </c>
      <c r="M720" s="130">
        <v>183.8666666666667</v>
      </c>
      <c r="N720" s="130">
        <v>184.3</v>
      </c>
      <c r="O7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213.46666666666667</v>
      </c>
    </row>
    <row r="721" spans="1:15" ht="15" customHeight="1" x14ac:dyDescent="0.25">
      <c r="A721" s="15">
        <v>33070663719</v>
      </c>
      <c r="B721" s="16" t="str">
        <f>VLOOKUP(Projeção[[#This Row],[Código]],BD_Produto[#All],6,FALSE)</f>
        <v>OLFA, ESTOJO DE LÂMINAS LBD-10</v>
      </c>
      <c r="C721" s="130">
        <v>35.566666666666663</v>
      </c>
      <c r="D721" s="130">
        <v>47.566666666666663</v>
      </c>
      <c r="E721" s="130">
        <v>17.299999999999997</v>
      </c>
      <c r="F721" s="130">
        <v>24.633333333333329</v>
      </c>
      <c r="G721" s="130">
        <v>48.633333333333333</v>
      </c>
      <c r="H721" s="130">
        <v>23.133333333333333</v>
      </c>
      <c r="I721" s="130">
        <v>22.333333333333332</v>
      </c>
      <c r="J721" s="130">
        <v>22.266666666666669</v>
      </c>
      <c r="K721" s="130">
        <v>23.133333333333333</v>
      </c>
      <c r="L721" s="130">
        <v>16.233333333333334</v>
      </c>
      <c r="M721" s="130">
        <v>29.7</v>
      </c>
      <c r="N721" s="130">
        <v>36.533333333333331</v>
      </c>
      <c r="O7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52.433333333333337</v>
      </c>
    </row>
    <row r="722" spans="1:15" ht="15" customHeight="1" x14ac:dyDescent="0.25">
      <c r="A722" s="15">
        <v>33070614753</v>
      </c>
      <c r="B722" s="16" t="str">
        <f>VLOOKUP(Projeção[[#This Row],[Código]],BD_Produto[#All],6,FALSE)</f>
        <v>OLFA, ESTOJO DE LÂMINAS MCB-1 - KIT COM 5</v>
      </c>
      <c r="C722" s="130">
        <v>0.46666666666666667</v>
      </c>
      <c r="D722" s="130">
        <v>0.46666666666666667</v>
      </c>
      <c r="E722" s="130">
        <v>0.46666666666666667</v>
      </c>
      <c r="F722" s="130">
        <v>0.39999999999999997</v>
      </c>
      <c r="G722" s="130">
        <v>0.19999999999999998</v>
      </c>
      <c r="H722" s="130">
        <v>0.19999999999999998</v>
      </c>
      <c r="I722" s="130">
        <v>0.19999999999999998</v>
      </c>
      <c r="J722" s="130">
        <v>0</v>
      </c>
      <c r="K722" s="130">
        <v>0.19999999999999998</v>
      </c>
      <c r="L722" s="130">
        <v>0</v>
      </c>
      <c r="M722" s="130">
        <v>0</v>
      </c>
      <c r="N722" s="130">
        <v>0</v>
      </c>
      <c r="O7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1.5999999999999999</v>
      </c>
    </row>
    <row r="723" spans="1:15" ht="15" customHeight="1" x14ac:dyDescent="0.25">
      <c r="A723" s="15">
        <v>33070661636</v>
      </c>
      <c r="B723" s="16" t="str">
        <f>VLOOKUP(Projeção[[#This Row],[Código]],BD_Produto[#All],6,FALSE)</f>
        <v>OLFA, ESTOJO DE LÂMINAS MTB-10B - KIT COM 10</v>
      </c>
      <c r="C723" s="130">
        <v>40.033333333333339</v>
      </c>
      <c r="D723" s="130">
        <v>39.799999999999997</v>
      </c>
      <c r="E723" s="130">
        <v>21.733333333333331</v>
      </c>
      <c r="F723" s="130">
        <v>16.8</v>
      </c>
      <c r="G723" s="130">
        <v>78.266666666666666</v>
      </c>
      <c r="H723" s="130">
        <v>28.633333333333336</v>
      </c>
      <c r="I723" s="130">
        <v>28.633333333333336</v>
      </c>
      <c r="J723" s="130">
        <v>28.833333333333336</v>
      </c>
      <c r="K723" s="130">
        <v>28.633333333333336</v>
      </c>
      <c r="L723" s="130">
        <v>27.86666666666666</v>
      </c>
      <c r="M723" s="130">
        <v>51.7</v>
      </c>
      <c r="N723" s="130">
        <v>47.033333333333339</v>
      </c>
      <c r="O7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66.5</v>
      </c>
    </row>
    <row r="724" spans="1:15" ht="15" customHeight="1" x14ac:dyDescent="0.25">
      <c r="A724" s="15">
        <v>33070614749</v>
      </c>
      <c r="B724" s="16" t="str">
        <f>VLOOKUP(Projeção[[#This Row],[Código]],BD_Produto[#All],6,FALSE)</f>
        <v>OLFA, ESTOJO DE LÂMINAS PB-450 - KIT COM 5</v>
      </c>
      <c r="C724" s="130">
        <v>9.2999999999999989</v>
      </c>
      <c r="D724" s="130">
        <v>8.7999999999999989</v>
      </c>
      <c r="E724" s="130">
        <v>6</v>
      </c>
      <c r="F724" s="130">
        <v>3.3</v>
      </c>
      <c r="G724" s="130">
        <v>2.5</v>
      </c>
      <c r="H724" s="130">
        <v>6.3</v>
      </c>
      <c r="I724" s="130">
        <v>6.1</v>
      </c>
      <c r="J724" s="130">
        <v>6.1</v>
      </c>
      <c r="K724" s="130">
        <v>6.1333333333333329</v>
      </c>
      <c r="L724" s="130">
        <v>3.9333333333333327</v>
      </c>
      <c r="M724" s="130">
        <v>6.3999999999999995</v>
      </c>
      <c r="N724" s="130">
        <v>12.4</v>
      </c>
      <c r="O7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5.1999999999999993</v>
      </c>
    </row>
    <row r="725" spans="1:15" ht="15" customHeight="1" x14ac:dyDescent="0.25">
      <c r="A725" s="15">
        <v>33070614752</v>
      </c>
      <c r="B725" s="16" t="str">
        <f>VLOOKUP(Projeção[[#This Row],[Código]],BD_Produto[#All],6,FALSE)</f>
        <v>OLFA, ESTOJO DE LÂMINAS PB-800 - KIT COM 3</v>
      </c>
      <c r="C725" s="130">
        <v>30.86666666666666</v>
      </c>
      <c r="D725" s="130">
        <v>15.43333333333333</v>
      </c>
      <c r="E725" s="130">
        <v>14.366666666666665</v>
      </c>
      <c r="F725" s="130">
        <v>10.933333333333335</v>
      </c>
      <c r="G725" s="130">
        <v>64.2</v>
      </c>
      <c r="H725" s="130">
        <v>22.2</v>
      </c>
      <c r="I725" s="130">
        <v>21.999999999999996</v>
      </c>
      <c r="J725" s="130">
        <v>28.799999999999997</v>
      </c>
      <c r="K725" s="130">
        <v>22.2</v>
      </c>
      <c r="L725" s="130">
        <v>19.766666666666669</v>
      </c>
      <c r="M725" s="130">
        <v>26.533333333333335</v>
      </c>
      <c r="N725" s="130">
        <v>23.133333333333329</v>
      </c>
      <c r="O7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40.999999999999993</v>
      </c>
    </row>
    <row r="726" spans="1:15" ht="15" customHeight="1" x14ac:dyDescent="0.25">
      <c r="A726" s="15">
        <v>33070614913</v>
      </c>
      <c r="B726" s="16" t="str">
        <f>VLOOKUP(Projeção[[#This Row],[Código]],BD_Produto[#All],6,FALSE)</f>
        <v>OLFA, ESTOJO DE LÂMINAS PRB18-2 - AÇO INOX - KIT COM 2</v>
      </c>
      <c r="C726" s="130">
        <v>12.333333333333334</v>
      </c>
      <c r="D726" s="130">
        <v>15.533333333333333</v>
      </c>
      <c r="E726" s="130">
        <v>11.4</v>
      </c>
      <c r="F726" s="130">
        <v>7.8</v>
      </c>
      <c r="G726" s="130">
        <v>5.8666666666666663</v>
      </c>
      <c r="H726" s="130">
        <v>5.6000000000000005</v>
      </c>
      <c r="I726" s="130">
        <v>4.8999999999999995</v>
      </c>
      <c r="J726" s="130">
        <v>7.1000000000000005</v>
      </c>
      <c r="K726" s="130">
        <v>5.6000000000000005</v>
      </c>
      <c r="L726" s="130">
        <v>11.533333333333335</v>
      </c>
      <c r="M726" s="130">
        <v>15.333333333333334</v>
      </c>
      <c r="N726" s="130">
        <v>13.733333333333333</v>
      </c>
      <c r="O7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9.6666666666666661</v>
      </c>
    </row>
    <row r="727" spans="1:15" ht="15" customHeight="1" x14ac:dyDescent="0.25">
      <c r="A727" s="15">
        <v>33070614755</v>
      </c>
      <c r="B727" s="16" t="str">
        <f>VLOOKUP(Projeção[[#This Row],[Código]],BD_Produto[#All],6,FALSE)</f>
        <v>OLFA, ESTOJO DE LÂMINAS PRB28-2 - KIT COM 2</v>
      </c>
      <c r="C727" s="130">
        <v>0</v>
      </c>
      <c r="D727" s="130">
        <v>0</v>
      </c>
      <c r="E727" s="130">
        <v>0</v>
      </c>
      <c r="F727" s="130">
        <v>0</v>
      </c>
      <c r="G727" s="130">
        <v>0</v>
      </c>
      <c r="H727" s="130">
        <v>0</v>
      </c>
      <c r="I727" s="130">
        <v>0</v>
      </c>
      <c r="J727" s="130">
        <v>0</v>
      </c>
      <c r="K727" s="130">
        <v>0</v>
      </c>
      <c r="L727" s="130">
        <v>0</v>
      </c>
      <c r="M727" s="130">
        <v>0</v>
      </c>
      <c r="N727" s="130">
        <v>0</v>
      </c>
      <c r="O7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28" spans="1:15" ht="15" customHeight="1" x14ac:dyDescent="0.25">
      <c r="A728" s="15">
        <v>33070614895</v>
      </c>
      <c r="B728" s="16" t="str">
        <f>VLOOKUP(Projeção[[#This Row],[Código]],BD_Produto[#All],6,FALSE)</f>
        <v>OLFA, ESTOJO DE LÂMINAS RB18-2 - AÇO INOX - KIT COM 2</v>
      </c>
      <c r="C728" s="130">
        <v>50.199999999999996</v>
      </c>
      <c r="D728" s="130">
        <v>32.866666666666667</v>
      </c>
      <c r="E728" s="130">
        <v>23.466666666666665</v>
      </c>
      <c r="F728" s="130">
        <v>13.633333333333331</v>
      </c>
      <c r="G728" s="130">
        <v>10.933333333333332</v>
      </c>
      <c r="H728" s="130">
        <v>12.166666666666666</v>
      </c>
      <c r="I728" s="130">
        <v>11.366666666666667</v>
      </c>
      <c r="J728" s="130">
        <v>14.066666666666668</v>
      </c>
      <c r="K728" s="130">
        <v>12</v>
      </c>
      <c r="L728" s="130">
        <v>18.466666666666669</v>
      </c>
      <c r="M728" s="130">
        <v>31.533333333333328</v>
      </c>
      <c r="N728" s="130">
        <v>27</v>
      </c>
      <c r="O7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31.066666666666663</v>
      </c>
    </row>
    <row r="729" spans="1:15" ht="15" customHeight="1" x14ac:dyDescent="0.25">
      <c r="A729" s="15">
        <v>33070614756</v>
      </c>
      <c r="B729" s="16" t="str">
        <f>VLOOKUP(Projeção[[#This Row],[Código]],BD_Produto[#All],6,FALSE)</f>
        <v>OLFA, ESTOJO DE LÂMINAS RB28-2 - KIT COM 2</v>
      </c>
      <c r="C729" s="130">
        <v>137.43333333333331</v>
      </c>
      <c r="D729" s="130">
        <v>350.93333333333334</v>
      </c>
      <c r="E729" s="130">
        <v>300.4666666666667</v>
      </c>
      <c r="F729" s="130">
        <v>194.63333333333335</v>
      </c>
      <c r="G729" s="130">
        <v>141.36666666666665</v>
      </c>
      <c r="H729" s="130">
        <v>89.600000000000009</v>
      </c>
      <c r="I729" s="130">
        <v>88.6</v>
      </c>
      <c r="J729" s="130">
        <v>147.43333333333331</v>
      </c>
      <c r="K729" s="130">
        <v>89.600000000000009</v>
      </c>
      <c r="L729" s="130">
        <v>204.4</v>
      </c>
      <c r="M729" s="130">
        <v>270.10000000000002</v>
      </c>
      <c r="N729" s="130">
        <v>270.39999999999998</v>
      </c>
      <c r="O7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160.03333333333333</v>
      </c>
    </row>
    <row r="730" spans="1:15" ht="15" customHeight="1" x14ac:dyDescent="0.25">
      <c r="A730" s="15">
        <v>33070614750</v>
      </c>
      <c r="B730" s="16" t="str">
        <f>VLOOKUP(Projeção[[#This Row],[Código]],BD_Produto[#All],6,FALSE)</f>
        <v>OLFA, ESTOJO DE LÂMINAS RB45-1</v>
      </c>
      <c r="C730" s="130">
        <v>267.76666666666671</v>
      </c>
      <c r="D730" s="130">
        <v>198.63333333333335</v>
      </c>
      <c r="E730" s="130">
        <v>141.16666666666669</v>
      </c>
      <c r="F730" s="130">
        <v>121.6</v>
      </c>
      <c r="G730" s="130">
        <v>210.49999999999997</v>
      </c>
      <c r="H730" s="130">
        <v>172.83333333333331</v>
      </c>
      <c r="I730" s="130">
        <v>168.29999999999998</v>
      </c>
      <c r="J730" s="130">
        <v>190.23333333333332</v>
      </c>
      <c r="K730" s="130">
        <v>172.83333333333331</v>
      </c>
      <c r="L730" s="130">
        <v>160.93333333333334</v>
      </c>
      <c r="M730" s="130">
        <v>293.66666666666669</v>
      </c>
      <c r="N730" s="130">
        <v>288.89999999999998</v>
      </c>
      <c r="O7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154.43333333333331</v>
      </c>
    </row>
    <row r="731" spans="1:15" ht="15" customHeight="1" x14ac:dyDescent="0.25">
      <c r="A731" s="15">
        <v>33070614909</v>
      </c>
      <c r="B731" s="16" t="str">
        <f>VLOOKUP(Projeção[[#This Row],[Código]],BD_Produto[#All],6,FALSE)</f>
        <v>OLFA, ESTOJO DE LÂMINAS RB45-10 - KIT COM 10</v>
      </c>
      <c r="C731" s="130">
        <v>22.733333333333331</v>
      </c>
      <c r="D731" s="130">
        <v>15.766666666666664</v>
      </c>
      <c r="E731" s="130">
        <v>19.899999999999999</v>
      </c>
      <c r="F731" s="130">
        <v>13.366666666666669</v>
      </c>
      <c r="G731" s="130">
        <v>21.5</v>
      </c>
      <c r="H731" s="130">
        <v>12.733333333333333</v>
      </c>
      <c r="I731" s="130">
        <v>9.3333333333333321</v>
      </c>
      <c r="J731" s="130">
        <v>15.466666666666669</v>
      </c>
      <c r="K731" s="130">
        <v>12.733333333333333</v>
      </c>
      <c r="L731" s="130">
        <v>14.5</v>
      </c>
      <c r="M731" s="130">
        <v>27.833333333333332</v>
      </c>
      <c r="N731" s="130">
        <v>25.299999999999997</v>
      </c>
      <c r="O7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21.633333333333329</v>
      </c>
    </row>
    <row r="732" spans="1:15" ht="15" customHeight="1" x14ac:dyDescent="0.25">
      <c r="A732" s="15">
        <v>33070654135</v>
      </c>
      <c r="B732" s="16" t="str">
        <f>VLOOKUP(Projeção[[#This Row],[Código]],BD_Produto[#All],6,FALSE)</f>
        <v>OLFA, ESTOJO DE LÂMINAS RSKB-2 - KIT COM 5</v>
      </c>
      <c r="C732" s="130">
        <v>64.066666666666663</v>
      </c>
      <c r="D732" s="130">
        <v>18.866666666666667</v>
      </c>
      <c r="E732" s="130">
        <v>18.866666666666667</v>
      </c>
      <c r="F732" s="130">
        <v>20.933333333333334</v>
      </c>
      <c r="G732" s="130">
        <v>8.7333333333333343</v>
      </c>
      <c r="H732" s="130">
        <v>12.733333333333334</v>
      </c>
      <c r="I732" s="130">
        <v>12.733333333333334</v>
      </c>
      <c r="J732" s="130">
        <v>17.233333333333331</v>
      </c>
      <c r="K732" s="130">
        <v>12.733333333333334</v>
      </c>
      <c r="L732" s="130">
        <v>14.033333333333331</v>
      </c>
      <c r="M732" s="130">
        <v>12.233333333333333</v>
      </c>
      <c r="N732" s="130">
        <v>21.833333333333332</v>
      </c>
      <c r="O7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16.933333333333334</v>
      </c>
    </row>
    <row r="733" spans="1:15" ht="15" customHeight="1" x14ac:dyDescent="0.25">
      <c r="A733" s="15">
        <v>33070663721</v>
      </c>
      <c r="B733" s="16" t="str">
        <f>VLOOKUP(Projeção[[#This Row],[Código]],BD_Produto[#All],6,FALSE)</f>
        <v>OLFA, ESTOJO DE LÂMINAS SAB-10B</v>
      </c>
      <c r="C733" s="130">
        <v>12.733333333333334</v>
      </c>
      <c r="D733" s="130">
        <v>16.533333333333335</v>
      </c>
      <c r="E733" s="130">
        <v>7.7333333333333343</v>
      </c>
      <c r="F733" s="130">
        <v>61</v>
      </c>
      <c r="G733" s="130">
        <v>20.799999999999997</v>
      </c>
      <c r="H733" s="130">
        <v>22.400000000000002</v>
      </c>
      <c r="I733" s="130">
        <v>22.2</v>
      </c>
      <c r="J733" s="130">
        <v>9.6</v>
      </c>
      <c r="K733" s="130">
        <v>22.400000000000002</v>
      </c>
      <c r="L733" s="130">
        <v>18.733333333333334</v>
      </c>
      <c r="M733" s="130">
        <v>36.799999999999997</v>
      </c>
      <c r="N733" s="130">
        <v>39.133333333333326</v>
      </c>
      <c r="O7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44.766666666666666</v>
      </c>
    </row>
    <row r="734" spans="1:15" ht="15" customHeight="1" x14ac:dyDescent="0.25">
      <c r="A734" s="15">
        <v>33070663219</v>
      </c>
      <c r="B734" s="16" t="str">
        <f>VLOOKUP(Projeção[[#This Row],[Código]],BD_Produto[#All],6,FALSE)</f>
        <v>OLFA, ESTOJO DE LÂMINAS SKB-10/10B - KIT COM 10</v>
      </c>
      <c r="C734" s="130">
        <v>7.3666666666666654</v>
      </c>
      <c r="D734" s="130">
        <v>4.2</v>
      </c>
      <c r="E734" s="130">
        <v>3.3333333333333326</v>
      </c>
      <c r="F734" s="130">
        <v>3.6666666666666661</v>
      </c>
      <c r="G734" s="130">
        <v>2.8666666666666667</v>
      </c>
      <c r="H734" s="130">
        <v>2.5333333333333332</v>
      </c>
      <c r="I734" s="130">
        <v>2.5333333333333332</v>
      </c>
      <c r="J734" s="130">
        <v>3.1</v>
      </c>
      <c r="K734" s="130">
        <v>2.5333333333333332</v>
      </c>
      <c r="L734" s="130">
        <v>14.200000000000001</v>
      </c>
      <c r="M734" s="130">
        <v>42.533333333333339</v>
      </c>
      <c r="N734" s="130">
        <v>42.366666666666667</v>
      </c>
      <c r="O7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11.266666666666664</v>
      </c>
    </row>
    <row r="735" spans="1:15" ht="15" customHeight="1" x14ac:dyDescent="0.25">
      <c r="A735" s="15">
        <v>33070614776</v>
      </c>
      <c r="B735" s="16" t="str">
        <f>VLOOKUP(Projeção[[#This Row],[Código]],BD_Produto[#All],6,FALSE)</f>
        <v>OLFA, ESTOJO DE LÂMINAS SKB-2/5B - KIT COM 5</v>
      </c>
      <c r="C735" s="130">
        <v>185.06666666666663</v>
      </c>
      <c r="D735" s="130">
        <v>156.33333333333331</v>
      </c>
      <c r="E735" s="130">
        <v>102.73333333333332</v>
      </c>
      <c r="F735" s="130">
        <v>137.76666666666665</v>
      </c>
      <c r="G735" s="130">
        <v>150.06666666666666</v>
      </c>
      <c r="H735" s="130">
        <v>104.13333333333333</v>
      </c>
      <c r="I735" s="130">
        <v>103.33333333333331</v>
      </c>
      <c r="J735" s="130">
        <v>102.99999999999999</v>
      </c>
      <c r="K735" s="130">
        <v>104.13333333333333</v>
      </c>
      <c r="L735" s="130">
        <v>86.499999999999986</v>
      </c>
      <c r="M735" s="130">
        <v>137.93333333333334</v>
      </c>
      <c r="N735" s="130">
        <v>144.53333333333333</v>
      </c>
      <c r="O7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148.86666666666667</v>
      </c>
    </row>
    <row r="736" spans="1:15" ht="15" customHeight="1" x14ac:dyDescent="0.25">
      <c r="A736" s="15">
        <v>33070660354</v>
      </c>
      <c r="B736" s="16" t="str">
        <f>VLOOKUP(Projeção[[#This Row],[Código]],BD_Produto[#All],6,FALSE)</f>
        <v>OLFA, ESTOJO DE LÂMINAS SKB-7/10B - KIT COM 10</v>
      </c>
      <c r="C736" s="130">
        <v>6.2</v>
      </c>
      <c r="D736" s="130">
        <v>9.6</v>
      </c>
      <c r="E736" s="130">
        <v>5.3999999999999995</v>
      </c>
      <c r="F736" s="130">
        <v>5.3999999999999995</v>
      </c>
      <c r="G736" s="130">
        <v>3.4</v>
      </c>
      <c r="H736" s="130">
        <v>3.4</v>
      </c>
      <c r="I736" s="130">
        <v>3.4</v>
      </c>
      <c r="J736" s="130">
        <v>3.4</v>
      </c>
      <c r="K736" s="130">
        <v>3.4</v>
      </c>
      <c r="L736" s="130">
        <v>6.6</v>
      </c>
      <c r="M736" s="130">
        <v>8.6</v>
      </c>
      <c r="N736" s="130">
        <v>8.6</v>
      </c>
      <c r="O7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18.566666666666666</v>
      </c>
    </row>
    <row r="737" spans="1:15" ht="15" customHeight="1" x14ac:dyDescent="0.25">
      <c r="A737" s="15">
        <v>33070662972</v>
      </c>
      <c r="B737" s="16" t="str">
        <f>VLOOKUP(Projeção[[#This Row],[Código]],BD_Produto[#All],6,FALSE)</f>
        <v>OLFA, ESTOJO DE LÂMINAS SKB-8/10B - KIT COM 10</v>
      </c>
      <c r="C737" s="130">
        <v>0</v>
      </c>
      <c r="D737" s="130">
        <v>0</v>
      </c>
      <c r="E737" s="130">
        <v>0</v>
      </c>
      <c r="F737" s="130">
        <v>0</v>
      </c>
      <c r="G737" s="130">
        <v>0</v>
      </c>
      <c r="H737" s="130">
        <v>0</v>
      </c>
      <c r="I737" s="130">
        <v>0</v>
      </c>
      <c r="J737" s="130">
        <v>0</v>
      </c>
      <c r="K737" s="130">
        <v>0</v>
      </c>
      <c r="L737" s="130">
        <v>0.33333333333333326</v>
      </c>
      <c r="M737" s="130">
        <v>0.46666666666666667</v>
      </c>
      <c r="N737" s="130">
        <v>0.46666666666666667</v>
      </c>
      <c r="O7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11.166666666666666</v>
      </c>
    </row>
    <row r="738" spans="1:15" ht="15" customHeight="1" x14ac:dyDescent="0.25">
      <c r="A738" s="15">
        <v>33070614754</v>
      </c>
      <c r="B738" s="16" t="str">
        <f>VLOOKUP(Projeção[[#This Row],[Código]],BD_Produto[#All],6,FALSE)</f>
        <v>OLFA, ESTOJO DE LÂMINAS WAB28-2 - KIT COM 2</v>
      </c>
      <c r="C738" s="130">
        <v>0</v>
      </c>
      <c r="D738" s="130">
        <v>0</v>
      </c>
      <c r="E738" s="130">
        <v>0</v>
      </c>
      <c r="F738" s="130">
        <v>0</v>
      </c>
      <c r="G738" s="130">
        <v>0</v>
      </c>
      <c r="H738" s="130">
        <v>0</v>
      </c>
      <c r="I738" s="130">
        <v>0</v>
      </c>
      <c r="J738" s="130">
        <v>0</v>
      </c>
      <c r="K738" s="130">
        <v>0</v>
      </c>
      <c r="L738" s="130">
        <v>0</v>
      </c>
      <c r="M738" s="130">
        <v>0</v>
      </c>
      <c r="N738" s="130">
        <v>0</v>
      </c>
      <c r="O7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39" spans="1:15" ht="15" customHeight="1" x14ac:dyDescent="0.25">
      <c r="A739" s="15">
        <v>33070664312</v>
      </c>
      <c r="B739" s="16" t="str">
        <f>VLOOKUP(Projeção[[#This Row],[Código]],BD_Produto[#All],6,FALSE)</f>
        <v>OLFA, ESTOJO PARA DESCARTE DE LAMINAS DC-5</v>
      </c>
      <c r="C739" s="130">
        <v>0.53333333333333333</v>
      </c>
      <c r="D739" s="130">
        <v>0.53333333333333333</v>
      </c>
      <c r="E739" s="130">
        <v>0.33333333333333331</v>
      </c>
      <c r="F739" s="130">
        <v>3.5333333333333337</v>
      </c>
      <c r="G739" s="130">
        <v>1.0999999999999999</v>
      </c>
      <c r="H739" s="130">
        <v>1</v>
      </c>
      <c r="I739" s="130">
        <v>1</v>
      </c>
      <c r="J739" s="130">
        <v>0.19999999999999998</v>
      </c>
      <c r="K739" s="130">
        <v>1</v>
      </c>
      <c r="L739" s="130">
        <v>0.19999999999999998</v>
      </c>
      <c r="M739" s="130">
        <v>0.19999999999999998</v>
      </c>
      <c r="N739" s="130">
        <v>0.19999999999999998</v>
      </c>
      <c r="O7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8.0666666666666664</v>
      </c>
    </row>
    <row r="740" spans="1:15" ht="15" customHeight="1" x14ac:dyDescent="0.25">
      <c r="A740" s="15">
        <v>33070664016</v>
      </c>
      <c r="B740" s="16" t="str">
        <f>VLOOKUP(Projeção[[#This Row],[Código]],BD_Produto[#All],6,FALSE)</f>
        <v>OLFA, ESTOJO PARA DESCARTE DE LAMINAS DC-6</v>
      </c>
      <c r="C740" s="130">
        <v>0.6</v>
      </c>
      <c r="D740" s="130">
        <v>0.19999999999999998</v>
      </c>
      <c r="E740" s="130">
        <v>0</v>
      </c>
      <c r="F740" s="130">
        <v>0</v>
      </c>
      <c r="G740" s="130">
        <v>0</v>
      </c>
      <c r="H740" s="130">
        <v>0</v>
      </c>
      <c r="I740" s="130">
        <v>0</v>
      </c>
      <c r="J740" s="130">
        <v>0</v>
      </c>
      <c r="K740" s="130">
        <v>0</v>
      </c>
      <c r="L740" s="130">
        <v>0</v>
      </c>
      <c r="M740" s="130">
        <v>0</v>
      </c>
      <c r="N740" s="130">
        <v>0</v>
      </c>
      <c r="O7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0.79999999999999993</v>
      </c>
    </row>
    <row r="741" spans="1:15" ht="15" customHeight="1" x14ac:dyDescent="0.25">
      <c r="A741" s="15">
        <v>33070614730</v>
      </c>
      <c r="B741" s="16" t="str">
        <f>VLOOKUP(Projeção[[#This Row],[Código]],BD_Produto[#All],6,FALSE)</f>
        <v>OLFA, FACA CK-1</v>
      </c>
      <c r="C741" s="130">
        <v>13.066666666666668</v>
      </c>
      <c r="D741" s="130">
        <v>12.866666666666667</v>
      </c>
      <c r="E741" s="130">
        <v>33.266666666666666</v>
      </c>
      <c r="F741" s="130">
        <v>14.166666666666668</v>
      </c>
      <c r="G741" s="130">
        <v>12.366666666666665</v>
      </c>
      <c r="H741" s="130">
        <v>10.366666666666665</v>
      </c>
      <c r="I741" s="130">
        <v>10.366666666666665</v>
      </c>
      <c r="J741" s="130">
        <v>9.3666666666666654</v>
      </c>
      <c r="K741" s="130">
        <v>10.366666666666665</v>
      </c>
      <c r="L741" s="130">
        <v>4.6333333333333329</v>
      </c>
      <c r="M741" s="130">
        <v>15.566666666666665</v>
      </c>
      <c r="N741" s="130">
        <v>15.566666666666665</v>
      </c>
      <c r="O7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14.333333333333334</v>
      </c>
    </row>
    <row r="742" spans="1:15" ht="15" customHeight="1" x14ac:dyDescent="0.25">
      <c r="A742" s="15">
        <v>33070614735</v>
      </c>
      <c r="B742" s="16" t="str">
        <f>VLOOKUP(Projeção[[#This Row],[Código]],BD_Produto[#All],6,FALSE)</f>
        <v>OLFA, FACA WK-1</v>
      </c>
      <c r="C742" s="130">
        <v>9.9999999999999992E-2</v>
      </c>
      <c r="D742" s="130">
        <v>0</v>
      </c>
      <c r="E742" s="130">
        <v>0</v>
      </c>
      <c r="F742" s="130">
        <v>0</v>
      </c>
      <c r="G742" s="130">
        <v>0</v>
      </c>
      <c r="H742" s="130">
        <v>0</v>
      </c>
      <c r="I742" s="130">
        <v>0</v>
      </c>
      <c r="J742" s="130">
        <v>0</v>
      </c>
      <c r="K742" s="130">
        <v>0</v>
      </c>
      <c r="L742" s="130">
        <v>0</v>
      </c>
      <c r="M742" s="130">
        <v>0</v>
      </c>
      <c r="N742" s="130">
        <v>0</v>
      </c>
      <c r="O7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2.8000000000000003</v>
      </c>
    </row>
    <row r="743" spans="1:15" ht="15" customHeight="1" x14ac:dyDescent="0.25">
      <c r="A743" s="15">
        <v>33070614736</v>
      </c>
      <c r="B743" s="16" t="str">
        <f>VLOOKUP(Projeção[[#This Row],[Código]],BD_Produto[#All],6,FALSE)</f>
        <v>OLFA, FACA WK-2</v>
      </c>
      <c r="C743" s="130">
        <v>0</v>
      </c>
      <c r="D743" s="130">
        <v>0</v>
      </c>
      <c r="E743" s="130">
        <v>0</v>
      </c>
      <c r="F743" s="130">
        <v>0</v>
      </c>
      <c r="G743" s="130">
        <v>0</v>
      </c>
      <c r="H743" s="130">
        <v>0</v>
      </c>
      <c r="I743" s="130">
        <v>0</v>
      </c>
      <c r="J743" s="130">
        <v>0</v>
      </c>
      <c r="K743" s="130">
        <v>0</v>
      </c>
      <c r="L743" s="130">
        <v>0</v>
      </c>
      <c r="M743" s="130">
        <v>0</v>
      </c>
      <c r="N743" s="130">
        <v>0</v>
      </c>
      <c r="O7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44" spans="1:15" ht="15" customHeight="1" x14ac:dyDescent="0.25">
      <c r="A744" s="15">
        <v>33070614826</v>
      </c>
      <c r="B744" s="16" t="str">
        <f>VLOOKUP(Projeção[[#This Row],[Código]],BD_Produto[#All],6,FALSE)</f>
        <v>OLFA, GUIA PARA CORTADOR MC-45</v>
      </c>
      <c r="C744" s="130">
        <v>0</v>
      </c>
      <c r="D744" s="130">
        <v>0</v>
      </c>
      <c r="E744" s="130">
        <v>0</v>
      </c>
      <c r="F744" s="130">
        <v>0</v>
      </c>
      <c r="G744" s="130">
        <v>0</v>
      </c>
      <c r="H744" s="130">
        <v>0</v>
      </c>
      <c r="I744" s="130">
        <v>0</v>
      </c>
      <c r="J744" s="130">
        <v>0</v>
      </c>
      <c r="K744" s="130">
        <v>0</v>
      </c>
      <c r="L744" s="130">
        <v>0</v>
      </c>
      <c r="M744" s="130">
        <v>0</v>
      </c>
      <c r="N744" s="130">
        <v>0</v>
      </c>
      <c r="O7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45" spans="1:15" ht="15" customHeight="1" x14ac:dyDescent="0.25">
      <c r="A745" s="15">
        <v>33070614828</v>
      </c>
      <c r="B745" s="16" t="str">
        <f>VLOOKUP(Projeção[[#This Row],[Código]],BD_Produto[#All],6,FALSE)</f>
        <v>OLFA, GUIA PARA CORTADOR ROTATIVO</v>
      </c>
      <c r="C745" s="130">
        <v>0.6</v>
      </c>
      <c r="D745" s="130">
        <v>0.6</v>
      </c>
      <c r="E745" s="130">
        <v>0.6</v>
      </c>
      <c r="F745" s="130">
        <v>0.6</v>
      </c>
      <c r="G745" s="130">
        <v>0.39999999999999997</v>
      </c>
      <c r="H745" s="130">
        <v>0.39999999999999997</v>
      </c>
      <c r="I745" s="130">
        <v>0.39999999999999997</v>
      </c>
      <c r="J745" s="130">
        <v>0.19999999999999998</v>
      </c>
      <c r="K745" s="130">
        <v>0.39999999999999997</v>
      </c>
      <c r="L745" s="130">
        <v>0.19999999999999998</v>
      </c>
      <c r="M745" s="130">
        <v>0</v>
      </c>
      <c r="N745" s="130">
        <v>0</v>
      </c>
      <c r="O7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746" spans="1:15" ht="15" customHeight="1" x14ac:dyDescent="0.25">
      <c r="A746" s="15">
        <v>33070654030</v>
      </c>
      <c r="B746" s="16" t="str">
        <f>VLOOKUP(Projeção[[#This Row],[Código]],BD_Produto[#All],6,FALSE)</f>
        <v>OLFA, KIT ESSENCIAL DE QUILT - BASE RM-IC-C + ESTILETE RTY-1G + REGUA QR 6X12</v>
      </c>
      <c r="C746" s="130">
        <v>0</v>
      </c>
      <c r="D746" s="130">
        <v>0</v>
      </c>
      <c r="E746" s="130">
        <v>0</v>
      </c>
      <c r="F746" s="130">
        <v>0</v>
      </c>
      <c r="G746" s="130">
        <v>0</v>
      </c>
      <c r="H746" s="130">
        <v>0</v>
      </c>
      <c r="I746" s="130">
        <v>0</v>
      </c>
      <c r="J746" s="130">
        <v>0.16666666666666663</v>
      </c>
      <c r="K746" s="130">
        <v>0</v>
      </c>
      <c r="L746" s="130">
        <v>0.16666666666666663</v>
      </c>
      <c r="M746" s="130">
        <v>9.9999999999999992E-2</v>
      </c>
      <c r="N746" s="130">
        <v>9.9999999999999992E-2</v>
      </c>
      <c r="O7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47" spans="1:15" ht="15" customHeight="1" x14ac:dyDescent="0.25">
      <c r="A747" s="15">
        <v>33070664014</v>
      </c>
      <c r="B747" s="16" t="str">
        <f>VLOOKUP(Projeção[[#This Row],[Código]],BD_Produto[#All],6,FALSE)</f>
        <v>OLFA, KIT PARA QUILT "ACQUA" COLOR</v>
      </c>
      <c r="C747" s="130">
        <v>16.433333333333334</v>
      </c>
      <c r="D747" s="130">
        <v>16.433333333333334</v>
      </c>
      <c r="E747" s="130">
        <v>16.266666666666666</v>
      </c>
      <c r="F747" s="130">
        <v>16.266666666666666</v>
      </c>
      <c r="G747" s="130">
        <v>14.666666666666664</v>
      </c>
      <c r="H747" s="130">
        <v>14.399999999999999</v>
      </c>
      <c r="I747" s="130">
        <v>13.733333333333333</v>
      </c>
      <c r="J747" s="130">
        <v>14.233333333333334</v>
      </c>
      <c r="K747" s="130">
        <v>14.399999999999999</v>
      </c>
      <c r="L747" s="130">
        <v>0.56666666666666665</v>
      </c>
      <c r="M747" s="130">
        <v>0</v>
      </c>
      <c r="N747" s="130">
        <v>0</v>
      </c>
      <c r="O7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48" spans="1:15" ht="15" customHeight="1" x14ac:dyDescent="0.25">
      <c r="A748" s="15">
        <v>33070664315</v>
      </c>
      <c r="B748" s="16" t="str">
        <f>VLOOKUP(Projeção[[#This Row],[Código]],BD_Produto[#All],6,FALSE)</f>
        <v>OLFA, LAMINA SWB-5/1B</v>
      </c>
      <c r="C748" s="130">
        <v>2.1999999999999997</v>
      </c>
      <c r="D748" s="130">
        <v>0.6</v>
      </c>
      <c r="E748" s="130">
        <v>0.6</v>
      </c>
      <c r="F748" s="130">
        <v>0.6</v>
      </c>
      <c r="G748" s="130">
        <v>4</v>
      </c>
      <c r="H748" s="130">
        <v>1.5999999999999999</v>
      </c>
      <c r="I748" s="130">
        <v>1.4000000000000001</v>
      </c>
      <c r="J748" s="130">
        <v>1.5999999999999999</v>
      </c>
      <c r="K748" s="130">
        <v>1.5999999999999999</v>
      </c>
      <c r="L748" s="130">
        <v>0.6</v>
      </c>
      <c r="M748" s="130">
        <v>1</v>
      </c>
      <c r="N748" s="130">
        <v>0.19999999999999998</v>
      </c>
      <c r="O7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2.5666666666666664</v>
      </c>
    </row>
    <row r="749" spans="1:15" ht="15" customHeight="1" x14ac:dyDescent="0.25">
      <c r="A749" s="15">
        <v>33070614927</v>
      </c>
      <c r="B749" s="16" t="str">
        <f>VLOOKUP(Projeção[[#This Row],[Código]],BD_Produto[#All],6,FALSE)</f>
        <v>OLFA, RÉGUA MQR-15X30CM</v>
      </c>
      <c r="C749" s="130">
        <v>16.233333333333334</v>
      </c>
      <c r="D749" s="130">
        <v>20.6</v>
      </c>
      <c r="E749" s="130">
        <v>9.7666666666666639</v>
      </c>
      <c r="F749" s="130">
        <v>8.7666666666666675</v>
      </c>
      <c r="G749" s="130">
        <v>5.4999999999999991</v>
      </c>
      <c r="H749" s="130">
        <v>5.2333333333333325</v>
      </c>
      <c r="I749" s="130">
        <v>5</v>
      </c>
      <c r="J749" s="130">
        <v>5.4333333333333327</v>
      </c>
      <c r="K749" s="130">
        <v>5.2333333333333325</v>
      </c>
      <c r="L749" s="130">
        <v>8.9</v>
      </c>
      <c r="M749" s="130">
        <v>11.733333333333333</v>
      </c>
      <c r="N749" s="130">
        <v>10.766666666666667</v>
      </c>
      <c r="O7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6.6333333333333329</v>
      </c>
    </row>
    <row r="750" spans="1:15" ht="15" customHeight="1" x14ac:dyDescent="0.25">
      <c r="A750" s="15">
        <v>33070614926</v>
      </c>
      <c r="B750" s="16" t="str">
        <f>VLOOKUP(Projeção[[#This Row],[Código]],BD_Produto[#All],6,FALSE)</f>
        <v>OLFA, RÉGUA MQR-15X60CM</v>
      </c>
      <c r="C750" s="130">
        <v>29.666666666666668</v>
      </c>
      <c r="D750" s="130">
        <v>23.633333333333329</v>
      </c>
      <c r="E750" s="130">
        <v>12.066666666666666</v>
      </c>
      <c r="F750" s="130">
        <v>11.833333333333334</v>
      </c>
      <c r="G750" s="130">
        <v>16.666666666666668</v>
      </c>
      <c r="H750" s="130">
        <v>12.733333333333334</v>
      </c>
      <c r="I750" s="130">
        <v>12.733333333333334</v>
      </c>
      <c r="J750" s="130">
        <v>15.066666666666668</v>
      </c>
      <c r="K750" s="130">
        <v>12.733333333333334</v>
      </c>
      <c r="L750" s="130">
        <v>12.866666666666667</v>
      </c>
      <c r="M750" s="130">
        <v>19.400000000000002</v>
      </c>
      <c r="N750" s="130">
        <v>17.633333333333333</v>
      </c>
      <c r="O7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15.6</v>
      </c>
    </row>
    <row r="751" spans="1:15" ht="15" customHeight="1" x14ac:dyDescent="0.25">
      <c r="A751" s="15">
        <v>33070614024</v>
      </c>
      <c r="B751" s="16" t="str">
        <f>VLOOKUP(Projeção[[#This Row],[Código]],BD_Produto[#All],6,FALSE)</f>
        <v>OLFA, RÉGUA MQR-30X30CM</v>
      </c>
      <c r="C751" s="130">
        <v>5.0333333333333323</v>
      </c>
      <c r="D751" s="130">
        <v>6.8333333333333321</v>
      </c>
      <c r="E751" s="130">
        <v>3.7</v>
      </c>
      <c r="F751" s="130">
        <v>3.5666666666666673</v>
      </c>
      <c r="G751" s="130">
        <v>4.166666666666667</v>
      </c>
      <c r="H751" s="130">
        <v>2.2666666666666666</v>
      </c>
      <c r="I751" s="130">
        <v>2.2666666666666666</v>
      </c>
      <c r="J751" s="130">
        <v>3.1666666666666665</v>
      </c>
      <c r="K751" s="130">
        <v>2.2666666666666666</v>
      </c>
      <c r="L751" s="130">
        <v>3.7333333333333325</v>
      </c>
      <c r="M751" s="130">
        <v>4.0666666666666664</v>
      </c>
      <c r="N751" s="130">
        <v>3.1</v>
      </c>
      <c r="O7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4.0333333333333332</v>
      </c>
    </row>
    <row r="752" spans="1:15" ht="15" customHeight="1" x14ac:dyDescent="0.25">
      <c r="A752" s="15">
        <v>33070614023</v>
      </c>
      <c r="B752" s="16" t="str">
        <f>VLOOKUP(Projeção[[#This Row],[Código]],BD_Produto[#All],6,FALSE)</f>
        <v>OLFA, RÉGUA QR-12S POLEGADAS</v>
      </c>
      <c r="C752" s="130">
        <v>1.9666666666666663</v>
      </c>
      <c r="D752" s="130">
        <v>7.2333333333333325</v>
      </c>
      <c r="E752" s="130">
        <v>2.9</v>
      </c>
      <c r="F752" s="130">
        <v>2.7666666666666671</v>
      </c>
      <c r="G752" s="130">
        <v>1.2333333333333334</v>
      </c>
      <c r="H752" s="130">
        <v>1.1333333333333333</v>
      </c>
      <c r="I752" s="130">
        <v>1.1333333333333333</v>
      </c>
      <c r="J752" s="130">
        <v>1.0333333333333334</v>
      </c>
      <c r="K752" s="130">
        <v>1.1333333333333333</v>
      </c>
      <c r="L752" s="130">
        <v>1.4666666666666668</v>
      </c>
      <c r="M752" s="130">
        <v>2.0666666666666669</v>
      </c>
      <c r="N752" s="130">
        <v>2.2999999999999998</v>
      </c>
      <c r="O7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2.4333333333333331</v>
      </c>
    </row>
    <row r="753" spans="1:15" ht="15" customHeight="1" x14ac:dyDescent="0.25">
      <c r="A753" s="15">
        <v>33070614924</v>
      </c>
      <c r="B753" s="16" t="str">
        <f>VLOOKUP(Projeção[[#This Row],[Código]],BD_Produto[#All],6,FALSE)</f>
        <v>OLFA, RÉGUA QR-6X12 POLEGADAS</v>
      </c>
      <c r="C753" s="130">
        <v>9</v>
      </c>
      <c r="D753" s="130">
        <v>9.8333333333333339</v>
      </c>
      <c r="E753" s="130">
        <v>4.8999999999999995</v>
      </c>
      <c r="F753" s="130">
        <v>4.3666666666666663</v>
      </c>
      <c r="G753" s="130">
        <v>6.3666666666666671</v>
      </c>
      <c r="H753" s="130">
        <v>3.8666666666666671</v>
      </c>
      <c r="I753" s="130">
        <v>3.666666666666667</v>
      </c>
      <c r="J753" s="130">
        <v>4</v>
      </c>
      <c r="K753" s="130">
        <v>3.8666666666666671</v>
      </c>
      <c r="L753" s="130">
        <v>5.8</v>
      </c>
      <c r="M753" s="130">
        <v>8.466666666666665</v>
      </c>
      <c r="N753" s="130">
        <v>9.0333333333333332</v>
      </c>
      <c r="O7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3.9333333333333327</v>
      </c>
    </row>
    <row r="754" spans="1:15" ht="15" customHeight="1" x14ac:dyDescent="0.25">
      <c r="A754" s="15">
        <v>33070614923</v>
      </c>
      <c r="B754" s="16" t="str">
        <f>VLOOKUP(Projeção[[#This Row],[Código]],BD_Produto[#All],6,FALSE)</f>
        <v>OLFA, RÉGUA QR-6X24 POLEGADAS</v>
      </c>
      <c r="C754" s="130">
        <v>11.899999999999999</v>
      </c>
      <c r="D754" s="130">
        <v>10.799999999999999</v>
      </c>
      <c r="E754" s="130">
        <v>6.666666666666667</v>
      </c>
      <c r="F754" s="130">
        <v>5.333333333333333</v>
      </c>
      <c r="G754" s="130">
        <v>4.2</v>
      </c>
      <c r="H754" s="130">
        <v>3.9</v>
      </c>
      <c r="I754" s="130">
        <v>3.9</v>
      </c>
      <c r="J754" s="130">
        <v>4.833333333333333</v>
      </c>
      <c r="K754" s="130">
        <v>3.9</v>
      </c>
      <c r="L754" s="130">
        <v>7.2666666666666675</v>
      </c>
      <c r="M754" s="130">
        <v>9.8333333333333339</v>
      </c>
      <c r="N754" s="130">
        <v>9.9333333333333318</v>
      </c>
      <c r="O7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6.8333333333333321</v>
      </c>
    </row>
    <row r="755" spans="1:15" ht="15" customHeight="1" x14ac:dyDescent="0.25">
      <c r="A755" s="15">
        <v>33070661132</v>
      </c>
      <c r="B755" s="16" t="str">
        <f>VLOOKUP(Projeção[[#This Row],[Código]],BD_Produto[#All],6,FALSE)</f>
        <v>OLFA, TESOURA ESPECIAL SCS-1</v>
      </c>
      <c r="C755" s="130">
        <v>13.93333333333333</v>
      </c>
      <c r="D755" s="130">
        <v>16.633333333333329</v>
      </c>
      <c r="E755" s="130">
        <v>8.6999999999999993</v>
      </c>
      <c r="F755" s="130">
        <v>8.5666666666666664</v>
      </c>
      <c r="G755" s="130">
        <v>6.8333333333333321</v>
      </c>
      <c r="H755" s="130">
        <v>7.2666666666666675</v>
      </c>
      <c r="I755" s="130">
        <v>7.0666666666666673</v>
      </c>
      <c r="J755" s="130">
        <v>7.166666666666667</v>
      </c>
      <c r="K755" s="130">
        <v>7.2666666666666675</v>
      </c>
      <c r="L755" s="130">
        <v>8.8666666666666654</v>
      </c>
      <c r="M755" s="130">
        <v>13.266666666666666</v>
      </c>
      <c r="N755" s="130">
        <v>12.866666666666665</v>
      </c>
      <c r="O7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11.733333333333333</v>
      </c>
    </row>
    <row r="756" spans="1:15" ht="15" customHeight="1" x14ac:dyDescent="0.25">
      <c r="A756" s="15">
        <v>33070661133</v>
      </c>
      <c r="B756" s="16" t="str">
        <f>VLOOKUP(Projeção[[#This Row],[Código]],BD_Produto[#All],6,FALSE)</f>
        <v>OLFA, TESOURA ESPECIAL SCS-2</v>
      </c>
      <c r="C756" s="130">
        <v>12.799999999999999</v>
      </c>
      <c r="D756" s="130">
        <v>19.233333333333331</v>
      </c>
      <c r="E756" s="130">
        <v>7.7</v>
      </c>
      <c r="F756" s="130">
        <v>10.833333333333334</v>
      </c>
      <c r="G756" s="130">
        <v>5.6333333333333337</v>
      </c>
      <c r="H756" s="130">
        <v>8</v>
      </c>
      <c r="I756" s="130">
        <v>7.8666666666666671</v>
      </c>
      <c r="J756" s="130">
        <v>8.5</v>
      </c>
      <c r="K756" s="130">
        <v>8</v>
      </c>
      <c r="L756" s="130">
        <v>12.299999999999999</v>
      </c>
      <c r="M756" s="130">
        <v>18.7</v>
      </c>
      <c r="N756" s="130">
        <v>15.766666666666669</v>
      </c>
      <c r="O7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11.366666666666667</v>
      </c>
    </row>
    <row r="757" spans="1:15" ht="15" customHeight="1" x14ac:dyDescent="0.25">
      <c r="A757" s="15">
        <v>33070614925</v>
      </c>
      <c r="B757" s="16" t="str">
        <f>VLOOKUP(Projeção[[#This Row],[Código]],BD_Produto[#All],6,FALSE)</f>
        <v>OLFA, TESOURA ESPECIAL SCS-3</v>
      </c>
      <c r="C757" s="130">
        <v>30.299999999999997</v>
      </c>
      <c r="D757" s="130">
        <v>38.5</v>
      </c>
      <c r="E757" s="130">
        <v>22.299999999999997</v>
      </c>
      <c r="F757" s="130">
        <v>17.633333333333333</v>
      </c>
      <c r="G757" s="130">
        <v>22.599999999999998</v>
      </c>
      <c r="H757" s="130">
        <v>18</v>
      </c>
      <c r="I757" s="130">
        <v>17.2</v>
      </c>
      <c r="J757" s="130">
        <v>18.566666666666666</v>
      </c>
      <c r="K757" s="130">
        <v>18</v>
      </c>
      <c r="L757" s="130">
        <v>19.566666666666666</v>
      </c>
      <c r="M757" s="130">
        <v>27.033333333333328</v>
      </c>
      <c r="N757" s="130">
        <v>26.033333333333335</v>
      </c>
      <c r="O7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30.099999999999998</v>
      </c>
    </row>
    <row r="758" spans="1:15" ht="15" customHeight="1" x14ac:dyDescent="0.2">
      <c r="A758" s="15">
        <v>33070665296</v>
      </c>
      <c r="B758" s="127" t="str">
        <f>VLOOKUP(Projeção[[#This Row],[Código]],BD_Produto[#All],6,FALSE)</f>
        <v>OLFA, TESOURA ESPECIAL SCS-4</v>
      </c>
      <c r="C758" s="141"/>
      <c r="D758" s="141"/>
      <c r="E758" s="141"/>
      <c r="F758" s="141"/>
      <c r="G758" s="141"/>
      <c r="H758" s="141"/>
      <c r="I758" s="141"/>
      <c r="J758" s="141"/>
      <c r="K758" s="141"/>
      <c r="L758" s="141">
        <v>0</v>
      </c>
      <c r="M758" s="141">
        <v>0</v>
      </c>
      <c r="N758" s="141">
        <v>0</v>
      </c>
      <c r="O758" s="14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5.6000000000000005</v>
      </c>
    </row>
    <row r="759" spans="1:15" ht="15" customHeight="1" x14ac:dyDescent="0.25">
      <c r="A759" s="15">
        <v>30061214980</v>
      </c>
      <c r="B759" s="16" t="str">
        <f>VLOOKUP(Projeção[[#This Row],[Código]],BD_Produto[#All],6,FALSE)</f>
        <v>PAPEL VEGETAL MICROPRINT 80/85 GR/M2 LEGAL 216x355mm C/100 F</v>
      </c>
      <c r="C759" s="130">
        <v>0.46666666666666667</v>
      </c>
      <c r="D759" s="130">
        <v>0.46666666666666667</v>
      </c>
      <c r="E759" s="130">
        <v>0.46666666666666667</v>
      </c>
      <c r="F759" s="130">
        <v>0.46666666666666667</v>
      </c>
      <c r="G759" s="130">
        <v>0.46666666666666667</v>
      </c>
      <c r="H759" s="130">
        <v>0</v>
      </c>
      <c r="I759" s="130">
        <v>0</v>
      </c>
      <c r="J759" s="130">
        <v>0</v>
      </c>
      <c r="K759" s="130">
        <v>0</v>
      </c>
      <c r="L759" s="130">
        <v>0</v>
      </c>
      <c r="M759" s="130">
        <v>0</v>
      </c>
      <c r="N759" s="130">
        <v>0</v>
      </c>
      <c r="O7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0" spans="1:15" ht="15" customHeight="1" x14ac:dyDescent="0.25">
      <c r="A760" s="15">
        <v>30061214974</v>
      </c>
      <c r="B760" s="16" t="str">
        <f>VLOOKUP(Projeção[[#This Row],[Código]],BD_Produto[#All],6,FALSE)</f>
        <v>PAPEL VEGETAL MICROPRINT, 660 x 960 mm, 100-105 g/m², 100 Fls</v>
      </c>
      <c r="C760" s="130">
        <v>8.1666666666666643</v>
      </c>
      <c r="D760" s="130">
        <v>23</v>
      </c>
      <c r="E760" s="130">
        <v>16.833333333333332</v>
      </c>
      <c r="F760" s="130">
        <v>10.833333333333334</v>
      </c>
      <c r="G760" s="130">
        <v>6.333333333333333</v>
      </c>
      <c r="H760" s="130">
        <v>5.333333333333333</v>
      </c>
      <c r="I760" s="130">
        <v>5.333333333333333</v>
      </c>
      <c r="J760" s="130">
        <v>4.333333333333333</v>
      </c>
      <c r="K760" s="130">
        <v>5.333333333333333</v>
      </c>
      <c r="L760" s="130">
        <v>3.1999999999999997</v>
      </c>
      <c r="M760" s="130">
        <v>3.1</v>
      </c>
      <c r="N760" s="130">
        <v>2.7666666666666671</v>
      </c>
      <c r="O7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1" spans="1:15" ht="15" customHeight="1" x14ac:dyDescent="0.25">
      <c r="A761" s="15">
        <v>30061214973</v>
      </c>
      <c r="B761" s="16" t="str">
        <f>VLOOKUP(Projeção[[#This Row],[Código]],BD_Produto[#All],6,FALSE)</f>
        <v>PAPEL VEGETAL MICROPRINT, 660 x 960 mm, 80-85 g/m², 100 Fls</v>
      </c>
      <c r="C761" s="130">
        <v>0.66666666666666663</v>
      </c>
      <c r="D761" s="130">
        <v>0.66666666666666663</v>
      </c>
      <c r="E761" s="130">
        <v>0.66666666666666663</v>
      </c>
      <c r="F761" s="130">
        <v>0.66666666666666663</v>
      </c>
      <c r="G761" s="130">
        <v>0.66666666666666663</v>
      </c>
      <c r="H761" s="130">
        <v>0.66666666666666663</v>
      </c>
      <c r="I761" s="130">
        <v>0.66666666666666663</v>
      </c>
      <c r="J761" s="130">
        <v>0</v>
      </c>
      <c r="K761" s="130">
        <v>0.66666666666666663</v>
      </c>
      <c r="L761" s="130">
        <v>0</v>
      </c>
      <c r="M761" s="130">
        <v>0</v>
      </c>
      <c r="N761" s="130">
        <v>0</v>
      </c>
      <c r="O7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2" spans="1:15" ht="15" customHeight="1" x14ac:dyDescent="0.25">
      <c r="A762" s="15">
        <v>30061214978</v>
      </c>
      <c r="B762" s="16" t="str">
        <f>VLOOKUP(Projeção[[#This Row],[Código]],BD_Produto[#All],6,FALSE)</f>
        <v>PAPEL VEGETAL MICROPRINT, A3 297 x 420 mm, 60-65 g/m², 100 Fls</v>
      </c>
      <c r="C762" s="130">
        <v>0</v>
      </c>
      <c r="D762" s="130">
        <v>5.666666666666667</v>
      </c>
      <c r="E762" s="130">
        <v>1.6666666666666667</v>
      </c>
      <c r="F762" s="130">
        <v>27.166666666666661</v>
      </c>
      <c r="G762" s="130">
        <v>7.833333333333333</v>
      </c>
      <c r="H762" s="130">
        <v>7.833333333333333</v>
      </c>
      <c r="I762" s="130">
        <v>7.833333333333333</v>
      </c>
      <c r="J762" s="130">
        <v>3.4999999999999996</v>
      </c>
      <c r="K762" s="130">
        <v>7.833333333333333</v>
      </c>
      <c r="L762" s="130">
        <v>3.4999999999999996</v>
      </c>
      <c r="M762" s="130">
        <v>2.8333333333333335</v>
      </c>
      <c r="N762" s="130">
        <v>2.8333333333333335</v>
      </c>
      <c r="O7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0.33333333333333331</v>
      </c>
    </row>
    <row r="763" spans="1:15" ht="15" customHeight="1" x14ac:dyDescent="0.25">
      <c r="A763" s="15">
        <v>30061224606</v>
      </c>
      <c r="B763" s="16" t="str">
        <f>VLOOKUP(Projeção[[#This Row],[Código]],BD_Produto[#All],6,FALSE)</f>
        <v>PAPEL VEGETAL SCHOELLER LASER V-01025, Ofício 216 x 330 mm, 100-105 g/m², 100 Fls</v>
      </c>
      <c r="C763" s="130">
        <v>0</v>
      </c>
      <c r="D763" s="130">
        <v>0</v>
      </c>
      <c r="E763" s="130">
        <v>0</v>
      </c>
      <c r="F763" s="130">
        <v>0</v>
      </c>
      <c r="G763" s="130">
        <v>0</v>
      </c>
      <c r="H763" s="130">
        <v>0</v>
      </c>
      <c r="I763" s="130">
        <v>0</v>
      </c>
      <c r="J763" s="130">
        <v>0</v>
      </c>
      <c r="K763" s="130">
        <v>0</v>
      </c>
      <c r="L763" s="130">
        <v>0</v>
      </c>
      <c r="M763" s="130">
        <v>0</v>
      </c>
      <c r="N763" s="130">
        <v>0</v>
      </c>
      <c r="O7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4" spans="1:15" ht="15" customHeight="1" x14ac:dyDescent="0.25">
      <c r="A764" s="15">
        <v>30061224050</v>
      </c>
      <c r="B764" s="16" t="str">
        <f>VLOOKUP(Projeção[[#This Row],[Código]],BD_Produto[#All],6,FALSE)</f>
        <v>PAPEL VEGETAL SCHOELLER LASER V-0825, Letter 216 x 280 mm, 80-85 g/m², 100 Fls</v>
      </c>
      <c r="C764" s="130">
        <v>0</v>
      </c>
      <c r="D764" s="130">
        <v>0</v>
      </c>
      <c r="E764" s="130">
        <v>0</v>
      </c>
      <c r="F764" s="130">
        <v>0</v>
      </c>
      <c r="G764" s="130">
        <v>0</v>
      </c>
      <c r="H764" s="130">
        <v>0</v>
      </c>
      <c r="I764" s="130">
        <v>0</v>
      </c>
      <c r="J764" s="130">
        <v>0</v>
      </c>
      <c r="K764" s="130">
        <v>0</v>
      </c>
      <c r="L764" s="130">
        <v>0</v>
      </c>
      <c r="M764" s="130">
        <v>0</v>
      </c>
      <c r="N764" s="130">
        <v>0</v>
      </c>
      <c r="O7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5" spans="1:15" ht="15" customHeight="1" x14ac:dyDescent="0.25">
      <c r="A765" s="15">
        <v>30061224049</v>
      </c>
      <c r="B765" s="16" t="str">
        <f>VLOOKUP(Projeção[[#This Row],[Código]],BD_Produto[#All],6,FALSE)</f>
        <v>PAPEL VEGETAL SCHOELLER LASER V-0825, Ofício 216 x 330 mm, 80-85 g/m², 100 Fls</v>
      </c>
      <c r="C765" s="130">
        <v>0</v>
      </c>
      <c r="D765" s="130">
        <v>0</v>
      </c>
      <c r="E765" s="130">
        <v>0</v>
      </c>
      <c r="F765" s="130">
        <v>0</v>
      </c>
      <c r="G765" s="130">
        <v>0</v>
      </c>
      <c r="H765" s="130">
        <v>0</v>
      </c>
      <c r="I765" s="130">
        <v>0</v>
      </c>
      <c r="J765" s="130">
        <v>0</v>
      </c>
      <c r="K765" s="130">
        <v>0</v>
      </c>
      <c r="L765" s="130">
        <v>0</v>
      </c>
      <c r="M765" s="130">
        <v>0</v>
      </c>
      <c r="N765" s="130">
        <v>0</v>
      </c>
      <c r="O7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6" spans="1:15" ht="15" customHeight="1" x14ac:dyDescent="0.25">
      <c r="A766" s="15">
        <v>30061224597</v>
      </c>
      <c r="B766" s="16" t="str">
        <f>VLOOKUP(Projeção[[#This Row],[Código]],BD_Produto[#All],6,FALSE)</f>
        <v>PAPEL VEGETAL SCHOELLER LASER V-090-955, A4 210 x 297 mm, 90-95 g/m², 100 Fls</v>
      </c>
      <c r="C766" s="130">
        <v>222.33333333333334</v>
      </c>
      <c r="D766" s="130">
        <v>162.03333333333333</v>
      </c>
      <c r="E766" s="130">
        <v>160</v>
      </c>
      <c r="F766" s="130">
        <v>143.66666666666666</v>
      </c>
      <c r="G766" s="130">
        <v>134.73333333333335</v>
      </c>
      <c r="H766" s="130">
        <v>106.36666666666667</v>
      </c>
      <c r="I766" s="130">
        <v>106.33333333333331</v>
      </c>
      <c r="J766" s="130">
        <v>109.10000000000001</v>
      </c>
      <c r="K766" s="130">
        <v>106.36666666666667</v>
      </c>
      <c r="L766" s="130">
        <v>59.333333333333336</v>
      </c>
      <c r="M766" s="130">
        <v>39.033333333333331</v>
      </c>
      <c r="N766" s="130">
        <v>22.166666666666668</v>
      </c>
      <c r="O7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20.933333333333334</v>
      </c>
    </row>
    <row r="767" spans="1:15" ht="15" customHeight="1" x14ac:dyDescent="0.25">
      <c r="A767" s="15">
        <v>11061224654</v>
      </c>
      <c r="B767" s="16" t="str">
        <f>VLOOKUP(Projeção[[#This Row],[Código]],BD_Produto[#All],6,FALSE)</f>
        <v>PAPEL VEGETAL SCHOELLER, 1,02 m x 20 m, 50-55 g/m², Rolo</v>
      </c>
      <c r="C767" s="130">
        <v>0</v>
      </c>
      <c r="D767" s="130">
        <v>0</v>
      </c>
      <c r="E767" s="130">
        <v>0</v>
      </c>
      <c r="F767" s="130">
        <v>0</v>
      </c>
      <c r="G767" s="130">
        <v>0</v>
      </c>
      <c r="H767" s="130">
        <v>0</v>
      </c>
      <c r="I767" s="130">
        <v>0</v>
      </c>
      <c r="J767" s="130">
        <v>0</v>
      </c>
      <c r="K767" s="130">
        <v>0</v>
      </c>
      <c r="L767" s="130">
        <v>0</v>
      </c>
      <c r="M767" s="130">
        <v>0</v>
      </c>
      <c r="N767" s="130">
        <v>0</v>
      </c>
      <c r="O7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68" spans="1:15" ht="15" customHeight="1" x14ac:dyDescent="0.25">
      <c r="A768" s="15">
        <v>30061224002</v>
      </c>
      <c r="B768" s="16" t="str">
        <f>VLOOKUP(Projeção[[#This Row],[Código]],BD_Produto[#All],6,FALSE)</f>
        <v>PAPEL VEGETAL SCHOELLER, 1,10 x 20 m, 110-115 g/m², Rolo</v>
      </c>
      <c r="C768" s="130">
        <v>0.79999999999999993</v>
      </c>
      <c r="D768" s="130">
        <v>0.79999999999999993</v>
      </c>
      <c r="E768" s="130">
        <v>0.39999999999999997</v>
      </c>
      <c r="F768" s="130">
        <v>0.39999999999999997</v>
      </c>
      <c r="G768" s="130">
        <v>0.36666666666666664</v>
      </c>
      <c r="H768" s="130">
        <v>0.86666666666666681</v>
      </c>
      <c r="I768" s="130">
        <v>0.6</v>
      </c>
      <c r="J768" s="130">
        <v>1.0333333333333332</v>
      </c>
      <c r="K768" s="130">
        <v>0.86666666666666681</v>
      </c>
      <c r="L768" s="130">
        <v>1.5666666666666667</v>
      </c>
      <c r="M768" s="130">
        <v>2.1333333333333333</v>
      </c>
      <c r="N768" s="130">
        <v>1.2</v>
      </c>
      <c r="O7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8.3333333333333321</v>
      </c>
    </row>
    <row r="769" spans="1:15" ht="15" customHeight="1" x14ac:dyDescent="0.25">
      <c r="A769" s="15">
        <v>30061224007</v>
      </c>
      <c r="B769" s="16" t="str">
        <f>VLOOKUP(Projeção[[#This Row],[Código]],BD_Produto[#All],6,FALSE)</f>
        <v>PAPEL VEGETAL SCHOELLER, 1,10 x 20 m, 80-85 g/m², Rolo</v>
      </c>
      <c r="C769" s="130">
        <v>6.6999999999999993</v>
      </c>
      <c r="D769" s="130">
        <v>5.0999999999999996</v>
      </c>
      <c r="E769" s="130">
        <v>2.9666666666666668</v>
      </c>
      <c r="F769" s="130">
        <v>2.6333333333333329</v>
      </c>
      <c r="G769" s="130">
        <v>2.6333333333333329</v>
      </c>
      <c r="H769" s="130">
        <v>2.6333333333333329</v>
      </c>
      <c r="I769" s="130">
        <v>2.6333333333333329</v>
      </c>
      <c r="J769" s="130">
        <v>2.5333333333333332</v>
      </c>
      <c r="K769" s="130">
        <v>2.6333333333333329</v>
      </c>
      <c r="L769" s="130">
        <v>1.3333333333333333</v>
      </c>
      <c r="M769" s="130">
        <v>0.93333333333333335</v>
      </c>
      <c r="N769" s="130">
        <v>0.53333333333333333</v>
      </c>
      <c r="O7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70" spans="1:15" ht="15" customHeight="1" x14ac:dyDescent="0.25">
      <c r="A770" s="15">
        <v>30061224018</v>
      </c>
      <c r="B770" s="16" t="str">
        <f>VLOOKUP(Projeção[[#This Row],[Código]],BD_Produto[#All],6,FALSE)</f>
        <v>PAPEL VEGETAL SCHOELLER, 660 x 960 mm, 100-105 g/m², 100 Fls</v>
      </c>
      <c r="C770" s="130">
        <v>6.6666666666666666E-2</v>
      </c>
      <c r="D770" s="130">
        <v>6.6666666666666666E-2</v>
      </c>
      <c r="E770" s="130">
        <v>6.6666666666666666E-2</v>
      </c>
      <c r="F770" s="130">
        <v>6.6666666666666666E-2</v>
      </c>
      <c r="G770" s="130">
        <v>6.6666666666666666E-2</v>
      </c>
      <c r="H770" s="130">
        <v>6.6666666666666666E-2</v>
      </c>
      <c r="I770" s="130">
        <v>6.6666666666666666E-2</v>
      </c>
      <c r="J770" s="130">
        <v>1.7333333333333336</v>
      </c>
      <c r="K770" s="130">
        <v>6.6666666666666666E-2</v>
      </c>
      <c r="L770" s="130">
        <v>3.4</v>
      </c>
      <c r="M770" s="130">
        <v>6.8333333333333348</v>
      </c>
      <c r="N770" s="130">
        <v>5.4999999999999991</v>
      </c>
      <c r="O7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6.9333333333333327</v>
      </c>
    </row>
    <row r="771" spans="1:15" ht="15" customHeight="1" x14ac:dyDescent="0.25">
      <c r="A771" s="15">
        <v>30061224020</v>
      </c>
      <c r="B771" s="16" t="str">
        <f>VLOOKUP(Projeção[[#This Row],[Código]],BD_Produto[#All],6,FALSE)</f>
        <v>PAPEL VEGETAL SCHOELLER, 660 x 960 mm, 110-115 g/m², 100 Fls</v>
      </c>
      <c r="C771" s="130">
        <v>3.3333333333333333E-2</v>
      </c>
      <c r="D771" s="130">
        <v>3.3333333333333333E-2</v>
      </c>
      <c r="E771" s="130">
        <v>3.3333333333333333E-2</v>
      </c>
      <c r="F771" s="130">
        <v>3.3333333333333333E-2</v>
      </c>
      <c r="G771" s="130">
        <v>0</v>
      </c>
      <c r="H771" s="130">
        <v>0</v>
      </c>
      <c r="I771" s="130">
        <v>0</v>
      </c>
      <c r="J771" s="130">
        <v>0.33333333333333326</v>
      </c>
      <c r="K771" s="130">
        <v>0</v>
      </c>
      <c r="L771" s="130">
        <v>0.33333333333333326</v>
      </c>
      <c r="M771" s="130">
        <v>0.19999999999999998</v>
      </c>
      <c r="N771" s="130">
        <v>0.19999999999999998</v>
      </c>
      <c r="O7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0.33333333333333326</v>
      </c>
    </row>
    <row r="772" spans="1:15" ht="15" customHeight="1" x14ac:dyDescent="0.25">
      <c r="A772" s="15">
        <v>30061224022</v>
      </c>
      <c r="B772" s="16" t="str">
        <f>VLOOKUP(Projeção[[#This Row],[Código]],BD_Produto[#All],6,FALSE)</f>
        <v>PAPEL VEGETAL SCHOELLER, 660 x 960 mm, 145-155 g/m², 100 Fls</v>
      </c>
      <c r="C772" s="130">
        <v>0</v>
      </c>
      <c r="D772" s="130">
        <v>0</v>
      </c>
      <c r="E772" s="130">
        <v>0</v>
      </c>
      <c r="F772" s="130">
        <v>0</v>
      </c>
      <c r="G772" s="130">
        <v>0</v>
      </c>
      <c r="H772" s="130">
        <v>0</v>
      </c>
      <c r="I772" s="130">
        <v>0</v>
      </c>
      <c r="J772" s="130">
        <v>0</v>
      </c>
      <c r="K772" s="130">
        <v>0</v>
      </c>
      <c r="L772" s="130">
        <v>0</v>
      </c>
      <c r="M772" s="130">
        <v>0</v>
      </c>
      <c r="N772" s="130">
        <v>0</v>
      </c>
      <c r="O7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773" spans="1:15" ht="15" customHeight="1" x14ac:dyDescent="0.25">
      <c r="A773" s="15">
        <v>30061224386</v>
      </c>
      <c r="B773" s="16" t="str">
        <f>VLOOKUP(Projeção[[#This Row],[Código]],BD_Produto[#All],6,FALSE)</f>
        <v>PAPEL VEGETAL SCHOELLER, 660 x 960 mm, 180-190 g/m², 100 Fls</v>
      </c>
      <c r="C773" s="130">
        <v>0.56666666666666654</v>
      </c>
      <c r="D773" s="130">
        <v>0.53333333333333333</v>
      </c>
      <c r="E773" s="130">
        <v>0.39999999999999997</v>
      </c>
      <c r="F773" s="130">
        <v>0.39999999999999997</v>
      </c>
      <c r="G773" s="130">
        <v>0.96666666666666656</v>
      </c>
      <c r="H773" s="130">
        <v>0.56666666666666654</v>
      </c>
      <c r="I773" s="130">
        <v>0.56666666666666654</v>
      </c>
      <c r="J773" s="130">
        <v>0.73333333333333328</v>
      </c>
      <c r="K773" s="130">
        <v>0.56666666666666654</v>
      </c>
      <c r="L773" s="130">
        <v>0.56666666666666665</v>
      </c>
      <c r="M773" s="130">
        <v>0.66666666666666663</v>
      </c>
      <c r="N773" s="130">
        <v>0.6</v>
      </c>
      <c r="O7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774" spans="1:15" ht="15" customHeight="1" x14ac:dyDescent="0.25">
      <c r="A774" s="15">
        <v>30061224030</v>
      </c>
      <c r="B774" s="16" t="str">
        <f>VLOOKUP(Projeção[[#This Row],[Código]],BD_Produto[#All],6,FALSE)</f>
        <v>PAPEL VEGETAL SCHOELLER, 660 x 960 mm, 80-85 g/m², 100 Fls</v>
      </c>
      <c r="C774" s="130">
        <v>8.5</v>
      </c>
      <c r="D774" s="130">
        <v>8.5</v>
      </c>
      <c r="E774" s="130">
        <v>1.833333333333333</v>
      </c>
      <c r="F774" s="130">
        <v>1.833333333333333</v>
      </c>
      <c r="G774" s="130">
        <v>1.7</v>
      </c>
      <c r="H774" s="130">
        <v>1.7</v>
      </c>
      <c r="I774" s="130">
        <v>1.7</v>
      </c>
      <c r="J774" s="130">
        <v>1.7</v>
      </c>
      <c r="K774" s="130">
        <v>1.7</v>
      </c>
      <c r="L774" s="130">
        <v>1.7</v>
      </c>
      <c r="M774" s="130">
        <v>1.6666666666666667</v>
      </c>
      <c r="N774" s="130">
        <v>1.6666666666666667</v>
      </c>
      <c r="O7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75" spans="1:15" ht="15" customHeight="1" x14ac:dyDescent="0.25">
      <c r="A775" s="15">
        <v>30061224031</v>
      </c>
      <c r="B775" s="16" t="str">
        <f>VLOOKUP(Projeção[[#This Row],[Código]],BD_Produto[#All],6,FALSE)</f>
        <v>PAPEL VEGETAL SCHOELLER, 660 x 960 mm, 80-85 g/m², 250 Fls</v>
      </c>
      <c r="C775" s="130">
        <v>1.2333333333333334</v>
      </c>
      <c r="D775" s="130">
        <v>0.3</v>
      </c>
      <c r="E775" s="130">
        <v>0.3</v>
      </c>
      <c r="F775" s="130">
        <v>0.3</v>
      </c>
      <c r="G775" s="130">
        <v>0.3</v>
      </c>
      <c r="H775" s="130">
        <v>0.3</v>
      </c>
      <c r="I775" s="130">
        <v>0.3</v>
      </c>
      <c r="J775" s="130">
        <v>0.3</v>
      </c>
      <c r="K775" s="130">
        <v>0.3</v>
      </c>
      <c r="L775" s="130">
        <v>0.3</v>
      </c>
      <c r="M775" s="130">
        <v>0.23333333333333334</v>
      </c>
      <c r="N775" s="130">
        <v>0</v>
      </c>
      <c r="O7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76" spans="1:15" x14ac:dyDescent="0.25">
      <c r="A776" s="15">
        <v>30061224032</v>
      </c>
      <c r="B776" s="16" t="str">
        <f>VLOOKUP(Projeção[[#This Row],[Código]],BD_Produto[#All],6,FALSE)</f>
        <v>PAPEL VEGETAL SCHOELLER, 660 x 960 mm, 90-95 g/m², 100 Fls</v>
      </c>
      <c r="C776" s="130">
        <v>37.833333333333336</v>
      </c>
      <c r="D776" s="130">
        <v>12.366666666666665</v>
      </c>
      <c r="E776" s="130">
        <v>14.8</v>
      </c>
      <c r="F776" s="130">
        <v>4.1333333333333337</v>
      </c>
      <c r="G776" s="130">
        <v>5.1333333333333329</v>
      </c>
      <c r="H776" s="130">
        <v>3.6666666666666661</v>
      </c>
      <c r="I776" s="130">
        <v>3.6666666666666661</v>
      </c>
      <c r="J776" s="130">
        <v>4.3</v>
      </c>
      <c r="K776" s="130">
        <v>3.6666666666666661</v>
      </c>
      <c r="L776" s="130">
        <v>3.4</v>
      </c>
      <c r="M776" s="130">
        <v>4.2333333333333334</v>
      </c>
      <c r="N776" s="130">
        <v>4.0999999999999996</v>
      </c>
      <c r="O7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10.833333333333334</v>
      </c>
    </row>
    <row r="777" spans="1:15" x14ac:dyDescent="0.25">
      <c r="A777" s="15">
        <v>30061224415</v>
      </c>
      <c r="B777" s="16" t="str">
        <f>VLOOKUP(Projeção[[#This Row],[Código]],BD_Produto[#All],6,FALSE)</f>
        <v>PAPEL VEGETAL SCHOELLER, A3 - 297 x 420 mm, 60-65 g/m², 100 FLS</v>
      </c>
      <c r="C777" s="130">
        <v>6.0333333333333332</v>
      </c>
      <c r="D777" s="130">
        <v>6.0333333333333332</v>
      </c>
      <c r="E777" s="130">
        <v>6.0333333333333332</v>
      </c>
      <c r="F777" s="130">
        <v>6.0333333333333332</v>
      </c>
      <c r="G777" s="130">
        <v>5.7</v>
      </c>
      <c r="H777" s="130">
        <v>5.7</v>
      </c>
      <c r="I777" s="130">
        <v>5.7</v>
      </c>
      <c r="J777" s="130">
        <v>2.3666666666666667</v>
      </c>
      <c r="K777" s="130">
        <v>5.7</v>
      </c>
      <c r="L777" s="130">
        <v>11.166666666666666</v>
      </c>
      <c r="M777" s="130">
        <v>13.999999999999998</v>
      </c>
      <c r="N777" s="130">
        <v>12.666666666666666</v>
      </c>
      <c r="O7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4.2666666666666666</v>
      </c>
    </row>
    <row r="778" spans="1:15" ht="15" customHeight="1" x14ac:dyDescent="0.2">
      <c r="A778" s="15">
        <v>30061265232</v>
      </c>
      <c r="B778" s="16" t="str">
        <f>VLOOKUP(Projeção[[#This Row],[Código]],BD_Produto[#All],6,FALSE)</f>
        <v>PAPEL VEGETAL SCHOELLER, A3 - 297 x 420 mm, 60-65 g/m², 50 FLS</v>
      </c>
      <c r="C778" s="134"/>
      <c r="D778" s="134"/>
      <c r="E778" s="134"/>
      <c r="F778" s="134"/>
      <c r="G778" s="134"/>
      <c r="H778" s="134"/>
      <c r="I778" s="134"/>
      <c r="J778" s="134"/>
      <c r="K778" s="134"/>
      <c r="L778" s="134">
        <v>0</v>
      </c>
      <c r="M778" s="134">
        <v>0</v>
      </c>
      <c r="N778" s="134">
        <v>0</v>
      </c>
      <c r="O778" s="134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123.93333333333334</v>
      </c>
    </row>
    <row r="779" spans="1:15" x14ac:dyDescent="0.25">
      <c r="A779" s="15">
        <v>30061224601</v>
      </c>
      <c r="B779" s="16" t="str">
        <f>VLOOKUP(Projeção[[#This Row],[Código]],BD_Produto[#All],6,FALSE)</f>
        <v>PAPEL VEGETAL SCHOELLER, A3 - 297 x 420 mm, 90-95 g/m², 100 FLS</v>
      </c>
      <c r="C779" s="130">
        <v>3.0333333333333337</v>
      </c>
      <c r="D779" s="130">
        <v>1.5999999999999999</v>
      </c>
      <c r="E779" s="130">
        <v>1.2</v>
      </c>
      <c r="F779" s="130">
        <v>0.53333333333333333</v>
      </c>
      <c r="G779" s="130">
        <v>0.39999999999999997</v>
      </c>
      <c r="H779" s="130">
        <v>0.39999999999999997</v>
      </c>
      <c r="I779" s="130">
        <v>0.39999999999999997</v>
      </c>
      <c r="J779" s="130">
        <v>0.39999999999999997</v>
      </c>
      <c r="K779" s="130">
        <v>0.39999999999999997</v>
      </c>
      <c r="L779" s="130">
        <v>0.39999999999999997</v>
      </c>
      <c r="M779" s="130">
        <v>1.3666666666666665</v>
      </c>
      <c r="N779" s="130">
        <v>1.3666666666666665</v>
      </c>
      <c r="O7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0.70000000000000007</v>
      </c>
    </row>
    <row r="780" spans="1:15" x14ac:dyDescent="0.25">
      <c r="A780" s="15">
        <v>30061265264</v>
      </c>
      <c r="B780" s="97" t="str">
        <f>VLOOKUP(Projeção[[#This Row],[Código]],BD_Produto[#All],6,FALSE)</f>
        <v>PAPEL VEGETAL SCHOELLER, A3 - 297 x 420 mm, 90-95 g/m², 50 FLS</v>
      </c>
      <c r="C780" s="135"/>
      <c r="D780" s="135"/>
      <c r="E780" s="135"/>
      <c r="F780" s="135"/>
      <c r="G780" s="135"/>
      <c r="H780" s="135"/>
      <c r="I780" s="135"/>
      <c r="J780" s="135"/>
      <c r="K780" s="135"/>
      <c r="L780" s="135">
        <v>0</v>
      </c>
      <c r="M780" s="135">
        <v>0</v>
      </c>
      <c r="N780" s="135">
        <v>0</v>
      </c>
      <c r="O780" s="135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5.333333333333333</v>
      </c>
    </row>
    <row r="781" spans="1:15" x14ac:dyDescent="0.25">
      <c r="A781" s="15">
        <v>30061224414</v>
      </c>
      <c r="B781" s="16" t="str">
        <f>VLOOKUP(Projeção[[#This Row],[Código]],BD_Produto[#All],6,FALSE)</f>
        <v>PAPEL VEGETAL SCHOELLER, A4 - 210 x 297 mm, 60-65 g/m², 50 FLS</v>
      </c>
      <c r="C781" s="130">
        <v>217.86666666666665</v>
      </c>
      <c r="D781" s="130">
        <v>151.63333333333333</v>
      </c>
      <c r="E781" s="130">
        <v>149.63333333333333</v>
      </c>
      <c r="F781" s="130">
        <v>128.33333333333331</v>
      </c>
      <c r="G781" s="130">
        <v>107.33333333333333</v>
      </c>
      <c r="H781" s="130">
        <v>83.833333333333329</v>
      </c>
      <c r="I781" s="130">
        <v>78.5</v>
      </c>
      <c r="J781" s="130">
        <v>156.83333333333334</v>
      </c>
      <c r="K781" s="130">
        <v>83.833333333333329</v>
      </c>
      <c r="L781" s="130">
        <v>419.66666666666657</v>
      </c>
      <c r="M781" s="130">
        <v>507.5</v>
      </c>
      <c r="N781" s="130">
        <v>856.99999999999989</v>
      </c>
      <c r="O7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1059.5666666666666</v>
      </c>
    </row>
    <row r="782" spans="1:15" ht="15" customHeight="1" x14ac:dyDescent="0.25">
      <c r="A782" s="15">
        <v>30061265265</v>
      </c>
      <c r="B782" s="97" t="str">
        <f>VLOOKUP(Projeção[[#This Row],[Código]],BD_Produto[#All],6,FALSE)</f>
        <v>PAPEL VEGETAL SCHOELLER, A4 - 210 x 297 mm, 90-95 g/m², 50 FLS</v>
      </c>
      <c r="C782" s="135"/>
      <c r="D782" s="135"/>
      <c r="E782" s="135"/>
      <c r="F782" s="135"/>
      <c r="G782" s="135"/>
      <c r="H782" s="135"/>
      <c r="I782" s="135"/>
      <c r="J782" s="135"/>
      <c r="K782" s="135"/>
      <c r="L782" s="135">
        <v>0</v>
      </c>
      <c r="M782" s="135">
        <v>0</v>
      </c>
      <c r="N782" s="135">
        <v>0</v>
      </c>
      <c r="O782" s="135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6.7333333333333325</v>
      </c>
    </row>
    <row r="783" spans="1:15" ht="15" customHeight="1" x14ac:dyDescent="0.2">
      <c r="A783" s="15">
        <v>30061224346</v>
      </c>
      <c r="B783" s="68" t="str">
        <f>VLOOKUP(Projeção[[#This Row],[Código]],BD_Produto[#All],6,FALSE)</f>
        <v>PAPEL VEGETAL SCHOELLER, A4 210 x 297 mm, 70-75 g/m²</v>
      </c>
      <c r="C783" s="132"/>
      <c r="D783" s="132"/>
      <c r="E783" s="132"/>
      <c r="F783" s="132"/>
      <c r="G783" s="132"/>
      <c r="H783" s="132">
        <v>0</v>
      </c>
      <c r="I783" s="132">
        <v>0</v>
      </c>
      <c r="J783" s="132">
        <v>0</v>
      </c>
      <c r="K783" s="132">
        <v>0</v>
      </c>
      <c r="L783" s="132">
        <v>0</v>
      </c>
      <c r="M783" s="132">
        <v>0</v>
      </c>
      <c r="N783" s="133">
        <v>0</v>
      </c>
      <c r="O783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84" spans="1:15" x14ac:dyDescent="0.25">
      <c r="A784" s="15">
        <v>30061224600</v>
      </c>
      <c r="B784" s="16" t="str">
        <f>VLOOKUP(Projeção[[#This Row],[Código]],BD_Produto[#All],6,FALSE)</f>
        <v>PAPEL VEGETAL SCHOELLER, LEGAL - 216 x 355 mm, 90-95 g/m², 100 FLS</v>
      </c>
      <c r="C784" s="130">
        <v>152.1</v>
      </c>
      <c r="D784" s="130">
        <v>234.06666666666663</v>
      </c>
      <c r="E784" s="130">
        <v>210.73333333333332</v>
      </c>
      <c r="F784" s="130">
        <v>158.76666666666668</v>
      </c>
      <c r="G784" s="130">
        <v>81.599999999999994</v>
      </c>
      <c r="H784" s="130">
        <v>70</v>
      </c>
      <c r="I784" s="130">
        <v>69.966666666666654</v>
      </c>
      <c r="J784" s="130">
        <v>126.93333333333334</v>
      </c>
      <c r="K784" s="130">
        <v>70</v>
      </c>
      <c r="L784" s="130">
        <v>198.16666666666666</v>
      </c>
      <c r="M784" s="130">
        <v>227.5</v>
      </c>
      <c r="N784" s="130">
        <v>277.5</v>
      </c>
      <c r="O7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249.1</v>
      </c>
    </row>
    <row r="785" spans="1:15" ht="15" customHeight="1" x14ac:dyDescent="0.25">
      <c r="A785" s="15">
        <v>30061265266</v>
      </c>
      <c r="B785" s="97" t="str">
        <f>VLOOKUP(Projeção[[#This Row],[Código]],BD_Produto[#All],6,FALSE)</f>
        <v>PAPEL VEGETAL SCHOELLER, LEGAL - 216 x 355 mm, 90-95 g/m², 50 FLS</v>
      </c>
      <c r="C785" s="136"/>
      <c r="D785" s="136"/>
      <c r="E785" s="136"/>
      <c r="F785" s="136"/>
      <c r="G785" s="136"/>
      <c r="H785" s="136"/>
      <c r="I785" s="136"/>
      <c r="J785" s="136"/>
      <c r="K785" s="136"/>
      <c r="L785" s="136">
        <v>0</v>
      </c>
      <c r="M785" s="136">
        <v>0</v>
      </c>
      <c r="N785" s="136">
        <v>0</v>
      </c>
      <c r="O785" s="136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</v>
      </c>
    </row>
    <row r="786" spans="1:15" ht="15" customHeight="1" x14ac:dyDescent="0.2">
      <c r="A786" s="15">
        <v>30061224371</v>
      </c>
      <c r="B786" s="68" t="str">
        <f>VLOOKUP(Projeção[[#This Row],[Código]],BD_Produto[#All],6,FALSE)</f>
        <v>PAPEL VEGETAL SCHOELLER, LEGAL 216 x 355 mm, 70-75 g/m²</v>
      </c>
      <c r="C786" s="132"/>
      <c r="D786" s="132"/>
      <c r="E786" s="132"/>
      <c r="F786" s="132"/>
      <c r="G786" s="132"/>
      <c r="H786" s="132">
        <v>0</v>
      </c>
      <c r="I786" s="132">
        <v>0</v>
      </c>
      <c r="J786" s="132">
        <v>0</v>
      </c>
      <c r="K786" s="132">
        <v>0</v>
      </c>
      <c r="L786" s="132">
        <v>0</v>
      </c>
      <c r="M786" s="132">
        <v>0</v>
      </c>
      <c r="N786" s="133">
        <v>0</v>
      </c>
      <c r="O786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87" spans="1:15" ht="15" customHeight="1" x14ac:dyDescent="0.25">
      <c r="A787" s="15">
        <v>30061224008</v>
      </c>
      <c r="B787" s="16" t="str">
        <f>VLOOKUP(Projeção[[#This Row],[Código]],BD_Produto[#All],6,FALSE)</f>
        <v>PAPEL VEGETAL SCHOELLERSHAMMER 90/95GR/M2 1,10X20M</v>
      </c>
      <c r="C787" s="130">
        <v>1.1333333333333333</v>
      </c>
      <c r="D787" s="130">
        <v>1.0333333333333334</v>
      </c>
      <c r="E787" s="130">
        <v>1.0333333333333334</v>
      </c>
      <c r="F787" s="130">
        <v>1.0333333333333334</v>
      </c>
      <c r="G787" s="130">
        <v>1</v>
      </c>
      <c r="H787" s="130">
        <v>0.86666666666666659</v>
      </c>
      <c r="I787" s="130">
        <v>0.86666666666666659</v>
      </c>
      <c r="J787" s="130">
        <v>0.79999999999999993</v>
      </c>
      <c r="K787" s="130">
        <v>0.86666666666666659</v>
      </c>
      <c r="L787" s="130">
        <v>0</v>
      </c>
      <c r="M787" s="130">
        <v>0</v>
      </c>
      <c r="N787" s="130">
        <v>0</v>
      </c>
      <c r="O7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88" spans="1:15" ht="15" customHeight="1" x14ac:dyDescent="0.25">
      <c r="A788" s="15">
        <v>33062562876</v>
      </c>
      <c r="B788" s="16" t="str">
        <f>VLOOKUP(Projeção[[#This Row],[Código]],BD_Produto[#All],6,FALSE)</f>
        <v>Pasta para plastificação Fellowes 54X86MM - 125mic - 100pç  - PN:5306303</v>
      </c>
      <c r="C788" s="130">
        <v>0</v>
      </c>
      <c r="D788" s="130">
        <v>0</v>
      </c>
      <c r="E788" s="130">
        <v>0</v>
      </c>
      <c r="F788" s="130">
        <v>0</v>
      </c>
      <c r="G788" s="130">
        <v>0</v>
      </c>
      <c r="H788" s="130">
        <v>0</v>
      </c>
      <c r="I788" s="130">
        <v>0</v>
      </c>
      <c r="J788" s="130">
        <v>0</v>
      </c>
      <c r="K788" s="130">
        <v>0</v>
      </c>
      <c r="L788" s="130">
        <v>0</v>
      </c>
      <c r="M788" s="130">
        <v>0</v>
      </c>
      <c r="N788" s="130">
        <v>0</v>
      </c>
      <c r="O7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3.3333333333333335</v>
      </c>
    </row>
    <row r="789" spans="1:15" ht="15" customHeight="1" x14ac:dyDescent="0.25">
      <c r="A789" s="15">
        <v>33062562877</v>
      </c>
      <c r="B789" s="16" t="str">
        <f>VLOOKUP(Projeção[[#This Row],[Código]],BD_Produto[#All],6,FALSE)</f>
        <v>Pasta para plastificação Fellowes 65X95MM - 125mic - 100pç - PN:5306703</v>
      </c>
      <c r="C789" s="130">
        <v>0</v>
      </c>
      <c r="D789" s="130">
        <v>0</v>
      </c>
      <c r="E789" s="130">
        <v>0</v>
      </c>
      <c r="F789" s="130">
        <v>0</v>
      </c>
      <c r="G789" s="130">
        <v>0</v>
      </c>
      <c r="H789" s="130">
        <v>0</v>
      </c>
      <c r="I789" s="130">
        <v>0</v>
      </c>
      <c r="J789" s="130">
        <v>0</v>
      </c>
      <c r="K789" s="130">
        <v>0</v>
      </c>
      <c r="L789" s="130">
        <v>0</v>
      </c>
      <c r="M789" s="130">
        <v>0</v>
      </c>
      <c r="N789" s="130">
        <v>0</v>
      </c>
      <c r="O7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90" spans="1:15" ht="15" customHeight="1" x14ac:dyDescent="0.25">
      <c r="A790" s="15">
        <v>33062562878</v>
      </c>
      <c r="B790" s="16" t="str">
        <f>VLOOKUP(Projeção[[#This Row],[Código]],BD_Produto[#All],6,FALSE)</f>
        <v>Pasta para plastificação Fellowes 75X105MM - 125mic - 100pç  - PN:5306902</v>
      </c>
      <c r="C790" s="130">
        <v>0</v>
      </c>
      <c r="D790" s="130">
        <v>0</v>
      </c>
      <c r="E790" s="130">
        <v>0</v>
      </c>
      <c r="F790" s="130">
        <v>0</v>
      </c>
      <c r="G790" s="130">
        <v>0</v>
      </c>
      <c r="H790" s="130">
        <v>0</v>
      </c>
      <c r="I790" s="130">
        <v>0</v>
      </c>
      <c r="J790" s="130">
        <v>0</v>
      </c>
      <c r="K790" s="130">
        <v>0</v>
      </c>
      <c r="L790" s="130">
        <v>0</v>
      </c>
      <c r="M790" s="130">
        <v>0</v>
      </c>
      <c r="N790" s="130">
        <v>0</v>
      </c>
      <c r="O7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791" spans="1:15" ht="15" customHeight="1" x14ac:dyDescent="0.25">
      <c r="A791" s="15">
        <v>33062562879</v>
      </c>
      <c r="B791" s="16" t="str">
        <f>VLOOKUP(Projeção[[#This Row],[Código]],BD_Produto[#All],6,FALSE)</f>
        <v>Pasta para plastificação Fellowes 83X113MM - 125mic - 100pç  - PN:5307102</v>
      </c>
      <c r="C791" s="130">
        <v>0</v>
      </c>
      <c r="D791" s="130">
        <v>0</v>
      </c>
      <c r="E791" s="130">
        <v>0</v>
      </c>
      <c r="F791" s="130">
        <v>0</v>
      </c>
      <c r="G791" s="130">
        <v>0</v>
      </c>
      <c r="H791" s="130">
        <v>0.66666666666666652</v>
      </c>
      <c r="I791" s="130">
        <v>0.33333333333333326</v>
      </c>
      <c r="J791" s="130">
        <v>0.66666666666666652</v>
      </c>
      <c r="K791" s="130">
        <v>0.66666666666666652</v>
      </c>
      <c r="L791" s="130">
        <v>0.13333333333333333</v>
      </c>
      <c r="M791" s="130">
        <v>0.39999999999999997</v>
      </c>
      <c r="N791" s="130">
        <v>0.26666666666666666</v>
      </c>
      <c r="O7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3.3333333333333335</v>
      </c>
    </row>
    <row r="792" spans="1:15" ht="15" customHeight="1" x14ac:dyDescent="0.25">
      <c r="A792" s="15">
        <v>33062562888</v>
      </c>
      <c r="B792" s="16" t="str">
        <f>VLOOKUP(Projeção[[#This Row],[Código]],BD_Produto[#All],6,FALSE)</f>
        <v>Pasta para plastificação Fellowes A3 - 100mic - 100pç  - PN:5351206</v>
      </c>
      <c r="C792" s="130">
        <v>0.16666666666666666</v>
      </c>
      <c r="D792" s="130">
        <v>0.16666666666666666</v>
      </c>
      <c r="E792" s="130">
        <v>0.16666666666666666</v>
      </c>
      <c r="F792" s="130">
        <v>0.16666666666666666</v>
      </c>
      <c r="G792" s="130">
        <v>0.16666666666666666</v>
      </c>
      <c r="H792" s="130">
        <v>0.16666666666666666</v>
      </c>
      <c r="I792" s="130">
        <v>0.16666666666666666</v>
      </c>
      <c r="J792" s="130">
        <v>0</v>
      </c>
      <c r="K792" s="130">
        <v>0.16666666666666666</v>
      </c>
      <c r="L792" s="130">
        <v>0</v>
      </c>
      <c r="M792" s="130">
        <v>0</v>
      </c>
      <c r="N792" s="130">
        <v>0</v>
      </c>
      <c r="O7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793" spans="1:15" ht="15" customHeight="1" x14ac:dyDescent="0.25">
      <c r="A793" s="15">
        <v>33062562883</v>
      </c>
      <c r="B793" s="16" t="str">
        <f>VLOOKUP(Projeção[[#This Row],[Código]],BD_Produto[#All],6,FALSE)</f>
        <v>Pasta para plastificação Fellowes A3 - 125mic - 100pç  - PN:5307507</v>
      </c>
      <c r="C793" s="130">
        <v>0</v>
      </c>
      <c r="D793" s="130">
        <v>0</v>
      </c>
      <c r="E793" s="130">
        <v>0</v>
      </c>
      <c r="F793" s="130">
        <v>0</v>
      </c>
      <c r="G793" s="130">
        <v>0</v>
      </c>
      <c r="H793" s="130">
        <v>0</v>
      </c>
      <c r="I793" s="130">
        <v>0</v>
      </c>
      <c r="J793" s="130">
        <v>0.16666666666666663</v>
      </c>
      <c r="K793" s="130">
        <v>0</v>
      </c>
      <c r="L793" s="130">
        <v>0.16666666666666663</v>
      </c>
      <c r="M793" s="130">
        <v>9.9999999999999992E-2</v>
      </c>
      <c r="N793" s="130">
        <v>9.9999999999999992E-2</v>
      </c>
      <c r="O7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1.2666666666666666</v>
      </c>
    </row>
    <row r="794" spans="1:15" ht="15" customHeight="1" x14ac:dyDescent="0.25">
      <c r="A794" s="15">
        <v>33062562885</v>
      </c>
      <c r="B794" s="16" t="str">
        <f>VLOOKUP(Projeção[[#This Row],[Código]],BD_Produto[#All],6,FALSE)</f>
        <v>Pasta para plastificação Fellowes A3 - 175mic - 100pç  - PN:5308804</v>
      </c>
      <c r="C794" s="130">
        <v>0.19999999999999998</v>
      </c>
      <c r="D794" s="130">
        <v>0.19999999999999998</v>
      </c>
      <c r="E794" s="130">
        <v>0.19999999999999998</v>
      </c>
      <c r="F794" s="130">
        <v>0.19999999999999998</v>
      </c>
      <c r="G794" s="130">
        <v>0.19999999999999998</v>
      </c>
      <c r="H794" s="130">
        <v>0.19999999999999998</v>
      </c>
      <c r="I794" s="130">
        <v>0.19999999999999998</v>
      </c>
      <c r="J794" s="130">
        <v>0</v>
      </c>
      <c r="K794" s="130">
        <v>0.19999999999999998</v>
      </c>
      <c r="L794" s="130">
        <v>0</v>
      </c>
      <c r="M794" s="130">
        <v>0</v>
      </c>
      <c r="N794" s="130">
        <v>0</v>
      </c>
      <c r="O7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2.2666666666666666</v>
      </c>
    </row>
    <row r="795" spans="1:15" ht="15" customHeight="1" x14ac:dyDescent="0.25">
      <c r="A795" s="15">
        <v>33062562887</v>
      </c>
      <c r="B795" s="16" t="str">
        <f>VLOOKUP(Projeção[[#This Row],[Código]],BD_Produto[#All],6,FALSE)</f>
        <v>Pasta para plastificação Fellowes A4 - 100mic - 100pç  - PN:5351113</v>
      </c>
      <c r="C795" s="130">
        <v>1.0333333333333334</v>
      </c>
      <c r="D795" s="130">
        <v>0.89999999999999991</v>
      </c>
      <c r="E795" s="130">
        <v>0.36666666666666664</v>
      </c>
      <c r="F795" s="130">
        <v>0.36666666666666664</v>
      </c>
      <c r="G795" s="130">
        <v>0.36666666666666664</v>
      </c>
      <c r="H795" s="130">
        <v>2.5333333333333332</v>
      </c>
      <c r="I795" s="130">
        <v>2.5333333333333332</v>
      </c>
      <c r="J795" s="130">
        <v>2.1999999999999997</v>
      </c>
      <c r="K795" s="130">
        <v>2.5333333333333332</v>
      </c>
      <c r="L795" s="130">
        <v>0.46666666666666667</v>
      </c>
      <c r="M795" s="130">
        <v>1.333333333333333</v>
      </c>
      <c r="N795" s="130">
        <v>1.2999999999999998</v>
      </c>
      <c r="O7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0.43333333333333329</v>
      </c>
    </row>
    <row r="796" spans="1:15" x14ac:dyDescent="0.25">
      <c r="A796" s="15">
        <v>33062562882</v>
      </c>
      <c r="B796" s="16" t="str">
        <f>VLOOKUP(Projeção[[#This Row],[Código]],BD_Produto[#All],6,FALSE)</f>
        <v>Pasta para plastificação Fellowes A4 - 125mic - 100pç  - PN:5307409</v>
      </c>
      <c r="C796" s="130">
        <v>0.5</v>
      </c>
      <c r="D796" s="130">
        <v>0.5</v>
      </c>
      <c r="E796" s="130">
        <v>0.5</v>
      </c>
      <c r="F796" s="130">
        <v>1.0666666666666667</v>
      </c>
      <c r="G796" s="130">
        <v>2.1999999999999997</v>
      </c>
      <c r="H796" s="130">
        <v>2</v>
      </c>
      <c r="I796" s="130">
        <v>1.1666666666666667</v>
      </c>
      <c r="J796" s="130">
        <v>1.7</v>
      </c>
      <c r="K796" s="130">
        <v>2</v>
      </c>
      <c r="L796" s="130">
        <v>0.5</v>
      </c>
      <c r="M796" s="130">
        <v>1.0333333333333334</v>
      </c>
      <c r="N796" s="130">
        <v>0.6333333333333333</v>
      </c>
      <c r="O7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1.7999999999999998</v>
      </c>
    </row>
    <row r="797" spans="1:15" ht="15" customHeight="1" x14ac:dyDescent="0.25">
      <c r="A797" s="15">
        <v>33062562889</v>
      </c>
      <c r="B797" s="16" t="str">
        <f>VLOOKUP(Projeção[[#This Row],[Código]],BD_Produto[#All],6,FALSE)</f>
        <v>Pasta para plastificação Fellowes A4 - 125mic - 25pç  - PN:5396303</v>
      </c>
      <c r="C797" s="130">
        <v>0.16666666666666666</v>
      </c>
      <c r="D797" s="130">
        <v>0.16666666666666666</v>
      </c>
      <c r="E797" s="130">
        <v>0.16666666666666666</v>
      </c>
      <c r="F797" s="130">
        <v>0.16666666666666666</v>
      </c>
      <c r="G797" s="130">
        <v>1.1333333333333331</v>
      </c>
      <c r="H797" s="130">
        <v>0.33333333333333326</v>
      </c>
      <c r="I797" s="130">
        <v>0</v>
      </c>
      <c r="J797" s="130">
        <v>0.33333333333333326</v>
      </c>
      <c r="K797" s="130">
        <v>0.33333333333333326</v>
      </c>
      <c r="L797" s="130">
        <v>6.6666666666666666E-2</v>
      </c>
      <c r="M797" s="130">
        <v>0.19999999999999998</v>
      </c>
      <c r="N797" s="130">
        <v>6.6666666666666666E-2</v>
      </c>
      <c r="O7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9.2666666666666657</v>
      </c>
    </row>
    <row r="798" spans="1:15" ht="15" customHeight="1" x14ac:dyDescent="0.25">
      <c r="A798" s="15">
        <v>33062562884</v>
      </c>
      <c r="B798" s="16" t="str">
        <f>VLOOKUP(Projeção[[#This Row],[Código]],BD_Produto[#All],6,FALSE)</f>
        <v>Pasta para plastificação Fellowes A4 - 175mic - 100pç  - PN:5308704</v>
      </c>
      <c r="C798" s="130">
        <v>0.16666666666666666</v>
      </c>
      <c r="D798" s="130">
        <v>0.16666666666666666</v>
      </c>
      <c r="E798" s="130">
        <v>0.16666666666666666</v>
      </c>
      <c r="F798" s="130">
        <v>0.16666666666666666</v>
      </c>
      <c r="G798" s="130">
        <v>0.16666666666666666</v>
      </c>
      <c r="H798" s="130">
        <v>0.16666666666666666</v>
      </c>
      <c r="I798" s="130">
        <v>0.16666666666666666</v>
      </c>
      <c r="J798" s="130">
        <v>0</v>
      </c>
      <c r="K798" s="130">
        <v>0.16666666666666666</v>
      </c>
      <c r="L798" s="130">
        <v>0</v>
      </c>
      <c r="M798" s="130">
        <v>0</v>
      </c>
      <c r="N798" s="130">
        <v>0</v>
      </c>
      <c r="O7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4.1333333333333337</v>
      </c>
    </row>
    <row r="799" spans="1:15" ht="15" customHeight="1" x14ac:dyDescent="0.25">
      <c r="A799" s="15">
        <v>33062562890</v>
      </c>
      <c r="B799" s="16" t="str">
        <f>VLOOKUP(Projeção[[#This Row],[Código]],BD_Produto[#All],6,FALSE)</f>
        <v>Pasta para plastificação Fellowes A4 - 250mic - 100pç  - PN:5401804</v>
      </c>
      <c r="C799" s="130">
        <v>0.26666666666666666</v>
      </c>
      <c r="D799" s="130">
        <v>0.26666666666666666</v>
      </c>
      <c r="E799" s="130">
        <v>0.26666666666666666</v>
      </c>
      <c r="F799" s="130">
        <v>0.26666666666666666</v>
      </c>
      <c r="G799" s="130">
        <v>0.26666666666666666</v>
      </c>
      <c r="H799" s="130">
        <v>0.26666666666666666</v>
      </c>
      <c r="I799" s="130">
        <v>0.26666666666666666</v>
      </c>
      <c r="J799" s="130">
        <v>0</v>
      </c>
      <c r="K799" s="130">
        <v>0.26666666666666666</v>
      </c>
      <c r="L799" s="130">
        <v>0</v>
      </c>
      <c r="M799" s="130">
        <v>0</v>
      </c>
      <c r="N799" s="130">
        <v>0</v>
      </c>
      <c r="O7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800" spans="1:15" ht="15" customHeight="1" x14ac:dyDescent="0.25">
      <c r="A800" s="15">
        <v>33062562886</v>
      </c>
      <c r="B800" s="16" t="str">
        <f>VLOOKUP(Projeção[[#This Row],[Código]],BD_Produto[#All],6,FALSE)</f>
        <v>Pasta para plastificação Fellowes A5 - 100mic - 100pç  - PN:5351003</v>
      </c>
      <c r="C800" s="130">
        <v>3.3333333333333333E-2</v>
      </c>
      <c r="D800" s="130">
        <v>3.3333333333333333E-2</v>
      </c>
      <c r="E800" s="130">
        <v>3.3333333333333333E-2</v>
      </c>
      <c r="F800" s="130">
        <v>3.3333333333333333E-2</v>
      </c>
      <c r="G800" s="130">
        <v>3.3333333333333333E-2</v>
      </c>
      <c r="H800" s="130">
        <v>3.3333333333333333E-2</v>
      </c>
      <c r="I800" s="130">
        <v>3.3333333333333333E-2</v>
      </c>
      <c r="J800" s="130">
        <v>3.3333333333333333E-2</v>
      </c>
      <c r="K800" s="130">
        <v>3.3333333333333333E-2</v>
      </c>
      <c r="L800" s="130">
        <v>0</v>
      </c>
      <c r="M800" s="130">
        <v>0</v>
      </c>
      <c r="N800" s="130">
        <v>0</v>
      </c>
      <c r="O8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01" spans="1:15" ht="15" customHeight="1" x14ac:dyDescent="0.25">
      <c r="A801" s="15">
        <v>33062562881</v>
      </c>
      <c r="B801" s="16" t="str">
        <f>VLOOKUP(Projeção[[#This Row],[Código]],BD_Produto[#All],6,FALSE)</f>
        <v>Pasta para plastificação Fellowes A5 - 125mic - 100pç  - PN:5307303</v>
      </c>
      <c r="C801" s="130">
        <v>0</v>
      </c>
      <c r="D801" s="130">
        <v>0</v>
      </c>
      <c r="E801" s="130">
        <v>0</v>
      </c>
      <c r="F801" s="130">
        <v>0</v>
      </c>
      <c r="G801" s="130">
        <v>0</v>
      </c>
      <c r="H801" s="130">
        <v>0</v>
      </c>
      <c r="I801" s="130">
        <v>0</v>
      </c>
      <c r="J801" s="130">
        <v>0</v>
      </c>
      <c r="K801" s="130">
        <v>0</v>
      </c>
      <c r="L801" s="130">
        <v>0</v>
      </c>
      <c r="M801" s="130">
        <v>0</v>
      </c>
      <c r="N801" s="130">
        <v>0</v>
      </c>
      <c r="O8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02" spans="1:15" ht="15" customHeight="1" x14ac:dyDescent="0.25">
      <c r="A802" s="15">
        <v>33062562880</v>
      </c>
      <c r="B802" s="16" t="str">
        <f>VLOOKUP(Projeção[[#This Row],[Código]],BD_Produto[#All],6,FALSE)</f>
        <v>Pasta para plastificação Fellowes A6 - 125mic - 100pç  - PN:5307202</v>
      </c>
      <c r="C802" s="130">
        <v>0</v>
      </c>
      <c r="D802" s="130">
        <v>0</v>
      </c>
      <c r="E802" s="130">
        <v>0</v>
      </c>
      <c r="F802" s="130">
        <v>0</v>
      </c>
      <c r="G802" s="130">
        <v>0</v>
      </c>
      <c r="H802" s="130">
        <v>0</v>
      </c>
      <c r="I802" s="130">
        <v>0</v>
      </c>
      <c r="J802" s="130">
        <v>0</v>
      </c>
      <c r="K802" s="130">
        <v>0</v>
      </c>
      <c r="L802" s="130">
        <v>0</v>
      </c>
      <c r="M802" s="130">
        <v>0</v>
      </c>
      <c r="N802" s="130">
        <v>0</v>
      </c>
      <c r="O8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03" spans="1:15" ht="15" customHeight="1" x14ac:dyDescent="0.25">
      <c r="A803" s="15">
        <v>33063263351</v>
      </c>
      <c r="B803" s="16" t="str">
        <f>VLOOKUP(Projeção[[#This Row],[Código]],BD_Produto[#All],6,FALSE)</f>
        <v>Pasta Suspensa Pendaflex Essential - Legal - Verde Brilho - Caixa com 25</v>
      </c>
      <c r="C803" s="130">
        <v>3.3333333333333333E-2</v>
      </c>
      <c r="D803" s="130">
        <v>3.3333333333333333E-2</v>
      </c>
      <c r="E803" s="130">
        <v>3.3333333333333333E-2</v>
      </c>
      <c r="F803" s="130">
        <v>0.6</v>
      </c>
      <c r="G803" s="130">
        <v>0.19999999999999998</v>
      </c>
      <c r="H803" s="130">
        <v>0.19999999999999998</v>
      </c>
      <c r="I803" s="130">
        <v>0.19999999999999998</v>
      </c>
      <c r="J803" s="130">
        <v>6.6666666666666666E-2</v>
      </c>
      <c r="K803" s="130">
        <v>0.19999999999999998</v>
      </c>
      <c r="L803" s="130">
        <v>3.3333333333333333E-2</v>
      </c>
      <c r="M803" s="130">
        <v>3.3333333333333333E-2</v>
      </c>
      <c r="N803" s="130">
        <v>3.3333333333333333E-2</v>
      </c>
      <c r="O8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1.6666666666666667</v>
      </c>
    </row>
    <row r="804" spans="1:15" ht="15" customHeight="1" x14ac:dyDescent="0.25">
      <c r="A804" s="15">
        <v>33063263348</v>
      </c>
      <c r="B804" s="16" t="str">
        <f>VLOOKUP(Projeção[[#This Row],[Código]],BD_Produto[#All],6,FALSE)</f>
        <v>Pasta Suspensa Pendaflex Essential- Legal - Amarelo - Caixa com 25</v>
      </c>
      <c r="C804" s="130">
        <v>3.0333333333333337</v>
      </c>
      <c r="D804" s="130">
        <v>0.96666666666666679</v>
      </c>
      <c r="E804" s="130">
        <v>0.96666666666666679</v>
      </c>
      <c r="F804" s="130">
        <v>0.86666666666666659</v>
      </c>
      <c r="G804" s="130">
        <v>0.46666666666666667</v>
      </c>
      <c r="H804" s="130">
        <v>0.46666666666666667</v>
      </c>
      <c r="I804" s="130">
        <v>0.46666666666666667</v>
      </c>
      <c r="J804" s="130">
        <v>0.33333333333333331</v>
      </c>
      <c r="K804" s="130">
        <v>0.46666666666666667</v>
      </c>
      <c r="L804" s="130">
        <v>0.96666666666666656</v>
      </c>
      <c r="M804" s="130">
        <v>1.1333333333333333</v>
      </c>
      <c r="N804" s="130">
        <v>0.6</v>
      </c>
      <c r="O8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1.7999999999999998</v>
      </c>
    </row>
    <row r="805" spans="1:15" ht="15" customHeight="1" x14ac:dyDescent="0.25">
      <c r="A805" s="15">
        <v>33063263347</v>
      </c>
      <c r="B805" s="16" t="str">
        <f>VLOOKUP(Projeção[[#This Row],[Código]],BD_Produto[#All],6,FALSE)</f>
        <v>Pasta Suspensa Pendaflex Essential- Legal - Azul - Caixa com 25</v>
      </c>
      <c r="C805" s="130">
        <v>11.166666666666666</v>
      </c>
      <c r="D805" s="130">
        <v>6.7333333333333325</v>
      </c>
      <c r="E805" s="130">
        <v>4.333333333333333</v>
      </c>
      <c r="F805" s="130">
        <v>11.833333333333334</v>
      </c>
      <c r="G805" s="130">
        <v>8.6000000000000014</v>
      </c>
      <c r="H805" s="130">
        <v>5.3999999999999995</v>
      </c>
      <c r="I805" s="130">
        <v>4.0666666666666673</v>
      </c>
      <c r="J805" s="130">
        <v>3.1333333333333333</v>
      </c>
      <c r="K805" s="130">
        <v>5.3999999999999995</v>
      </c>
      <c r="L805" s="130">
        <v>2.6999999999999997</v>
      </c>
      <c r="M805" s="130">
        <v>3.3666666666666663</v>
      </c>
      <c r="N805" s="130">
        <v>1.9666666666666668</v>
      </c>
      <c r="O8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1.7999999999999998</v>
      </c>
    </row>
    <row r="806" spans="1:15" ht="15" customHeight="1" x14ac:dyDescent="0.25">
      <c r="A806" s="15">
        <v>33063263349</v>
      </c>
      <c r="B806" s="16" t="str">
        <f>VLOOKUP(Projeção[[#This Row],[Código]],BD_Produto[#All],6,FALSE)</f>
        <v>Pasta Suspensa Pendaflex Essential- Legal - Laranja - Caixa com 25</v>
      </c>
      <c r="C806" s="130">
        <v>9.9999999999999992E-2</v>
      </c>
      <c r="D806" s="130">
        <v>9.9999999999999992E-2</v>
      </c>
      <c r="E806" s="130">
        <v>9.9999999999999992E-2</v>
      </c>
      <c r="F806" s="130">
        <v>1.2333333333333332</v>
      </c>
      <c r="G806" s="130">
        <v>0.43333333333333329</v>
      </c>
      <c r="H806" s="130">
        <v>0.39999999999999997</v>
      </c>
      <c r="I806" s="130">
        <v>0.39999999999999997</v>
      </c>
      <c r="J806" s="130">
        <v>6.6666666666666666E-2</v>
      </c>
      <c r="K806" s="130">
        <v>0.39999999999999997</v>
      </c>
      <c r="L806" s="130">
        <v>6.6666666666666666E-2</v>
      </c>
      <c r="M806" s="130">
        <v>6.6666666666666666E-2</v>
      </c>
      <c r="N806" s="130">
        <v>6.6666666666666666E-2</v>
      </c>
      <c r="O8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1.6666666666666667</v>
      </c>
    </row>
    <row r="807" spans="1:15" ht="15" customHeight="1" x14ac:dyDescent="0.25">
      <c r="A807" s="15">
        <v>33063263346</v>
      </c>
      <c r="B807" s="16" t="str">
        <f>VLOOKUP(Projeção[[#This Row],[Código]],BD_Produto[#All],6,FALSE)</f>
        <v>Pasta Suspensa Pendaflex Essential- Legal - Verde Standard - Caixa com 25</v>
      </c>
      <c r="C807" s="130">
        <v>6.6999999999999993</v>
      </c>
      <c r="D807" s="130">
        <v>2.2999999999999998</v>
      </c>
      <c r="E807" s="130">
        <v>455.63333333333327</v>
      </c>
      <c r="F807" s="130">
        <v>135.29999999999998</v>
      </c>
      <c r="G807" s="130">
        <v>134.46666666666664</v>
      </c>
      <c r="H807" s="130">
        <v>27.633333333333336</v>
      </c>
      <c r="I807" s="130">
        <v>27.633333333333336</v>
      </c>
      <c r="J807" s="130">
        <v>27.366666666666667</v>
      </c>
      <c r="K807" s="130">
        <v>27.633333333333336</v>
      </c>
      <c r="L807" s="130">
        <v>28.033333333333331</v>
      </c>
      <c r="M807" s="130">
        <v>32.699999999999996</v>
      </c>
      <c r="N807" s="130">
        <v>33.56666666666667</v>
      </c>
      <c r="O8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202.79999999999998</v>
      </c>
    </row>
    <row r="808" spans="1:15" ht="15" customHeight="1" x14ac:dyDescent="0.25">
      <c r="A808" s="15">
        <v>33063263350</v>
      </c>
      <c r="B808" s="16" t="str">
        <f>VLOOKUP(Projeção[[#This Row],[Código]],BD_Produto[#All],6,FALSE)</f>
        <v>Pasta Suspensa Pendaflex Essential- Legal - Vermelho - Caixa com 25</v>
      </c>
      <c r="C808" s="130">
        <v>9.9666666666666668</v>
      </c>
      <c r="D808" s="130">
        <v>7.8000000000000007</v>
      </c>
      <c r="E808" s="130">
        <v>4.0666666666666664</v>
      </c>
      <c r="F808" s="130">
        <v>3.3333333333333335</v>
      </c>
      <c r="G808" s="130">
        <v>3.1333333333333333</v>
      </c>
      <c r="H808" s="130">
        <v>1.9333333333333331</v>
      </c>
      <c r="I808" s="130">
        <v>1.4333333333333333</v>
      </c>
      <c r="J808" s="130">
        <v>1.6666666666666663</v>
      </c>
      <c r="K808" s="130">
        <v>1.9333333333333331</v>
      </c>
      <c r="L808" s="130">
        <v>1.2666666666666666</v>
      </c>
      <c r="M808" s="130">
        <v>1.4333333333333333</v>
      </c>
      <c r="N808" s="130">
        <v>1.0999999999999999</v>
      </c>
      <c r="O8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</v>
      </c>
    </row>
    <row r="809" spans="1:15" ht="15" customHeight="1" x14ac:dyDescent="0.25">
      <c r="A809" s="15">
        <v>33063263693</v>
      </c>
      <c r="B809" s="16" t="str">
        <f>VLOOKUP(Projeção[[#This Row],[Código]],BD_Produto[#All],6,FALSE)</f>
        <v xml:space="preserve">Pasta suspensa Pendaflex Reforçada – Alta Capacidade 2” - Verde – Legal – caixa c/25 </v>
      </c>
      <c r="C809" s="130">
        <v>0</v>
      </c>
      <c r="D809" s="130">
        <v>0</v>
      </c>
      <c r="E809" s="130">
        <v>0</v>
      </c>
      <c r="F809" s="130">
        <v>0</v>
      </c>
      <c r="G809" s="130">
        <v>0</v>
      </c>
      <c r="H809" s="130">
        <v>0</v>
      </c>
      <c r="I809" s="130">
        <v>0</v>
      </c>
      <c r="J809" s="130">
        <v>0</v>
      </c>
      <c r="K809" s="130">
        <v>0</v>
      </c>
      <c r="L809" s="130">
        <v>0</v>
      </c>
      <c r="M809" s="130">
        <v>0</v>
      </c>
      <c r="N809" s="130">
        <v>0</v>
      </c>
      <c r="O8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10" spans="1:15" ht="15" customHeight="1" x14ac:dyDescent="0.25">
      <c r="A810" s="15">
        <v>33063263692</v>
      </c>
      <c r="B810" s="16" t="str">
        <f>VLOOKUP(Projeção[[#This Row],[Código]],BD_Produto[#All],6,FALSE)</f>
        <v xml:space="preserve">Pasta suspensa Pendaflex Reforçada – Alta Capacidade 4” - Verde – Legal – caixa c/25 </v>
      </c>
      <c r="C810" s="130">
        <v>0</v>
      </c>
      <c r="D810" s="130">
        <v>0</v>
      </c>
      <c r="E810" s="130">
        <v>0</v>
      </c>
      <c r="F810" s="130">
        <v>0</v>
      </c>
      <c r="G810" s="130">
        <v>0</v>
      </c>
      <c r="H810" s="130">
        <v>0</v>
      </c>
      <c r="I810" s="130">
        <v>0</v>
      </c>
      <c r="J810" s="130">
        <v>0</v>
      </c>
      <c r="K810" s="130">
        <v>0</v>
      </c>
      <c r="L810" s="130">
        <v>0</v>
      </c>
      <c r="M810" s="130">
        <v>0</v>
      </c>
      <c r="N810" s="130">
        <v>0</v>
      </c>
      <c r="O8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11" spans="1:15" ht="15" customHeight="1" x14ac:dyDescent="0.25">
      <c r="A811" s="15">
        <v>33063263353</v>
      </c>
      <c r="B811" s="16" t="str">
        <f>VLOOKUP(Projeção[[#This Row],[Código]],BD_Produto[#All],6,FALSE)</f>
        <v>Pasta Suspensa Pendaflex Reforçada - Legal - Amarelo - Caixa com 25</v>
      </c>
      <c r="C811" s="130">
        <v>0.70000000000000007</v>
      </c>
      <c r="D811" s="130">
        <v>0.70000000000000007</v>
      </c>
      <c r="E811" s="130">
        <v>0.16666666666666666</v>
      </c>
      <c r="F811" s="130">
        <v>0.73333333333333328</v>
      </c>
      <c r="G811" s="130">
        <v>0.33333333333333326</v>
      </c>
      <c r="H811" s="130">
        <v>0.33333333333333326</v>
      </c>
      <c r="I811" s="130">
        <v>0.33333333333333326</v>
      </c>
      <c r="J811" s="130">
        <v>0.19999999999999998</v>
      </c>
      <c r="K811" s="130">
        <v>0.33333333333333326</v>
      </c>
      <c r="L811" s="130">
        <v>0.16666666666666666</v>
      </c>
      <c r="M811" s="130">
        <v>0.16666666666666666</v>
      </c>
      <c r="N811" s="130">
        <v>0.16666666666666666</v>
      </c>
      <c r="O8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1.9</v>
      </c>
    </row>
    <row r="812" spans="1:15" ht="15" customHeight="1" x14ac:dyDescent="0.25">
      <c r="A812" s="15">
        <v>33063263352</v>
      </c>
      <c r="B812" s="16" t="str">
        <f>VLOOKUP(Projeção[[#This Row],[Código]],BD_Produto[#All],6,FALSE)</f>
        <v>Pasta Suspensa Pendaflex Reforçada - Legal - Azul - Caixa com 25</v>
      </c>
      <c r="C812" s="130">
        <v>16.266666666666666</v>
      </c>
      <c r="D812" s="130">
        <v>10.299999999999999</v>
      </c>
      <c r="E812" s="130">
        <v>5.7666666666666675</v>
      </c>
      <c r="F812" s="130">
        <v>3.1</v>
      </c>
      <c r="G812" s="130">
        <v>6.2333333333333334</v>
      </c>
      <c r="H812" s="130">
        <v>3.3666666666666663</v>
      </c>
      <c r="I812" s="130">
        <v>2.1999999999999997</v>
      </c>
      <c r="J812" s="130">
        <v>3.1999999999999997</v>
      </c>
      <c r="K812" s="130">
        <v>3.3666666666666663</v>
      </c>
      <c r="L812" s="130">
        <v>1.9</v>
      </c>
      <c r="M812" s="130">
        <v>2.3666666666666667</v>
      </c>
      <c r="N812" s="130">
        <v>1.7</v>
      </c>
      <c r="O8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1.7666666666666668</v>
      </c>
    </row>
    <row r="813" spans="1:15" ht="15" customHeight="1" x14ac:dyDescent="0.25">
      <c r="A813" s="15">
        <v>33063263355</v>
      </c>
      <c r="B813" s="16" t="str">
        <f>VLOOKUP(Projeção[[#This Row],[Código]],BD_Produto[#All],6,FALSE)</f>
        <v>Pasta Suspensa Pendaflex Reforçada - Legal - Vermelho - Caixa com 25</v>
      </c>
      <c r="C813" s="130">
        <v>8.5333333333333332</v>
      </c>
      <c r="D813" s="130">
        <v>3.9</v>
      </c>
      <c r="E813" s="130">
        <v>4.3999999999999995</v>
      </c>
      <c r="F813" s="130">
        <v>3.3</v>
      </c>
      <c r="G813" s="130">
        <v>2.9333333333333331</v>
      </c>
      <c r="H813" s="130">
        <v>1.7333333333333332</v>
      </c>
      <c r="I813" s="130">
        <v>1.4000000000000001</v>
      </c>
      <c r="J813" s="130">
        <v>1.333333333333333</v>
      </c>
      <c r="K813" s="130">
        <v>1.7333333333333332</v>
      </c>
      <c r="L813" s="130">
        <v>1.0333333333333334</v>
      </c>
      <c r="M813" s="130">
        <v>1.1333333333333333</v>
      </c>
      <c r="N813" s="130">
        <v>0.89999999999999991</v>
      </c>
      <c r="O8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2.1333333333333333</v>
      </c>
    </row>
    <row r="814" spans="1:15" ht="15" customHeight="1" x14ac:dyDescent="0.25">
      <c r="A814" s="15">
        <v>33063263354</v>
      </c>
      <c r="B814" s="16" t="str">
        <f>VLOOKUP(Projeção[[#This Row],[Código]],BD_Produto[#All],6,FALSE)</f>
        <v>Pasta Suspensa Pendaflex Reforçada -Legal - Laranja - Caixa com 25</v>
      </c>
      <c r="C814" s="130">
        <v>0.70000000000000007</v>
      </c>
      <c r="D814" s="130">
        <v>0.70000000000000007</v>
      </c>
      <c r="E814" s="130">
        <v>0.16666666666666666</v>
      </c>
      <c r="F814" s="130">
        <v>0.16666666666666666</v>
      </c>
      <c r="G814" s="130">
        <v>0.16666666666666666</v>
      </c>
      <c r="H814" s="130">
        <v>0.16666666666666666</v>
      </c>
      <c r="I814" s="130">
        <v>0.16666666666666666</v>
      </c>
      <c r="J814" s="130">
        <v>0.16666666666666666</v>
      </c>
      <c r="K814" s="130">
        <v>0.16666666666666666</v>
      </c>
      <c r="L814" s="130">
        <v>0.13333333333333333</v>
      </c>
      <c r="M814" s="130">
        <v>0.13333333333333333</v>
      </c>
      <c r="N814" s="130">
        <v>0.13333333333333333</v>
      </c>
      <c r="O8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1.9</v>
      </c>
    </row>
    <row r="815" spans="1:15" ht="15" customHeight="1" x14ac:dyDescent="0.25">
      <c r="A815" s="15">
        <v>33063263356</v>
      </c>
      <c r="B815" s="16" t="str">
        <f>VLOOKUP(Projeção[[#This Row],[Código]],BD_Produto[#All],6,FALSE)</f>
        <v>Pasta Suspensa Pendaflex Reforçada -Legal - Verde Brilho - Caixa com 25</v>
      </c>
      <c r="C815" s="130">
        <v>3.7</v>
      </c>
      <c r="D815" s="130">
        <v>1.5666666666666667</v>
      </c>
      <c r="E815" s="130">
        <v>1.0333333333333334</v>
      </c>
      <c r="F815" s="130">
        <v>0.36666666666666664</v>
      </c>
      <c r="G815" s="130">
        <v>0.36666666666666664</v>
      </c>
      <c r="H815" s="130">
        <v>0.36666666666666664</v>
      </c>
      <c r="I815" s="130">
        <v>0.36666666666666664</v>
      </c>
      <c r="J815" s="130">
        <v>0.36666666666666664</v>
      </c>
      <c r="K815" s="130">
        <v>0.36666666666666664</v>
      </c>
      <c r="L815" s="130">
        <v>0.33333333333333331</v>
      </c>
      <c r="M815" s="130">
        <v>0.33333333333333331</v>
      </c>
      <c r="N815" s="130">
        <v>0.3</v>
      </c>
      <c r="O8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1.6666666666666667</v>
      </c>
    </row>
    <row r="816" spans="1:15" ht="15" customHeight="1" x14ac:dyDescent="0.25">
      <c r="A816" s="15">
        <v>33063263359</v>
      </c>
      <c r="B816" s="16" t="str">
        <f>VLOOKUP(Projeção[[#This Row],[Código]],BD_Produto[#All],6,FALSE)</f>
        <v>Pasta Suspensa Pendaflex Surehook - Legal - Laranja - Caixa com 20</v>
      </c>
      <c r="C816" s="130">
        <v>3.3333333333333333E-2</v>
      </c>
      <c r="D816" s="130">
        <v>3.3333333333333333E-2</v>
      </c>
      <c r="E816" s="130">
        <v>3.3333333333333333E-2</v>
      </c>
      <c r="F816" s="130">
        <v>0.6</v>
      </c>
      <c r="G816" s="130">
        <v>0.19999999999999998</v>
      </c>
      <c r="H816" s="130">
        <v>0.16666666666666663</v>
      </c>
      <c r="I816" s="130">
        <v>0.16666666666666663</v>
      </c>
      <c r="J816" s="130">
        <v>3.3333333333333333E-2</v>
      </c>
      <c r="K816" s="130">
        <v>0.16666666666666663</v>
      </c>
      <c r="L816" s="130">
        <v>3.3333333333333333E-2</v>
      </c>
      <c r="M816" s="130">
        <v>3.3333333333333333E-2</v>
      </c>
      <c r="N816" s="130">
        <v>3.3333333333333333E-2</v>
      </c>
      <c r="O8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17" spans="1:15" x14ac:dyDescent="0.25">
      <c r="A817" s="15">
        <v>33063263361</v>
      </c>
      <c r="B817" s="16" t="str">
        <f>VLOOKUP(Projeção[[#This Row],[Código]],BD_Produto[#All],6,FALSE)</f>
        <v>Pasta Suspensa Pendaflex Surehook - Legal - Verde Brilho - Caixa com 20</v>
      </c>
      <c r="C817" s="130">
        <v>5.666666666666667</v>
      </c>
      <c r="D817" s="130">
        <v>1.6666666666666667</v>
      </c>
      <c r="E817" s="130">
        <v>1.6666666666666667</v>
      </c>
      <c r="F817" s="130">
        <v>0.33333333333333331</v>
      </c>
      <c r="G817" s="130">
        <v>0.89999999999999991</v>
      </c>
      <c r="H817" s="130">
        <v>4.6666666666666661</v>
      </c>
      <c r="I817" s="130">
        <v>4.6666666666666661</v>
      </c>
      <c r="J817" s="130">
        <v>4.6666666666666661</v>
      </c>
      <c r="K817" s="130">
        <v>4.6666666666666661</v>
      </c>
      <c r="L817" s="130">
        <v>1.2</v>
      </c>
      <c r="M817" s="130">
        <v>2.9333333333333331</v>
      </c>
      <c r="N817" s="130">
        <v>2.8666666666666667</v>
      </c>
      <c r="O8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18" spans="1:15" ht="15" customHeight="1" x14ac:dyDescent="0.25">
      <c r="A818" s="15">
        <v>33063263360</v>
      </c>
      <c r="B818" s="16" t="str">
        <f>VLOOKUP(Projeção[[#This Row],[Código]],BD_Produto[#All],6,FALSE)</f>
        <v>Pasta Suspensa Pendaflex Surehook - Legal - Vermelho- Caixa com 20</v>
      </c>
      <c r="C818" s="130">
        <v>2.8333333333333335</v>
      </c>
      <c r="D818" s="130">
        <v>0.83333333333333337</v>
      </c>
      <c r="E818" s="130">
        <v>0.83333333333333337</v>
      </c>
      <c r="F818" s="130">
        <v>0.16666666666666666</v>
      </c>
      <c r="G818" s="130">
        <v>0.73333333333333328</v>
      </c>
      <c r="H818" s="130">
        <v>8.6666666666666661</v>
      </c>
      <c r="I818" s="130">
        <v>8.6666666666666661</v>
      </c>
      <c r="J818" s="130">
        <v>8.6666666666666661</v>
      </c>
      <c r="K818" s="130">
        <v>8.6666666666666661</v>
      </c>
      <c r="L818" s="130">
        <v>1.8666666666666667</v>
      </c>
      <c r="M818" s="130">
        <v>5.2666666666666666</v>
      </c>
      <c r="N818" s="130">
        <v>5.1999999999999993</v>
      </c>
      <c r="O8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19" spans="1:15" ht="15" customHeight="1" x14ac:dyDescent="0.25">
      <c r="A819" s="15">
        <v>33063263358</v>
      </c>
      <c r="B819" s="16" t="str">
        <f>VLOOKUP(Projeção[[#This Row],[Código]],BD_Produto[#All],6,FALSE)</f>
        <v>Pasta Suspensa Pendaflex Surehook -Legal - Amarela - Caixa com 20</v>
      </c>
      <c r="C819" s="130">
        <v>2.8333333333333335</v>
      </c>
      <c r="D819" s="130">
        <v>0.83333333333333337</v>
      </c>
      <c r="E819" s="130">
        <v>0.83333333333333337</v>
      </c>
      <c r="F819" s="130">
        <v>0.16666666666666666</v>
      </c>
      <c r="G819" s="130">
        <v>0.16666666666666666</v>
      </c>
      <c r="H819" s="130">
        <v>0.16666666666666666</v>
      </c>
      <c r="I819" s="130">
        <v>0.16666666666666666</v>
      </c>
      <c r="J819" s="130">
        <v>0.16666666666666666</v>
      </c>
      <c r="K819" s="130">
        <v>0.16666666666666666</v>
      </c>
      <c r="L819" s="130">
        <v>0.16666666666666666</v>
      </c>
      <c r="M819" s="130">
        <v>0.16666666666666666</v>
      </c>
      <c r="N819" s="130">
        <v>0.16666666666666666</v>
      </c>
      <c r="O8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0" spans="1:15" ht="15" customHeight="1" x14ac:dyDescent="0.25">
      <c r="A820" s="15">
        <v>33063263357</v>
      </c>
      <c r="B820" s="16" t="str">
        <f>VLOOKUP(Projeção[[#This Row],[Código]],BD_Produto[#All],6,FALSE)</f>
        <v>Pasta Suspensa Pendaflex Surehook -Legal - Azul - Caixa com 20</v>
      </c>
      <c r="C820" s="130">
        <v>3.4333333333333331</v>
      </c>
      <c r="D820" s="130">
        <v>2.7333333333333329</v>
      </c>
      <c r="E820" s="130">
        <v>1.5333333333333334</v>
      </c>
      <c r="F820" s="130">
        <v>0.73333333333333339</v>
      </c>
      <c r="G820" s="130">
        <v>0.33333333333333331</v>
      </c>
      <c r="H820" s="130">
        <v>12.833333333333334</v>
      </c>
      <c r="I820" s="130">
        <v>12.733333333333333</v>
      </c>
      <c r="J820" s="130">
        <v>12.833333333333334</v>
      </c>
      <c r="K820" s="130">
        <v>12.833333333333334</v>
      </c>
      <c r="L820" s="130">
        <v>2.8333333333333335</v>
      </c>
      <c r="M820" s="130">
        <v>7.8</v>
      </c>
      <c r="N820" s="130">
        <v>7.8</v>
      </c>
      <c r="O8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1" spans="1:15" ht="15" customHeight="1" x14ac:dyDescent="0.25">
      <c r="A821" s="15">
        <v>33102263137</v>
      </c>
      <c r="B821" s="16" t="str">
        <f>VLOOKUP(Projeção[[#This Row],[Código]],BD_Produto[#All],6,FALSE)</f>
        <v>PEBBLE - DISPOSITIVO DE SOM POR VIBRAÇÃO / PRATA - YOUTS</v>
      </c>
      <c r="C821" s="130">
        <v>0.26666666666666666</v>
      </c>
      <c r="D821" s="130">
        <v>0.23333333333333334</v>
      </c>
      <c r="E821" s="130">
        <v>3.3333333333333333E-2</v>
      </c>
      <c r="F821" s="130">
        <v>3.3333333333333333E-2</v>
      </c>
      <c r="G821" s="130">
        <v>3.3333333333333333E-2</v>
      </c>
      <c r="H821" s="130">
        <v>0.19999999999999998</v>
      </c>
      <c r="I821" s="130">
        <v>0.16666666666666663</v>
      </c>
      <c r="J821" s="130">
        <v>0.16666666666666663</v>
      </c>
      <c r="K821" s="130">
        <v>0.19999999999999998</v>
      </c>
      <c r="L821" s="130">
        <v>3.3333333333333333E-2</v>
      </c>
      <c r="M821" s="130">
        <v>0.33333333333333326</v>
      </c>
      <c r="N821" s="130">
        <v>0.56666666666666654</v>
      </c>
      <c r="O8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0.4333333333333334</v>
      </c>
    </row>
    <row r="822" spans="1:15" ht="15" customHeight="1" x14ac:dyDescent="0.25">
      <c r="A822" s="15">
        <v>33070460896</v>
      </c>
      <c r="B822" s="16" t="str">
        <f>VLOOKUP(Projeção[[#This Row],[Código]],BD_Produto[#All],6,FALSE)</f>
        <v>PECA PERFURADORA SUPERIOR DO JK1219 REF 135079 (UPPER PUNCH)</v>
      </c>
      <c r="C822" s="130">
        <v>0</v>
      </c>
      <c r="D822" s="130">
        <v>0</v>
      </c>
      <c r="E822" s="130">
        <v>0</v>
      </c>
      <c r="F822" s="130">
        <v>0</v>
      </c>
      <c r="G822" s="130">
        <v>0</v>
      </c>
      <c r="H822" s="130">
        <v>0</v>
      </c>
      <c r="I822" s="130">
        <v>0</v>
      </c>
      <c r="J822" s="130">
        <v>0</v>
      </c>
      <c r="K822" s="130">
        <v>0</v>
      </c>
      <c r="L822" s="130">
        <v>0</v>
      </c>
      <c r="M822" s="130">
        <v>0</v>
      </c>
      <c r="N822" s="130">
        <v>0</v>
      </c>
      <c r="O8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3" spans="1:15" x14ac:dyDescent="0.25">
      <c r="A823" s="15">
        <v>33100262756</v>
      </c>
      <c r="B823" s="16" t="str">
        <f>VLOOKUP(Projeção[[#This Row],[Código]],BD_Produto[#All],6,FALSE)</f>
        <v>Pen Drive Bracelete - 4G - Amarelo - Ed.Rock in Rio</v>
      </c>
      <c r="C823" s="130">
        <v>0</v>
      </c>
      <c r="D823" s="130">
        <v>0</v>
      </c>
      <c r="E823" s="130">
        <v>0</v>
      </c>
      <c r="F823" s="130">
        <v>0</v>
      </c>
      <c r="G823" s="130">
        <v>0</v>
      </c>
      <c r="H823" s="130">
        <v>0</v>
      </c>
      <c r="I823" s="130">
        <v>0</v>
      </c>
      <c r="J823" s="130">
        <v>0</v>
      </c>
      <c r="K823" s="130">
        <v>0</v>
      </c>
      <c r="L823" s="130">
        <v>0</v>
      </c>
      <c r="M823" s="130">
        <v>0</v>
      </c>
      <c r="N823" s="130">
        <v>0</v>
      </c>
      <c r="O8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4" spans="1:15" x14ac:dyDescent="0.25">
      <c r="A824" s="15">
        <v>33100262758</v>
      </c>
      <c r="B824" s="16" t="str">
        <f>VLOOKUP(Projeção[[#This Row],[Código]],BD_Produto[#All],6,FALSE)</f>
        <v>Pen Drive Bracelete - 4G - Azul - Ed.Rock in Rio</v>
      </c>
      <c r="C824" s="130">
        <v>0</v>
      </c>
      <c r="D824" s="130">
        <v>0</v>
      </c>
      <c r="E824" s="130">
        <v>0</v>
      </c>
      <c r="F824" s="130">
        <v>0</v>
      </c>
      <c r="G824" s="130">
        <v>0</v>
      </c>
      <c r="H824" s="130">
        <v>0</v>
      </c>
      <c r="I824" s="130">
        <v>0</v>
      </c>
      <c r="J824" s="130">
        <v>0</v>
      </c>
      <c r="K824" s="130">
        <v>0</v>
      </c>
      <c r="L824" s="130">
        <v>0</v>
      </c>
      <c r="M824" s="130">
        <v>0</v>
      </c>
      <c r="N824" s="130">
        <v>0</v>
      </c>
      <c r="O8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5" spans="1:15" x14ac:dyDescent="0.25">
      <c r="A825" s="15">
        <v>33100262755</v>
      </c>
      <c r="B825" s="16" t="str">
        <f>VLOOKUP(Projeção[[#This Row],[Código]],BD_Produto[#All],6,FALSE)</f>
        <v>Pen Drive Bracelete - 4G - Laranja - Ed.Rock in Rio</v>
      </c>
      <c r="C825" s="130">
        <v>0</v>
      </c>
      <c r="D825" s="130">
        <v>0</v>
      </c>
      <c r="E825" s="130">
        <v>0</v>
      </c>
      <c r="F825" s="130">
        <v>0</v>
      </c>
      <c r="G825" s="130">
        <v>0</v>
      </c>
      <c r="H825" s="130">
        <v>0</v>
      </c>
      <c r="I825" s="130">
        <v>0</v>
      </c>
      <c r="J825" s="130">
        <v>0</v>
      </c>
      <c r="K825" s="130">
        <v>0</v>
      </c>
      <c r="L825" s="130">
        <v>0</v>
      </c>
      <c r="M825" s="130">
        <v>0</v>
      </c>
      <c r="N825" s="130">
        <v>0</v>
      </c>
      <c r="O8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6" spans="1:15" x14ac:dyDescent="0.25">
      <c r="A826" s="15">
        <v>33100262757</v>
      </c>
      <c r="B826" s="16" t="str">
        <f>VLOOKUP(Projeção[[#This Row],[Código]],BD_Produto[#All],6,FALSE)</f>
        <v>Pen Drive Bracelete - 4G - Rosa - Ed.Rock in Rio</v>
      </c>
      <c r="C826" s="130">
        <v>0</v>
      </c>
      <c r="D826" s="130">
        <v>0</v>
      </c>
      <c r="E826" s="130">
        <v>0</v>
      </c>
      <c r="F826" s="130">
        <v>0</v>
      </c>
      <c r="G826" s="130">
        <v>0</v>
      </c>
      <c r="H826" s="130">
        <v>0</v>
      </c>
      <c r="I826" s="130">
        <v>0</v>
      </c>
      <c r="J826" s="130">
        <v>0</v>
      </c>
      <c r="K826" s="130">
        <v>0</v>
      </c>
      <c r="L826" s="130">
        <v>0</v>
      </c>
      <c r="M826" s="130">
        <v>0</v>
      </c>
      <c r="N826" s="130">
        <v>0</v>
      </c>
      <c r="O8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7" spans="1:15" x14ac:dyDescent="0.25">
      <c r="A827" s="15">
        <v>33100262754</v>
      </c>
      <c r="B827" s="16" t="str">
        <f>VLOOKUP(Projeção[[#This Row],[Código]],BD_Produto[#All],6,FALSE)</f>
        <v>Pen Drive Bracelete - 4G - Verde - Ed.Rock in Rio</v>
      </c>
      <c r="C827" s="130">
        <v>0</v>
      </c>
      <c r="D827" s="130">
        <v>0</v>
      </c>
      <c r="E827" s="130">
        <v>0</v>
      </c>
      <c r="F827" s="130">
        <v>0</v>
      </c>
      <c r="G827" s="130">
        <v>0</v>
      </c>
      <c r="H827" s="130">
        <v>0</v>
      </c>
      <c r="I827" s="130">
        <v>0</v>
      </c>
      <c r="J827" s="130">
        <v>0</v>
      </c>
      <c r="K827" s="130">
        <v>0</v>
      </c>
      <c r="L827" s="130">
        <v>0</v>
      </c>
      <c r="M827" s="130">
        <v>0</v>
      </c>
      <c r="N827" s="130">
        <v>0</v>
      </c>
      <c r="O8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8" spans="1:15" x14ac:dyDescent="0.25">
      <c r="A828" s="15">
        <v>33100262821</v>
      </c>
      <c r="B828" s="16" t="str">
        <f>VLOOKUP(Projeção[[#This Row],[Código]],BD_Produto[#All],6,FALSE)</f>
        <v>Pen Drive Youts Modelo Guitarra - Ed.Rock in Rio</v>
      </c>
      <c r="C828" s="130">
        <v>0</v>
      </c>
      <c r="D828" s="130">
        <v>0</v>
      </c>
      <c r="E828" s="130">
        <v>0</v>
      </c>
      <c r="F828" s="130">
        <v>0</v>
      </c>
      <c r="G828" s="130">
        <v>0</v>
      </c>
      <c r="H828" s="130">
        <v>0</v>
      </c>
      <c r="I828" s="130">
        <v>0</v>
      </c>
      <c r="J828" s="130">
        <v>0</v>
      </c>
      <c r="K828" s="130">
        <v>0</v>
      </c>
      <c r="L828" s="130">
        <v>0</v>
      </c>
      <c r="M828" s="130">
        <v>0</v>
      </c>
      <c r="N828" s="130">
        <v>0</v>
      </c>
      <c r="O8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29" spans="1:15" ht="15" customHeight="1" x14ac:dyDescent="0.25">
      <c r="A829" s="15">
        <v>33060714790</v>
      </c>
      <c r="B829" s="16" t="str">
        <f>VLOOKUP(Projeção[[#This Row],[Código]],BD_Produto[#All],6,FALSE)</f>
        <v xml:space="preserve">PERFURADOR RAPID ALU 15 </v>
      </c>
      <c r="C829" s="130">
        <v>0</v>
      </c>
      <c r="D829" s="130">
        <v>0</v>
      </c>
      <c r="E829" s="130">
        <v>0</v>
      </c>
      <c r="F829" s="130">
        <v>0</v>
      </c>
      <c r="G829" s="130">
        <v>0</v>
      </c>
      <c r="H829" s="130">
        <v>0</v>
      </c>
      <c r="I829" s="130">
        <v>0</v>
      </c>
      <c r="J829" s="130">
        <v>0</v>
      </c>
      <c r="K829" s="130">
        <v>0</v>
      </c>
      <c r="L829" s="130">
        <v>0</v>
      </c>
      <c r="M829" s="130">
        <v>0</v>
      </c>
      <c r="N829" s="130">
        <v>0</v>
      </c>
      <c r="O8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0" spans="1:15" x14ac:dyDescent="0.25">
      <c r="A830" s="15">
        <v>33060714637</v>
      </c>
      <c r="B830" s="16" t="str">
        <f>VLOOKUP(Projeção[[#This Row],[Código]],BD_Produto[#All],6,FALSE)</f>
        <v xml:space="preserve">PERFURADOR RAPID C-150 </v>
      </c>
      <c r="C830" s="130">
        <v>0</v>
      </c>
      <c r="D830" s="130">
        <v>0</v>
      </c>
      <c r="E830" s="130">
        <v>0</v>
      </c>
      <c r="F830" s="130">
        <v>0</v>
      </c>
      <c r="G830" s="130">
        <v>0</v>
      </c>
      <c r="H830" s="130">
        <v>0</v>
      </c>
      <c r="I830" s="130">
        <v>0</v>
      </c>
      <c r="J830" s="130">
        <v>0</v>
      </c>
      <c r="K830" s="130">
        <v>0</v>
      </c>
      <c r="L830" s="130">
        <v>0</v>
      </c>
      <c r="M830" s="130">
        <v>0</v>
      </c>
      <c r="N830" s="130">
        <v>0</v>
      </c>
      <c r="O8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1" spans="1:15" x14ac:dyDescent="0.25">
      <c r="A831" s="15">
        <v>33060714636</v>
      </c>
      <c r="B831" s="16" t="str">
        <f>VLOOKUP(Projeção[[#This Row],[Código]],BD_Produto[#All],6,FALSE)</f>
        <v xml:space="preserve">PERFURADOR RAPID C-20 </v>
      </c>
      <c r="C831" s="130">
        <v>6.8</v>
      </c>
      <c r="D831" s="130">
        <v>2</v>
      </c>
      <c r="E831" s="130">
        <v>2</v>
      </c>
      <c r="F831" s="130">
        <v>0.39999999999999997</v>
      </c>
      <c r="G831" s="130">
        <v>0.39999999999999997</v>
      </c>
      <c r="H831" s="130">
        <v>0.39999999999999997</v>
      </c>
      <c r="I831" s="130">
        <v>0.39999999999999997</v>
      </c>
      <c r="J831" s="130">
        <v>0.39999999999999997</v>
      </c>
      <c r="K831" s="130">
        <v>0.39999999999999997</v>
      </c>
      <c r="L831" s="130">
        <v>0.39999999999999997</v>
      </c>
      <c r="M831" s="130">
        <v>0.39999999999999997</v>
      </c>
      <c r="N831" s="130">
        <v>0.39999999999999997</v>
      </c>
      <c r="O8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2" spans="1:15" x14ac:dyDescent="0.25">
      <c r="A832" s="15">
        <v>33060714638</v>
      </c>
      <c r="B832" s="16" t="str">
        <f>VLOOKUP(Projeção[[#This Row],[Código]],BD_Produto[#All],6,FALSE)</f>
        <v xml:space="preserve">PERFURADOR RAPID C-30 </v>
      </c>
      <c r="C832" s="130">
        <v>0</v>
      </c>
      <c r="D832" s="130">
        <v>0</v>
      </c>
      <c r="E832" s="130">
        <v>0</v>
      </c>
      <c r="F832" s="130">
        <v>0</v>
      </c>
      <c r="G832" s="130">
        <v>0</v>
      </c>
      <c r="H832" s="130">
        <v>0</v>
      </c>
      <c r="I832" s="130">
        <v>0</v>
      </c>
      <c r="J832" s="130">
        <v>0</v>
      </c>
      <c r="K832" s="130">
        <v>0</v>
      </c>
      <c r="L832" s="130">
        <v>0</v>
      </c>
      <c r="M832" s="130">
        <v>0</v>
      </c>
      <c r="N832" s="130">
        <v>0</v>
      </c>
      <c r="O8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3" spans="1:15" ht="15" customHeight="1" x14ac:dyDescent="0.25">
      <c r="A833" s="15">
        <v>33060714918</v>
      </c>
      <c r="B833" s="16" t="str">
        <f>VLOOKUP(Projeção[[#This Row],[Código]],BD_Produto[#All],6,FALSE)</f>
        <v xml:space="preserve">PERFURADOR RAPID FMC25+ </v>
      </c>
      <c r="C833" s="130">
        <v>0</v>
      </c>
      <c r="D833" s="130">
        <v>0</v>
      </c>
      <c r="E833" s="130">
        <v>0</v>
      </c>
      <c r="F833" s="130">
        <v>0</v>
      </c>
      <c r="G833" s="130">
        <v>0</v>
      </c>
      <c r="H833" s="130">
        <v>0</v>
      </c>
      <c r="I833" s="130">
        <v>0</v>
      </c>
      <c r="J833" s="130">
        <v>0</v>
      </c>
      <c r="K833" s="130">
        <v>0</v>
      </c>
      <c r="L833" s="130">
        <v>0</v>
      </c>
      <c r="M833" s="130">
        <v>0</v>
      </c>
      <c r="N833" s="130">
        <v>0</v>
      </c>
      <c r="O8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4" spans="1:15" ht="15" customHeight="1" x14ac:dyDescent="0.25">
      <c r="A834" s="15">
        <v>33060761838</v>
      </c>
      <c r="B834" s="16" t="str">
        <f>VLOOKUP(Projeção[[#This Row],[Código]],BD_Produto[#All],6,FALSE)</f>
        <v xml:space="preserve">PERFURADOR RAPID HDC 300 </v>
      </c>
      <c r="C834" s="130">
        <v>0</v>
      </c>
      <c r="D834" s="130">
        <v>0</v>
      </c>
      <c r="E834" s="130">
        <v>0</v>
      </c>
      <c r="F834" s="130">
        <v>0</v>
      </c>
      <c r="G834" s="130">
        <v>0</v>
      </c>
      <c r="H834" s="130">
        <v>0</v>
      </c>
      <c r="I834" s="130">
        <v>0</v>
      </c>
      <c r="J834" s="130">
        <v>0</v>
      </c>
      <c r="K834" s="130">
        <v>0</v>
      </c>
      <c r="L834" s="130">
        <v>0</v>
      </c>
      <c r="M834" s="130">
        <v>0</v>
      </c>
      <c r="N834" s="130">
        <v>0</v>
      </c>
      <c r="O8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5" spans="1:15" x14ac:dyDescent="0.25">
      <c r="A835" s="15">
        <v>33060714945</v>
      </c>
      <c r="B835" s="16" t="str">
        <f>VLOOKUP(Projeção[[#This Row],[Código]],BD_Produto[#All],6,FALSE)</f>
        <v xml:space="preserve">PERFURADOR RAPID HDC65 - COR PRETA </v>
      </c>
      <c r="C835" s="130">
        <v>0</v>
      </c>
      <c r="D835" s="130">
        <v>0</v>
      </c>
      <c r="E835" s="130">
        <v>0</v>
      </c>
      <c r="F835" s="130">
        <v>0</v>
      </c>
      <c r="G835" s="130">
        <v>0</v>
      </c>
      <c r="H835" s="130">
        <v>0</v>
      </c>
      <c r="I835" s="130">
        <v>0</v>
      </c>
      <c r="J835" s="130">
        <v>0</v>
      </c>
      <c r="K835" s="130">
        <v>0</v>
      </c>
      <c r="L835" s="130">
        <v>0</v>
      </c>
      <c r="M835" s="130">
        <v>0</v>
      </c>
      <c r="N835" s="130">
        <v>0</v>
      </c>
      <c r="O8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6" spans="1:15" x14ac:dyDescent="0.25">
      <c r="A836" s="15">
        <v>33060714890</v>
      </c>
      <c r="B836" s="16" t="str">
        <f>VLOOKUP(Projeção[[#This Row],[Código]],BD_Produto[#All],6,FALSE)</f>
        <v xml:space="preserve">PERFURADOR RAPID KC3 </v>
      </c>
      <c r="C836" s="130">
        <v>0</v>
      </c>
      <c r="D836" s="130">
        <v>0</v>
      </c>
      <c r="E836" s="130">
        <v>0</v>
      </c>
      <c r="F836" s="130">
        <v>0</v>
      </c>
      <c r="G836" s="130">
        <v>0</v>
      </c>
      <c r="H836" s="130">
        <v>0</v>
      </c>
      <c r="I836" s="130">
        <v>0</v>
      </c>
      <c r="J836" s="130">
        <v>0</v>
      </c>
      <c r="K836" s="130">
        <v>0</v>
      </c>
      <c r="L836" s="130">
        <v>0</v>
      </c>
      <c r="M836" s="130">
        <v>0</v>
      </c>
      <c r="N836" s="130">
        <v>0</v>
      </c>
      <c r="O8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7" spans="1:15" x14ac:dyDescent="0.25">
      <c r="A837" s="15">
        <v>33060714900</v>
      </c>
      <c r="B837" s="16" t="str">
        <f>VLOOKUP(Projeção[[#This Row],[Código]],BD_Produto[#All],6,FALSE)</f>
        <v xml:space="preserve">PERFURADOR RAPID SC35 BRANCO </v>
      </c>
      <c r="C837" s="130">
        <v>6.8</v>
      </c>
      <c r="D837" s="130">
        <v>2</v>
      </c>
      <c r="E837" s="130">
        <v>2</v>
      </c>
      <c r="F837" s="130">
        <v>0.39999999999999997</v>
      </c>
      <c r="G837" s="130">
        <v>0.39999999999999997</v>
      </c>
      <c r="H837" s="130">
        <v>1.7333333333333332</v>
      </c>
      <c r="I837" s="130">
        <v>1.7333333333333332</v>
      </c>
      <c r="J837" s="130">
        <v>1.7333333333333332</v>
      </c>
      <c r="K837" s="130">
        <v>1.7333333333333332</v>
      </c>
      <c r="L837" s="130">
        <v>0.66666666666666663</v>
      </c>
      <c r="M837" s="130">
        <v>1.2</v>
      </c>
      <c r="N837" s="130">
        <v>1.2</v>
      </c>
      <c r="O8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8" spans="1:15" x14ac:dyDescent="0.25">
      <c r="A838" s="15">
        <v>33060714901</v>
      </c>
      <c r="B838" s="16" t="str">
        <f>VLOOKUP(Projeção[[#This Row],[Código]],BD_Produto[#All],6,FALSE)</f>
        <v xml:space="preserve">PERFURADOR RAPID SC35 PRETO </v>
      </c>
      <c r="C838" s="130">
        <v>6.8</v>
      </c>
      <c r="D838" s="130">
        <v>2</v>
      </c>
      <c r="E838" s="130">
        <v>2</v>
      </c>
      <c r="F838" s="130">
        <v>0.39999999999999997</v>
      </c>
      <c r="G838" s="130">
        <v>0.39999999999999997</v>
      </c>
      <c r="H838" s="130">
        <v>2.4</v>
      </c>
      <c r="I838" s="130">
        <v>2.4</v>
      </c>
      <c r="J838" s="130">
        <v>2.4</v>
      </c>
      <c r="K838" s="130">
        <v>2.4</v>
      </c>
      <c r="L838" s="130">
        <v>0.79999999999999993</v>
      </c>
      <c r="M838" s="130">
        <v>1.5999999999999999</v>
      </c>
      <c r="N838" s="130">
        <v>1.5999999999999999</v>
      </c>
      <c r="O8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39" spans="1:15" x14ac:dyDescent="0.25">
      <c r="A839" s="15">
        <v>33060763742</v>
      </c>
      <c r="B839" s="16" t="str">
        <f>VLOOKUP(Projeção[[#This Row],[Código]],BD_Produto[#All],6,FALSE)</f>
        <v>Perfurador, Metal Office Punch NeXXt - PN:5008-20-01</v>
      </c>
      <c r="C839" s="130">
        <v>0</v>
      </c>
      <c r="D839" s="130">
        <v>0</v>
      </c>
      <c r="E839" s="130">
        <v>0</v>
      </c>
      <c r="F839" s="130">
        <v>0</v>
      </c>
      <c r="G839" s="130">
        <v>0</v>
      </c>
      <c r="H839" s="130">
        <v>0</v>
      </c>
      <c r="I839" s="130">
        <v>0</v>
      </c>
      <c r="J839" s="130">
        <v>0</v>
      </c>
      <c r="K839" s="130">
        <v>0</v>
      </c>
      <c r="L839" s="130">
        <v>0</v>
      </c>
      <c r="M839" s="130">
        <v>0</v>
      </c>
      <c r="N839" s="130">
        <v>0</v>
      </c>
      <c r="O8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40" spans="1:15" ht="15" customHeight="1" x14ac:dyDescent="0.25">
      <c r="A840" s="15">
        <v>33060763744</v>
      </c>
      <c r="B840" s="16" t="str">
        <f>VLOOKUP(Projeção[[#This Row],[Código]],BD_Produto[#All],6,FALSE)</f>
        <v>Perfurador, Metal Office Punch NeXXt - PN:5008-60-95</v>
      </c>
      <c r="C840" s="130">
        <v>0</v>
      </c>
      <c r="D840" s="130">
        <v>0</v>
      </c>
      <c r="E840" s="130">
        <v>0</v>
      </c>
      <c r="F840" s="130">
        <v>0</v>
      </c>
      <c r="G840" s="130">
        <v>0</v>
      </c>
      <c r="H840" s="130">
        <v>0</v>
      </c>
      <c r="I840" s="130">
        <v>0</v>
      </c>
      <c r="J840" s="130">
        <v>0</v>
      </c>
      <c r="K840" s="130">
        <v>0</v>
      </c>
      <c r="L840" s="130">
        <v>0</v>
      </c>
      <c r="M840" s="130">
        <v>0</v>
      </c>
      <c r="N840" s="130">
        <v>0</v>
      </c>
      <c r="O8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41" spans="1:15" x14ac:dyDescent="0.25">
      <c r="A841" s="15">
        <v>33070114960</v>
      </c>
      <c r="B841" s="16" t="str">
        <f>VLOOKUP(Projeção[[#This Row],[Código]],BD_Produto[#All],6,FALSE)</f>
        <v xml:space="preserve">PISTOLA PARA COLA QUENTE RAPID CG 230. </v>
      </c>
      <c r="C841" s="130">
        <v>0</v>
      </c>
      <c r="D841" s="130">
        <v>0</v>
      </c>
      <c r="E841" s="130">
        <v>0</v>
      </c>
      <c r="F841" s="130">
        <v>0</v>
      </c>
      <c r="G841" s="130">
        <v>0</v>
      </c>
      <c r="H841" s="130">
        <v>0</v>
      </c>
      <c r="I841" s="130">
        <v>0</v>
      </c>
      <c r="J841" s="130">
        <v>0</v>
      </c>
      <c r="K841" s="130">
        <v>0</v>
      </c>
      <c r="L841" s="130">
        <v>0</v>
      </c>
      <c r="M841" s="130">
        <v>0</v>
      </c>
      <c r="N841" s="130">
        <v>0</v>
      </c>
      <c r="O8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42" spans="1:15" x14ac:dyDescent="0.25">
      <c r="A842" s="15">
        <v>33070114959</v>
      </c>
      <c r="B842" s="16" t="str">
        <f>VLOOKUP(Projeção[[#This Row],[Código]],BD_Produto[#All],6,FALSE)</f>
        <v xml:space="preserve">PISTOLA PARA COLA QUENTE RAPID EG355 . </v>
      </c>
      <c r="C842" s="130">
        <v>0</v>
      </c>
      <c r="D842" s="130">
        <v>0</v>
      </c>
      <c r="E842" s="130">
        <v>0</v>
      </c>
      <c r="F842" s="130">
        <v>0</v>
      </c>
      <c r="G842" s="130">
        <v>0</v>
      </c>
      <c r="H842" s="130">
        <v>0</v>
      </c>
      <c r="I842" s="130">
        <v>0</v>
      </c>
      <c r="J842" s="130">
        <v>0</v>
      </c>
      <c r="K842" s="130">
        <v>0</v>
      </c>
      <c r="L842" s="130">
        <v>0</v>
      </c>
      <c r="M842" s="130">
        <v>0</v>
      </c>
      <c r="N842" s="130">
        <v>0</v>
      </c>
      <c r="O8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43" spans="1:15" x14ac:dyDescent="0.25">
      <c r="A843" s="15">
        <v>33062162828</v>
      </c>
      <c r="B843" s="16" t="str">
        <f>VLOOKUP(Projeção[[#This Row],[Código]],BD_Produto[#All],6,FALSE)</f>
        <v>Plastificadora Fellowes COSMIC A4 - 120V - PN:5223401</v>
      </c>
      <c r="C843" s="130">
        <v>1.7666666666666664</v>
      </c>
      <c r="D843" s="130">
        <v>1.0999999999999999</v>
      </c>
      <c r="E843" s="130">
        <v>0.96666666666666679</v>
      </c>
      <c r="F843" s="130">
        <v>0.39999999999999997</v>
      </c>
      <c r="G843" s="130">
        <v>1.5333333333333332</v>
      </c>
      <c r="H843" s="130">
        <v>0.70000000000000007</v>
      </c>
      <c r="I843" s="130">
        <v>0.70000000000000007</v>
      </c>
      <c r="J843" s="130">
        <v>0.5</v>
      </c>
      <c r="K843" s="130">
        <v>0.70000000000000007</v>
      </c>
      <c r="L843" s="130">
        <v>0.19999999999999998</v>
      </c>
      <c r="M843" s="130">
        <v>0.26666666666666666</v>
      </c>
      <c r="N843" s="130">
        <v>0.3666666666666667</v>
      </c>
      <c r="O8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2.0666666666666669</v>
      </c>
    </row>
    <row r="844" spans="1:15" x14ac:dyDescent="0.25">
      <c r="A844" s="15">
        <v>33062162830</v>
      </c>
      <c r="B844" s="16" t="str">
        <f>VLOOKUP(Projeção[[#This Row],[Código]],BD_Produto[#All],6,FALSE)</f>
        <v>Plastificadora Fellowes JUPITER A3 - 120V - PN:5223601</v>
      </c>
      <c r="C844" s="130">
        <v>1.333333333333333</v>
      </c>
      <c r="D844" s="130">
        <v>1.7666666666666664</v>
      </c>
      <c r="E844" s="130">
        <v>0.83333333333333315</v>
      </c>
      <c r="F844" s="130">
        <v>0.66666666666666652</v>
      </c>
      <c r="G844" s="130">
        <v>0.96666666666666656</v>
      </c>
      <c r="H844" s="130">
        <v>0.53333333333333333</v>
      </c>
      <c r="I844" s="130">
        <v>0.5</v>
      </c>
      <c r="J844" s="130">
        <v>0.43333333333333329</v>
      </c>
      <c r="K844" s="130">
        <v>0.53333333333333333</v>
      </c>
      <c r="L844" s="130">
        <v>0.39999999999999997</v>
      </c>
      <c r="M844" s="130">
        <v>0.53333333333333333</v>
      </c>
      <c r="N844" s="130">
        <v>0.26666666666666666</v>
      </c>
      <c r="O8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0.76666666666666661</v>
      </c>
    </row>
    <row r="845" spans="1:15" x14ac:dyDescent="0.25">
      <c r="A845" s="15">
        <v>33062162829</v>
      </c>
      <c r="B845" s="16" t="str">
        <f>VLOOKUP(Projeção[[#This Row],[Código]],BD_Produto[#All],6,FALSE)</f>
        <v>Plastificadora Fellowes SATURN A4 - 120V  - PN:5223501</v>
      </c>
      <c r="C845" s="130">
        <v>0.6</v>
      </c>
      <c r="D845" s="130">
        <v>1.7</v>
      </c>
      <c r="E845" s="130">
        <v>1.4666666666666668</v>
      </c>
      <c r="F845" s="130">
        <v>1.6333333333333331</v>
      </c>
      <c r="G845" s="130">
        <v>1.9333333333333331</v>
      </c>
      <c r="H845" s="130">
        <v>1</v>
      </c>
      <c r="I845" s="130">
        <v>0.56666666666666654</v>
      </c>
      <c r="J845" s="130">
        <v>0.70000000000000007</v>
      </c>
      <c r="K845" s="130">
        <v>1</v>
      </c>
      <c r="L845" s="130">
        <v>0.3666666666666667</v>
      </c>
      <c r="M845" s="130">
        <v>0.56666666666666654</v>
      </c>
      <c r="N845" s="130">
        <v>1.3666666666666665</v>
      </c>
      <c r="O8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1.0999999999999999</v>
      </c>
    </row>
    <row r="846" spans="1:15" x14ac:dyDescent="0.25">
      <c r="A846" s="15">
        <v>33062162831</v>
      </c>
      <c r="B846" s="16" t="str">
        <f>VLOOKUP(Projeção[[#This Row],[Código]],BD_Produto[#All],6,FALSE)</f>
        <v>Plastificadora Fellowes VENUS A3 - 120V - PN:5223701</v>
      </c>
      <c r="C846" s="130">
        <v>1.5</v>
      </c>
      <c r="D846" s="130">
        <v>0.56666666666666654</v>
      </c>
      <c r="E846" s="130">
        <v>0.56666666666666654</v>
      </c>
      <c r="F846" s="130">
        <v>0.3</v>
      </c>
      <c r="G846" s="130">
        <v>0.3</v>
      </c>
      <c r="H846" s="130">
        <v>0.3</v>
      </c>
      <c r="I846" s="130">
        <v>0.3</v>
      </c>
      <c r="J846" s="130">
        <v>0.13333333333333333</v>
      </c>
      <c r="K846" s="130">
        <v>0.23333333333333334</v>
      </c>
      <c r="L846" s="130">
        <v>0.26666666666666666</v>
      </c>
      <c r="M846" s="130">
        <v>0.33333333333333326</v>
      </c>
      <c r="N846" s="130">
        <v>0.16666666666666663</v>
      </c>
      <c r="O8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0.33333333333333326</v>
      </c>
    </row>
    <row r="847" spans="1:15" x14ac:dyDescent="0.25">
      <c r="A847" s="15">
        <v>33102163130</v>
      </c>
      <c r="B847" s="16" t="str">
        <f>VLOOKUP(Projeção[[#This Row],[Código]],BD_Produto[#All],6,FALSE)</f>
        <v>PLATE - HEADSET SLIM / AZUL - YOUTS</v>
      </c>
      <c r="C847" s="130">
        <v>21.999999999999996</v>
      </c>
      <c r="D847" s="130">
        <v>72.86666666666666</v>
      </c>
      <c r="E847" s="130">
        <v>28.633333333333333</v>
      </c>
      <c r="F847" s="130">
        <v>28.633333333333333</v>
      </c>
      <c r="G847" s="130">
        <v>14.766666666666666</v>
      </c>
      <c r="H847" s="130">
        <v>14.933333333333334</v>
      </c>
      <c r="I847" s="130">
        <v>14.899999999999999</v>
      </c>
      <c r="J847" s="130">
        <v>15.1</v>
      </c>
      <c r="K847" s="130">
        <v>14.933333333333334</v>
      </c>
      <c r="L847" s="130">
        <v>7.8999999999999995</v>
      </c>
      <c r="M847" s="130">
        <v>7.0666666666666673</v>
      </c>
      <c r="N847" s="130">
        <v>5.5333333333333323</v>
      </c>
      <c r="O8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848" spans="1:15" x14ac:dyDescent="0.25">
      <c r="A848" s="15">
        <v>33102163132</v>
      </c>
      <c r="B848" s="16" t="str">
        <f>VLOOKUP(Projeção[[#This Row],[Código]],BD_Produto[#All],6,FALSE)</f>
        <v>PLATE - HEADSET SLIM / ROSA - YOUTS</v>
      </c>
      <c r="C848" s="130">
        <v>26.333333333333332</v>
      </c>
      <c r="D848" s="130">
        <v>73.2</v>
      </c>
      <c r="E848" s="130">
        <v>28.299999999999997</v>
      </c>
      <c r="F848" s="130">
        <v>28.166666666666661</v>
      </c>
      <c r="G848" s="130">
        <v>14.299999999999999</v>
      </c>
      <c r="H848" s="130">
        <v>14.766666666666666</v>
      </c>
      <c r="I848" s="130">
        <v>14.766666666666666</v>
      </c>
      <c r="J848" s="130">
        <v>15.1</v>
      </c>
      <c r="K848" s="130">
        <v>14.766666666666666</v>
      </c>
      <c r="L848" s="130">
        <v>8.7333333333333343</v>
      </c>
      <c r="M848" s="130">
        <v>7.8999999999999995</v>
      </c>
      <c r="N848" s="130">
        <v>5.7333333333333334</v>
      </c>
      <c r="O8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1.0666666666666667</v>
      </c>
    </row>
    <row r="849" spans="1:15" x14ac:dyDescent="0.25">
      <c r="A849" s="15">
        <v>33102163131</v>
      </c>
      <c r="B849" s="16" t="str">
        <f>VLOOKUP(Projeção[[#This Row],[Código]],BD_Produto[#All],6,FALSE)</f>
        <v>PLATE - HEADSET SLIM / VERDE - YOUTS</v>
      </c>
      <c r="C849" s="130">
        <v>17.8</v>
      </c>
      <c r="D849" s="130">
        <v>57.933333333333323</v>
      </c>
      <c r="E849" s="130">
        <v>21.5</v>
      </c>
      <c r="F849" s="130">
        <v>21.5</v>
      </c>
      <c r="G849" s="130">
        <v>10.133333333333333</v>
      </c>
      <c r="H849" s="130">
        <v>10.1</v>
      </c>
      <c r="I849" s="130">
        <v>10.1</v>
      </c>
      <c r="J849" s="130">
        <v>10.399999999999999</v>
      </c>
      <c r="K849" s="130">
        <v>10.1</v>
      </c>
      <c r="L849" s="130">
        <v>5.5333333333333341</v>
      </c>
      <c r="M849" s="130">
        <v>6.9999999999999991</v>
      </c>
      <c r="N849" s="130">
        <v>5.4666666666666659</v>
      </c>
      <c r="O8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2.0333333333333337</v>
      </c>
    </row>
    <row r="850" spans="1:15" x14ac:dyDescent="0.25">
      <c r="A850" s="15">
        <v>33070514934</v>
      </c>
      <c r="B850" s="16" t="str">
        <f>VLOOKUP(Projeção[[#This Row],[Código]],BD_Produto[#All],6,FALSE)</f>
        <v xml:space="preserve">PREGO RAPID 300/15 CAIXA COM 1000 UNIDADES </v>
      </c>
      <c r="C850" s="130">
        <v>0</v>
      </c>
      <c r="D850" s="130">
        <v>0</v>
      </c>
      <c r="E850" s="130">
        <v>0</v>
      </c>
      <c r="F850" s="130">
        <v>0</v>
      </c>
      <c r="G850" s="130">
        <v>0</v>
      </c>
      <c r="H850" s="130">
        <v>0</v>
      </c>
      <c r="I850" s="130">
        <v>0</v>
      </c>
      <c r="J850" s="130">
        <v>0</v>
      </c>
      <c r="K850" s="130">
        <v>0</v>
      </c>
      <c r="L850" s="130">
        <v>0</v>
      </c>
      <c r="M850" s="130">
        <v>0</v>
      </c>
      <c r="N850" s="130">
        <v>0</v>
      </c>
      <c r="O8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1" spans="1:15" ht="15" customHeight="1" x14ac:dyDescent="0.25">
      <c r="A851" s="15">
        <v>33070514951</v>
      </c>
      <c r="B851" s="16" t="str">
        <f>VLOOKUP(Projeção[[#This Row],[Código]],BD_Produto[#All],6,FALSE)</f>
        <v xml:space="preserve">PREGO RAPID 300/25 CAIXA COM 1000 UNIDADES </v>
      </c>
      <c r="C851" s="130">
        <v>0</v>
      </c>
      <c r="D851" s="130">
        <v>0</v>
      </c>
      <c r="E851" s="130">
        <v>0</v>
      </c>
      <c r="F851" s="130">
        <v>0</v>
      </c>
      <c r="G851" s="130">
        <v>0</v>
      </c>
      <c r="H851" s="130">
        <v>0</v>
      </c>
      <c r="I851" s="130">
        <v>0</v>
      </c>
      <c r="J851" s="130">
        <v>0</v>
      </c>
      <c r="K851" s="130">
        <v>0</v>
      </c>
      <c r="L851" s="130">
        <v>0</v>
      </c>
      <c r="M851" s="130">
        <v>0</v>
      </c>
      <c r="N851" s="130">
        <v>0</v>
      </c>
      <c r="O8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2" spans="1:15" x14ac:dyDescent="0.25">
      <c r="A852" s="15">
        <v>33105063120</v>
      </c>
      <c r="B852" s="16" t="str">
        <f>VLOOKUP(Projeção[[#This Row],[Código]],BD_Produto[#All],6,FALSE)</f>
        <v>PROCASE AIR - CASE DE PC &amp; TPU PARA BB BOLD 9700 / AZUL - YOUTS</v>
      </c>
      <c r="C852" s="130">
        <v>0</v>
      </c>
      <c r="D852" s="130">
        <v>0</v>
      </c>
      <c r="E852" s="130">
        <v>0</v>
      </c>
      <c r="F852" s="130">
        <v>0</v>
      </c>
      <c r="G852" s="130">
        <v>0</v>
      </c>
      <c r="H852" s="130">
        <v>0</v>
      </c>
      <c r="I852" s="130">
        <v>0</v>
      </c>
      <c r="J852" s="130">
        <v>0</v>
      </c>
      <c r="K852" s="130">
        <v>0</v>
      </c>
      <c r="L852" s="130">
        <v>0</v>
      </c>
      <c r="M852" s="130">
        <v>0</v>
      </c>
      <c r="N852" s="130">
        <v>0</v>
      </c>
      <c r="O8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3" spans="1:15" x14ac:dyDescent="0.25">
      <c r="A853" s="15">
        <v>33105063119</v>
      </c>
      <c r="B853" s="16" t="str">
        <f>VLOOKUP(Projeção[[#This Row],[Código]],BD_Produto[#All],6,FALSE)</f>
        <v>PROCASE AIR - CASE DE PC &amp; TPU PARA BB BOLD 9700 / PRETO - YOUTS</v>
      </c>
      <c r="C853" s="130">
        <v>0</v>
      </c>
      <c r="D853" s="130">
        <v>0</v>
      </c>
      <c r="E853" s="130">
        <v>0</v>
      </c>
      <c r="F853" s="130">
        <v>0</v>
      </c>
      <c r="G853" s="130">
        <v>0</v>
      </c>
      <c r="H853" s="130">
        <v>0</v>
      </c>
      <c r="I853" s="130">
        <v>0</v>
      </c>
      <c r="J853" s="130">
        <v>0</v>
      </c>
      <c r="K853" s="130">
        <v>0</v>
      </c>
      <c r="L853" s="130">
        <v>0</v>
      </c>
      <c r="M853" s="130">
        <v>0</v>
      </c>
      <c r="N853" s="130">
        <v>0</v>
      </c>
      <c r="O8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4" spans="1:15" x14ac:dyDescent="0.25">
      <c r="A854" s="15">
        <v>33105063121</v>
      </c>
      <c r="B854" s="16" t="str">
        <f>VLOOKUP(Projeção[[#This Row],[Código]],BD_Produto[#All],6,FALSE)</f>
        <v>PROCASE AIR - CASE DE PC &amp; TPU PARA BB BOLD 9700 / ROSA - YOUTS</v>
      </c>
      <c r="C854" s="130">
        <v>0</v>
      </c>
      <c r="D854" s="130">
        <v>0</v>
      </c>
      <c r="E854" s="130">
        <v>0</v>
      </c>
      <c r="F854" s="130">
        <v>0</v>
      </c>
      <c r="G854" s="130">
        <v>0</v>
      </c>
      <c r="H854" s="130">
        <v>0</v>
      </c>
      <c r="I854" s="130">
        <v>0</v>
      </c>
      <c r="J854" s="130">
        <v>0</v>
      </c>
      <c r="K854" s="130">
        <v>0</v>
      </c>
      <c r="L854" s="130">
        <v>0</v>
      </c>
      <c r="M854" s="130">
        <v>0</v>
      </c>
      <c r="N854" s="130">
        <v>0</v>
      </c>
      <c r="O8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855" spans="1:15" x14ac:dyDescent="0.25">
      <c r="A855" s="15">
        <v>33105063122</v>
      </c>
      <c r="B855" s="16" t="str">
        <f>VLOOKUP(Projeção[[#This Row],[Código]],BD_Produto[#All],6,FALSE)</f>
        <v>PROCASE AIR - CASE DE PC &amp; TPU PARA BB BOLD 9700 / VERDE - YOUTS</v>
      </c>
      <c r="C855" s="130">
        <v>0</v>
      </c>
      <c r="D855" s="130">
        <v>0</v>
      </c>
      <c r="E855" s="130">
        <v>0</v>
      </c>
      <c r="F855" s="130">
        <v>0</v>
      </c>
      <c r="G855" s="130">
        <v>0</v>
      </c>
      <c r="H855" s="130">
        <v>0</v>
      </c>
      <c r="I855" s="130">
        <v>0</v>
      </c>
      <c r="J855" s="130">
        <v>0</v>
      </c>
      <c r="K855" s="130">
        <v>0</v>
      </c>
      <c r="L855" s="130">
        <v>0</v>
      </c>
      <c r="M855" s="130">
        <v>0</v>
      </c>
      <c r="N855" s="130">
        <v>0</v>
      </c>
      <c r="O8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6" spans="1:15" x14ac:dyDescent="0.25">
      <c r="A856" s="15">
        <v>33105063116</v>
      </c>
      <c r="B856" s="16" t="str">
        <f>VLOOKUP(Projeção[[#This Row],[Código]],BD_Produto[#All],6,FALSE)</f>
        <v>PROCASE AIR - CASE DE PC &amp; TPU PARA BB CURVE 8500 E 9300 / AZUL - YOUTS</v>
      </c>
      <c r="C856" s="130">
        <v>0</v>
      </c>
      <c r="D856" s="130">
        <v>0</v>
      </c>
      <c r="E856" s="130">
        <v>0</v>
      </c>
      <c r="F856" s="130">
        <v>0</v>
      </c>
      <c r="G856" s="130">
        <v>0</v>
      </c>
      <c r="H856" s="130">
        <v>0</v>
      </c>
      <c r="I856" s="130">
        <v>0</v>
      </c>
      <c r="J856" s="130">
        <v>0</v>
      </c>
      <c r="K856" s="130">
        <v>0</v>
      </c>
      <c r="L856" s="130">
        <v>0</v>
      </c>
      <c r="M856" s="130">
        <v>0</v>
      </c>
      <c r="N856" s="130">
        <v>0</v>
      </c>
      <c r="O8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7" spans="1:15" x14ac:dyDescent="0.25">
      <c r="A857" s="15">
        <v>33105063138</v>
      </c>
      <c r="B857" s="16" t="str">
        <f>VLOOKUP(Projeção[[#This Row],[Código]],BD_Produto[#All],6,FALSE)</f>
        <v>PROCASE AIR - CASE DE PC &amp; TPU PARA BB CURVE 8500 E 9300 / LARANJA - YOUTS</v>
      </c>
      <c r="C857" s="130">
        <v>0</v>
      </c>
      <c r="D857" s="130">
        <v>0</v>
      </c>
      <c r="E857" s="130">
        <v>0</v>
      </c>
      <c r="F857" s="130">
        <v>0</v>
      </c>
      <c r="G857" s="130">
        <v>0</v>
      </c>
      <c r="H857" s="130">
        <v>0</v>
      </c>
      <c r="I857" s="130">
        <v>0</v>
      </c>
      <c r="J857" s="130">
        <v>0</v>
      </c>
      <c r="K857" s="130">
        <v>0</v>
      </c>
      <c r="L857" s="130">
        <v>0.16666666666666663</v>
      </c>
      <c r="M857" s="130">
        <v>0.23333333333333334</v>
      </c>
      <c r="N857" s="130">
        <v>9.9999999999999992E-2</v>
      </c>
      <c r="O8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858" spans="1:15" x14ac:dyDescent="0.25">
      <c r="A858" s="15">
        <v>33105063115</v>
      </c>
      <c r="B858" s="16" t="str">
        <f>VLOOKUP(Projeção[[#This Row],[Código]],BD_Produto[#All],6,FALSE)</f>
        <v>PROCASE AIR - CASE DE PC &amp; TPU PARA BB CURVE 8500 E 9300 / PRETO - YOUTS</v>
      </c>
      <c r="C858" s="130">
        <v>3.3333333333333333E-2</v>
      </c>
      <c r="D858" s="130">
        <v>0.6</v>
      </c>
      <c r="E858" s="130">
        <v>0.19999999999999998</v>
      </c>
      <c r="F858" s="130">
        <v>0.19999999999999998</v>
      </c>
      <c r="G858" s="130">
        <v>3.3333333333333333E-2</v>
      </c>
      <c r="H858" s="130">
        <v>3.3333333333333333E-2</v>
      </c>
      <c r="I858" s="130">
        <v>3.3333333333333333E-2</v>
      </c>
      <c r="J858" s="130">
        <v>3.3333333333333333E-2</v>
      </c>
      <c r="K858" s="130">
        <v>3.3333333333333333E-2</v>
      </c>
      <c r="L858" s="130">
        <v>3.3333333333333333E-2</v>
      </c>
      <c r="M858" s="130">
        <v>3.3333333333333333E-2</v>
      </c>
      <c r="N858" s="130">
        <v>3.3333333333333333E-2</v>
      </c>
      <c r="O8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59" spans="1:15" ht="15" customHeight="1" x14ac:dyDescent="0.25">
      <c r="A859" s="15">
        <v>33105063117</v>
      </c>
      <c r="B859" s="16" t="str">
        <f>VLOOKUP(Projeção[[#This Row],[Código]],BD_Produto[#All],6,FALSE)</f>
        <v>PROCASE AIR - CASE DE PC &amp; TPU PARA BB CURVE 8500 E 9300 / ROSA - YOUTS</v>
      </c>
      <c r="C859" s="130">
        <v>3.3333333333333333E-2</v>
      </c>
      <c r="D859" s="130">
        <v>3.3333333333333333E-2</v>
      </c>
      <c r="E859" s="130">
        <v>3.3333333333333333E-2</v>
      </c>
      <c r="F859" s="130">
        <v>0</v>
      </c>
      <c r="G859" s="130">
        <v>0</v>
      </c>
      <c r="H859" s="130">
        <v>0</v>
      </c>
      <c r="I859" s="130">
        <v>0</v>
      </c>
      <c r="J859" s="130">
        <v>0</v>
      </c>
      <c r="K859" s="130">
        <v>0</v>
      </c>
      <c r="L859" s="130">
        <v>0</v>
      </c>
      <c r="M859" s="130">
        <v>0</v>
      </c>
      <c r="N859" s="130">
        <v>0</v>
      </c>
      <c r="O8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0" spans="1:15" ht="15" customHeight="1" x14ac:dyDescent="0.25">
      <c r="A860" s="15">
        <v>33105063118</v>
      </c>
      <c r="B860" s="16" t="str">
        <f>VLOOKUP(Projeção[[#This Row],[Código]],BD_Produto[#All],6,FALSE)</f>
        <v>PROCASE AIR - CASE DE PC &amp; TPU PARA BB CURVE 8500 E 9300 / VERDE - YOUTS</v>
      </c>
      <c r="C860" s="130">
        <v>0</v>
      </c>
      <c r="D860" s="130">
        <v>0</v>
      </c>
      <c r="E860" s="130">
        <v>0</v>
      </c>
      <c r="F860" s="130">
        <v>0</v>
      </c>
      <c r="G860" s="130">
        <v>0</v>
      </c>
      <c r="H860" s="130">
        <v>0</v>
      </c>
      <c r="I860" s="130">
        <v>0</v>
      </c>
      <c r="J860" s="130">
        <v>0</v>
      </c>
      <c r="K860" s="130">
        <v>0</v>
      </c>
      <c r="L860" s="130">
        <v>0</v>
      </c>
      <c r="M860" s="130">
        <v>0</v>
      </c>
      <c r="N860" s="130">
        <v>0</v>
      </c>
      <c r="O8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1" spans="1:15" x14ac:dyDescent="0.25">
      <c r="A861" s="15">
        <v>33105063099</v>
      </c>
      <c r="B861" s="16" t="str">
        <f>VLOOKUP(Projeção[[#This Row],[Código]],BD_Produto[#All],6,FALSE)</f>
        <v>PROCASE AIR - CASE DE PC &amp; TPU PARA IPHONE 3 / AZUL - YOUTS</v>
      </c>
      <c r="C861" s="130">
        <v>0.13333333333333333</v>
      </c>
      <c r="D861" s="130">
        <v>0.70000000000000007</v>
      </c>
      <c r="E861" s="130">
        <v>0.86666666666666659</v>
      </c>
      <c r="F861" s="130">
        <v>0.43333333333333329</v>
      </c>
      <c r="G861" s="130">
        <v>0.23333333333333328</v>
      </c>
      <c r="H861" s="130">
        <v>9.9999999999999992E-2</v>
      </c>
      <c r="I861" s="130">
        <v>6.6666666666666666E-2</v>
      </c>
      <c r="J861" s="130">
        <v>9.9999999999999992E-2</v>
      </c>
      <c r="K861" s="130">
        <v>9.9999999999999992E-2</v>
      </c>
      <c r="L861" s="130">
        <v>6.6666666666666666E-2</v>
      </c>
      <c r="M861" s="130">
        <v>6.6666666666666666E-2</v>
      </c>
      <c r="N861" s="130">
        <v>6.6666666666666666E-2</v>
      </c>
      <c r="O8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2" spans="1:15" x14ac:dyDescent="0.25">
      <c r="A862" s="15">
        <v>33105063100</v>
      </c>
      <c r="B862" s="16" t="str">
        <f>VLOOKUP(Projeção[[#This Row],[Código]],BD_Produto[#All],6,FALSE)</f>
        <v>PROCASE AIR - CASE DE PC &amp; TPU PARA IPHONE 3 / LARANJA - YOUTS</v>
      </c>
      <c r="C862" s="130">
        <v>0.13333333333333333</v>
      </c>
      <c r="D862" s="130">
        <v>0.13333333333333333</v>
      </c>
      <c r="E862" s="130">
        <v>9.9999999999999992E-2</v>
      </c>
      <c r="F862" s="130">
        <v>9.9999999999999992E-2</v>
      </c>
      <c r="G862" s="130">
        <v>0</v>
      </c>
      <c r="H862" s="130">
        <v>0</v>
      </c>
      <c r="I862" s="130">
        <v>0</v>
      </c>
      <c r="J862" s="130">
        <v>0</v>
      </c>
      <c r="K862" s="130">
        <v>0</v>
      </c>
      <c r="L862" s="130">
        <v>0</v>
      </c>
      <c r="M862" s="130">
        <v>0</v>
      </c>
      <c r="N862" s="130">
        <v>0</v>
      </c>
      <c r="O8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3" spans="1:15" ht="15" customHeight="1" x14ac:dyDescent="0.25">
      <c r="A863" s="15">
        <v>33105063098</v>
      </c>
      <c r="B863" s="16" t="str">
        <f>VLOOKUP(Projeção[[#This Row],[Código]],BD_Produto[#All],6,FALSE)</f>
        <v>PROCASE AIR - CASE DE PC &amp; TPU PARA IPHONE 3 / PRETO - YOUTS</v>
      </c>
      <c r="C863" s="130">
        <v>0.36666666666666664</v>
      </c>
      <c r="D863" s="130">
        <v>0.93333333333333313</v>
      </c>
      <c r="E863" s="130">
        <v>1</v>
      </c>
      <c r="F863" s="130">
        <v>0.6</v>
      </c>
      <c r="G863" s="130">
        <v>0.3</v>
      </c>
      <c r="H863" s="130">
        <v>0.13333333333333333</v>
      </c>
      <c r="I863" s="130">
        <v>9.9999999999999992E-2</v>
      </c>
      <c r="J863" s="130">
        <v>0.13333333333333333</v>
      </c>
      <c r="K863" s="130">
        <v>0.13333333333333333</v>
      </c>
      <c r="L863" s="130">
        <v>6.6666666666666666E-2</v>
      </c>
      <c r="M863" s="130">
        <v>6.6666666666666666E-2</v>
      </c>
      <c r="N863" s="130">
        <v>6.6666666666666666E-2</v>
      </c>
      <c r="O8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4" spans="1:15" x14ac:dyDescent="0.25">
      <c r="A864" s="15">
        <v>33105063101</v>
      </c>
      <c r="B864" s="16" t="str">
        <f>VLOOKUP(Projeção[[#This Row],[Código]],BD_Produto[#All],6,FALSE)</f>
        <v>PROCASE AIR - CASE DE PC &amp; TPU PARA IPHONE 3 / ROSA - YOUTS</v>
      </c>
      <c r="C864" s="130">
        <v>0.26666666666666666</v>
      </c>
      <c r="D864" s="130">
        <v>0.23333333333333334</v>
      </c>
      <c r="E864" s="130">
        <v>0.13333333333333333</v>
      </c>
      <c r="F864" s="130">
        <v>9.9999999999999992E-2</v>
      </c>
      <c r="G864" s="130">
        <v>3.3333333333333333E-2</v>
      </c>
      <c r="H864" s="130">
        <v>3.3333333333333333E-2</v>
      </c>
      <c r="I864" s="130">
        <v>3.3333333333333333E-2</v>
      </c>
      <c r="J864" s="130">
        <v>3.3333333333333333E-2</v>
      </c>
      <c r="K864" s="130">
        <v>3.3333333333333333E-2</v>
      </c>
      <c r="L864" s="130">
        <v>0</v>
      </c>
      <c r="M864" s="130">
        <v>0</v>
      </c>
      <c r="N864" s="130">
        <v>0</v>
      </c>
      <c r="O8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5" spans="1:15" x14ac:dyDescent="0.25">
      <c r="A865" s="15">
        <v>33105063102</v>
      </c>
      <c r="B865" s="16" t="str">
        <f>VLOOKUP(Projeção[[#This Row],[Código]],BD_Produto[#All],6,FALSE)</f>
        <v>PROCASE AIR - CASE DE PC &amp; TPU PARA IPHONE 3 / VERDE - YOUTS</v>
      </c>
      <c r="C865" s="130">
        <v>9.9999999999999992E-2</v>
      </c>
      <c r="D865" s="130">
        <v>9.9999999999999992E-2</v>
      </c>
      <c r="E865" s="130">
        <v>9.9999999999999992E-2</v>
      </c>
      <c r="F865" s="130">
        <v>9.9999999999999992E-2</v>
      </c>
      <c r="G865" s="130">
        <v>3.3333333333333333E-2</v>
      </c>
      <c r="H865" s="130">
        <v>0</v>
      </c>
      <c r="I865" s="130">
        <v>0</v>
      </c>
      <c r="J865" s="130">
        <v>0</v>
      </c>
      <c r="K865" s="130">
        <v>0</v>
      </c>
      <c r="L865" s="130">
        <v>0</v>
      </c>
      <c r="M865" s="130">
        <v>0</v>
      </c>
      <c r="N865" s="130">
        <v>0</v>
      </c>
      <c r="O8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6" spans="1:15" ht="15" customHeight="1" x14ac:dyDescent="0.25">
      <c r="A866" s="15">
        <v>33105063104</v>
      </c>
      <c r="B866" s="16" t="str">
        <f>VLOOKUP(Projeção[[#This Row],[Código]],BD_Produto[#All],6,FALSE)</f>
        <v>PROCASE AIR - CASE DE PC &amp; TPU PARA IPHONE 4 / AZUL - YOUTS</v>
      </c>
      <c r="C866" s="130">
        <v>0.46666666666666667</v>
      </c>
      <c r="D866" s="130">
        <v>0</v>
      </c>
      <c r="E866" s="130">
        <v>0</v>
      </c>
      <c r="F866" s="130">
        <v>0.56666666666666654</v>
      </c>
      <c r="G866" s="130">
        <v>0.16666666666666663</v>
      </c>
      <c r="H866" s="130">
        <v>0.16666666666666663</v>
      </c>
      <c r="I866" s="130">
        <v>0.16666666666666663</v>
      </c>
      <c r="J866" s="130">
        <v>3.3333333333333333E-2</v>
      </c>
      <c r="K866" s="130">
        <v>0.16666666666666663</v>
      </c>
      <c r="L866" s="130">
        <v>3.3333333333333333E-2</v>
      </c>
      <c r="M866" s="130">
        <v>3.3333333333333333E-2</v>
      </c>
      <c r="N866" s="130">
        <v>3.3333333333333333E-2</v>
      </c>
      <c r="O8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7" spans="1:15" x14ac:dyDescent="0.25">
      <c r="A867" s="15">
        <v>33105063105</v>
      </c>
      <c r="B867" s="16" t="str">
        <f>VLOOKUP(Projeção[[#This Row],[Código]],BD_Produto[#All],6,FALSE)</f>
        <v>PROCASE AIR - CASE DE PC &amp; TPU PARA IPHONE 4 / LARANJA - YOUTS</v>
      </c>
      <c r="C867" s="130">
        <v>0.23333333333333334</v>
      </c>
      <c r="D867" s="130">
        <v>3.3333333333333333E-2</v>
      </c>
      <c r="E867" s="130">
        <v>0</v>
      </c>
      <c r="F867" s="130">
        <v>0</v>
      </c>
      <c r="G867" s="130">
        <v>0</v>
      </c>
      <c r="H867" s="130">
        <v>0</v>
      </c>
      <c r="I867" s="130">
        <v>0</v>
      </c>
      <c r="J867" s="130">
        <v>0</v>
      </c>
      <c r="K867" s="130">
        <v>0</v>
      </c>
      <c r="L867" s="130">
        <v>0</v>
      </c>
      <c r="M867" s="130">
        <v>0</v>
      </c>
      <c r="N867" s="130">
        <v>0</v>
      </c>
      <c r="O8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8" spans="1:15" x14ac:dyDescent="0.25">
      <c r="A868" s="15">
        <v>33105063106</v>
      </c>
      <c r="B868" s="16" t="str">
        <f>VLOOKUP(Projeção[[#This Row],[Código]],BD_Produto[#All],6,FALSE)</f>
        <v>PROCASE AIR - CASE DE PC &amp; TPU PARA IPHONE 4 / ROSA - YOUTS</v>
      </c>
      <c r="C868" s="130">
        <v>0.6333333333333333</v>
      </c>
      <c r="D868" s="130">
        <v>0.16666666666666666</v>
      </c>
      <c r="E868" s="130">
        <v>6.6666666666666666E-2</v>
      </c>
      <c r="F868" s="130">
        <v>6.6666666666666666E-2</v>
      </c>
      <c r="G868" s="130">
        <v>3.3333333333333333E-2</v>
      </c>
      <c r="H868" s="130">
        <v>0</v>
      </c>
      <c r="I868" s="130">
        <v>0</v>
      </c>
      <c r="J868" s="130">
        <v>0</v>
      </c>
      <c r="K868" s="130">
        <v>0</v>
      </c>
      <c r="L868" s="130">
        <v>0</v>
      </c>
      <c r="M868" s="130">
        <v>0</v>
      </c>
      <c r="N868" s="130">
        <v>0</v>
      </c>
      <c r="O8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69" spans="1:15" ht="15" customHeight="1" x14ac:dyDescent="0.25">
      <c r="A869" s="15">
        <v>33105063103</v>
      </c>
      <c r="B869" s="16" t="str">
        <f>VLOOKUP(Projeção[[#This Row],[Código]],BD_Produto[#All],6,FALSE)</f>
        <v>PROCASE AIR - CASE DE PC &amp; TPU PARA IPHONE 4 / TRANSPARENTE - YOUTS</v>
      </c>
      <c r="C869" s="130">
        <v>0.43333333333333329</v>
      </c>
      <c r="D869" s="130">
        <v>0.19999999999999998</v>
      </c>
      <c r="E869" s="130">
        <v>0.13333333333333333</v>
      </c>
      <c r="F869" s="130">
        <v>0.13333333333333333</v>
      </c>
      <c r="G869" s="130">
        <v>0.13333333333333333</v>
      </c>
      <c r="H869" s="130">
        <v>0.13333333333333333</v>
      </c>
      <c r="I869" s="130">
        <v>0.13333333333333333</v>
      </c>
      <c r="J869" s="130">
        <v>3.3333333333333333E-2</v>
      </c>
      <c r="K869" s="130">
        <v>0.13333333333333333</v>
      </c>
      <c r="L869" s="130">
        <v>0</v>
      </c>
      <c r="M869" s="130">
        <v>0</v>
      </c>
      <c r="N869" s="130">
        <v>0</v>
      </c>
      <c r="O8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0" spans="1:15" x14ac:dyDescent="0.25">
      <c r="A870" s="15">
        <v>33105063107</v>
      </c>
      <c r="B870" s="16" t="str">
        <f>VLOOKUP(Projeção[[#This Row],[Código]],BD_Produto[#All],6,FALSE)</f>
        <v>PROCASE AIR - CASE DE PC &amp; TPU PARA IPHONE 4 / VERDE - YOUTS</v>
      </c>
      <c r="C870" s="130">
        <v>0.3</v>
      </c>
      <c r="D870" s="130">
        <v>9.9999999999999992E-2</v>
      </c>
      <c r="E870" s="130">
        <v>0</v>
      </c>
      <c r="F870" s="130">
        <v>0</v>
      </c>
      <c r="G870" s="130">
        <v>0</v>
      </c>
      <c r="H870" s="130">
        <v>0</v>
      </c>
      <c r="I870" s="130">
        <v>0</v>
      </c>
      <c r="J870" s="130">
        <v>0</v>
      </c>
      <c r="K870" s="130">
        <v>0</v>
      </c>
      <c r="L870" s="130">
        <v>0</v>
      </c>
      <c r="M870" s="130">
        <v>0</v>
      </c>
      <c r="N870" s="130">
        <v>0</v>
      </c>
      <c r="O8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1" spans="1:15" x14ac:dyDescent="0.25">
      <c r="A871" s="15">
        <v>33060424538</v>
      </c>
      <c r="B871" s="16" t="str">
        <f>VLOOKUP(Projeção[[#This Row],[Código]],BD_Produto[#All],6,FALSE)</f>
        <v>Rapid, 1 Alimentador  (120428)</v>
      </c>
      <c r="C871" s="130">
        <v>0.5</v>
      </c>
      <c r="D871" s="130">
        <v>0.5</v>
      </c>
      <c r="E871" s="130">
        <v>0.5</v>
      </c>
      <c r="F871" s="130">
        <v>0.5</v>
      </c>
      <c r="G871" s="130">
        <v>0</v>
      </c>
      <c r="H871" s="130">
        <v>0</v>
      </c>
      <c r="I871" s="130">
        <v>0</v>
      </c>
      <c r="J871" s="130">
        <v>0</v>
      </c>
      <c r="K871" s="130">
        <v>0</v>
      </c>
      <c r="L871" s="130">
        <v>0</v>
      </c>
      <c r="M871" s="130">
        <v>0</v>
      </c>
      <c r="N871" s="130">
        <v>0</v>
      </c>
      <c r="O8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2" spans="1:15" x14ac:dyDescent="0.25">
      <c r="A872" s="15">
        <v>33060414668</v>
      </c>
      <c r="B872" s="16" t="str">
        <f>VLOOKUP(Projeção[[#This Row],[Código]],BD_Produto[#All],6,FALSE)</f>
        <v>Rapid, 1 Lâmina (faca) 24/06  (120519)</v>
      </c>
      <c r="C872" s="130">
        <v>0</v>
      </c>
      <c r="D872" s="130">
        <v>0</v>
      </c>
      <c r="E872" s="130">
        <v>0</v>
      </c>
      <c r="F872" s="130">
        <v>0</v>
      </c>
      <c r="G872" s="130">
        <v>0</v>
      </c>
      <c r="H872" s="130">
        <v>0</v>
      </c>
      <c r="I872" s="130">
        <v>0</v>
      </c>
      <c r="J872" s="130">
        <v>0</v>
      </c>
      <c r="K872" s="130">
        <v>0</v>
      </c>
      <c r="L872" s="130">
        <v>0.5</v>
      </c>
      <c r="M872" s="130">
        <v>0.70000000000000007</v>
      </c>
      <c r="N872" s="130">
        <v>0.3</v>
      </c>
      <c r="O8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873" spans="1:15" x14ac:dyDescent="0.25">
      <c r="A873" s="15">
        <v>33060414665</v>
      </c>
      <c r="B873" s="16" t="str">
        <f>VLOOKUP(Projeção[[#This Row],[Código]],BD_Produto[#All],6,FALSE)</f>
        <v>Rapid, 1 Lâmina (faca) 26/06  (120139)</v>
      </c>
      <c r="C873" s="130">
        <v>0.33333333333333331</v>
      </c>
      <c r="D873" s="130">
        <v>0.33333333333333331</v>
      </c>
      <c r="E873" s="130">
        <v>0.33333333333333331</v>
      </c>
      <c r="F873" s="130">
        <v>0.33333333333333331</v>
      </c>
      <c r="G873" s="130">
        <v>0</v>
      </c>
      <c r="H873" s="130">
        <v>0</v>
      </c>
      <c r="I873" s="130">
        <v>0</v>
      </c>
      <c r="J873" s="130">
        <v>0</v>
      </c>
      <c r="K873" s="130">
        <v>0</v>
      </c>
      <c r="L873" s="130">
        <v>0</v>
      </c>
      <c r="M873" s="130">
        <v>0</v>
      </c>
      <c r="N873" s="130">
        <v>0</v>
      </c>
      <c r="O8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4" spans="1:15" x14ac:dyDescent="0.25">
      <c r="A874" s="15">
        <v>33060454046</v>
      </c>
      <c r="B874" s="16" t="str">
        <f>VLOOKUP(Projeção[[#This Row],[Código]],BD_Produto[#All],6,FALSE)</f>
        <v>Rapid, 1 Magazine 24/06  (12050101)</v>
      </c>
      <c r="C874" s="130">
        <v>0</v>
      </c>
      <c r="D874" s="130">
        <v>0</v>
      </c>
      <c r="E874" s="130">
        <v>0</v>
      </c>
      <c r="F874" s="130">
        <v>0</v>
      </c>
      <c r="G874" s="130">
        <v>0</v>
      </c>
      <c r="H874" s="130">
        <v>0</v>
      </c>
      <c r="I874" s="130">
        <v>0</v>
      </c>
      <c r="J874" s="130">
        <v>0</v>
      </c>
      <c r="K874" s="130">
        <v>0</v>
      </c>
      <c r="L874" s="130">
        <v>0</v>
      </c>
      <c r="M874" s="130">
        <v>0</v>
      </c>
      <c r="N874" s="130">
        <v>0</v>
      </c>
      <c r="O8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5" spans="1:15" x14ac:dyDescent="0.25">
      <c r="A875" s="15">
        <v>33060424537</v>
      </c>
      <c r="B875" s="16" t="str">
        <f>VLOOKUP(Projeção[[#This Row],[Código]],BD_Produto[#All],6,FALSE)</f>
        <v>Rapid, 1 Magazine 26/06  (12050102)</v>
      </c>
      <c r="C875" s="130">
        <v>1</v>
      </c>
      <c r="D875" s="130">
        <v>1</v>
      </c>
      <c r="E875" s="130">
        <v>1</v>
      </c>
      <c r="F875" s="130">
        <v>1</v>
      </c>
      <c r="G875" s="130">
        <v>0.33333333333333331</v>
      </c>
      <c r="H875" s="130">
        <v>0</v>
      </c>
      <c r="I875" s="130">
        <v>0</v>
      </c>
      <c r="J875" s="130">
        <v>0</v>
      </c>
      <c r="K875" s="130">
        <v>0</v>
      </c>
      <c r="L875" s="130">
        <v>0</v>
      </c>
      <c r="M875" s="130">
        <v>0</v>
      </c>
      <c r="N875" s="130">
        <v>0</v>
      </c>
      <c r="O8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6" spans="1:15" ht="15" customHeight="1" x14ac:dyDescent="0.25">
      <c r="A876" s="15">
        <v>33060414883</v>
      </c>
      <c r="B876" s="16" t="str">
        <f>VLOOKUP(Projeção[[#This Row],[Código]],BD_Produto[#All],6,FALSE)</f>
        <v>Rapid, 100, 101, Pedal  (10851402)</v>
      </c>
      <c r="C876" s="130">
        <v>0</v>
      </c>
      <c r="D876" s="130">
        <v>0</v>
      </c>
      <c r="E876" s="130">
        <v>0</v>
      </c>
      <c r="F876" s="130">
        <v>0</v>
      </c>
      <c r="G876" s="130">
        <v>0</v>
      </c>
      <c r="H876" s="130">
        <v>0</v>
      </c>
      <c r="I876" s="130">
        <v>0</v>
      </c>
      <c r="J876" s="130">
        <v>0</v>
      </c>
      <c r="K876" s="130">
        <v>0</v>
      </c>
      <c r="L876" s="130">
        <v>0</v>
      </c>
      <c r="M876" s="130">
        <v>0</v>
      </c>
      <c r="N876" s="130">
        <v>0</v>
      </c>
      <c r="O8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7" spans="1:15" x14ac:dyDescent="0.25">
      <c r="A877" s="15">
        <v>33060414616</v>
      </c>
      <c r="B877" s="16" t="str">
        <f>VLOOKUP(Projeção[[#This Row],[Código]],BD_Produto[#All],6,FALSE)</f>
        <v>Rapid, 105 Base 201 C  (108811)</v>
      </c>
      <c r="C877" s="130">
        <v>0</v>
      </c>
      <c r="D877" s="130">
        <v>0</v>
      </c>
      <c r="E877" s="130">
        <v>0</v>
      </c>
      <c r="F877" s="130">
        <v>0</v>
      </c>
      <c r="G877" s="130">
        <v>0</v>
      </c>
      <c r="H877" s="130">
        <v>0</v>
      </c>
      <c r="I877" s="130">
        <v>0</v>
      </c>
      <c r="J877" s="130">
        <v>0</v>
      </c>
      <c r="K877" s="130">
        <v>0</v>
      </c>
      <c r="L877" s="130">
        <v>0</v>
      </c>
      <c r="M877" s="130">
        <v>0</v>
      </c>
      <c r="N877" s="130">
        <v>0</v>
      </c>
      <c r="O8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8" spans="1:15" x14ac:dyDescent="0.25">
      <c r="A878" s="15">
        <v>33060414610</v>
      </c>
      <c r="B878" s="16" t="str">
        <f>VLOOKUP(Projeção[[#This Row],[Código]],BD_Produto[#All],6,FALSE)</f>
        <v>Rapid, 105 Base 202 C  (178004)</v>
      </c>
      <c r="C878" s="130">
        <v>0</v>
      </c>
      <c r="D878" s="130">
        <v>0</v>
      </c>
      <c r="E878" s="130">
        <v>0</v>
      </c>
      <c r="F878" s="130">
        <v>0</v>
      </c>
      <c r="G878" s="130">
        <v>0</v>
      </c>
      <c r="H878" s="130">
        <v>0</v>
      </c>
      <c r="I878" s="130">
        <v>0</v>
      </c>
      <c r="J878" s="130">
        <v>0</v>
      </c>
      <c r="K878" s="130">
        <v>0</v>
      </c>
      <c r="L878" s="130">
        <v>0</v>
      </c>
      <c r="M878" s="130">
        <v>0</v>
      </c>
      <c r="N878" s="130">
        <v>0</v>
      </c>
      <c r="O8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79" spans="1:15" x14ac:dyDescent="0.25">
      <c r="A879" s="15">
        <v>33060414882</v>
      </c>
      <c r="B879" s="16" t="str">
        <f>VLOOKUP(Projeção[[#This Row],[Código]],BD_Produto[#All],6,FALSE)</f>
        <v>Rapid, 105 Cabo ótico 400 mm  (17774101)</v>
      </c>
      <c r="C879" s="130">
        <v>0</v>
      </c>
      <c r="D879" s="130">
        <v>0</v>
      </c>
      <c r="E879" s="130">
        <v>0</v>
      </c>
      <c r="F879" s="130">
        <v>0</v>
      </c>
      <c r="G879" s="130">
        <v>0</v>
      </c>
      <c r="H879" s="130">
        <v>0</v>
      </c>
      <c r="I879" s="130">
        <v>0</v>
      </c>
      <c r="J879" s="130">
        <v>0</v>
      </c>
      <c r="K879" s="130">
        <v>0</v>
      </c>
      <c r="L879" s="130">
        <v>0</v>
      </c>
      <c r="M879" s="130">
        <v>0</v>
      </c>
      <c r="N879" s="130">
        <v>0</v>
      </c>
      <c r="O8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0" spans="1:15" x14ac:dyDescent="0.25">
      <c r="A880" s="15">
        <v>33060414641</v>
      </c>
      <c r="B880" s="16" t="str">
        <f>VLOOKUP(Projeção[[#This Row],[Código]],BD_Produto[#All],6,FALSE)</f>
        <v>Rapid, 105 Corpo R2EI-105, 66/6-8  (10841512)</v>
      </c>
      <c r="C880" s="130">
        <v>2.2333333333333329</v>
      </c>
      <c r="D880" s="130">
        <v>2.2333333333333329</v>
      </c>
      <c r="E880" s="130">
        <v>1.1666666666666665</v>
      </c>
      <c r="F880" s="130">
        <v>1.1666666666666665</v>
      </c>
      <c r="G880" s="130">
        <v>1.1666666666666665</v>
      </c>
      <c r="H880" s="130">
        <v>1.1666666666666665</v>
      </c>
      <c r="I880" s="130">
        <v>1.1666666666666665</v>
      </c>
      <c r="J880" s="130">
        <v>0.76666666666666672</v>
      </c>
      <c r="K880" s="130">
        <v>1.1666666666666665</v>
      </c>
      <c r="L880" s="130">
        <v>1.5333333333333334</v>
      </c>
      <c r="M880" s="130">
        <v>1.9</v>
      </c>
      <c r="N880" s="130">
        <v>3.7</v>
      </c>
      <c r="O8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3.7</v>
      </c>
    </row>
    <row r="881" spans="1:15" x14ac:dyDescent="0.25">
      <c r="A881" s="15">
        <v>33060414693</v>
      </c>
      <c r="B881" s="16" t="str">
        <f>VLOOKUP(Projeção[[#This Row],[Código]],BD_Produto[#All],6,FALSE)</f>
        <v>Rapid, 105 Gatilho direito - 15C  (177303)</v>
      </c>
      <c r="C881" s="130">
        <v>0.86666666666666659</v>
      </c>
      <c r="D881" s="130">
        <v>0.86666666666666659</v>
      </c>
      <c r="E881" s="130">
        <v>0.33333333333333331</v>
      </c>
      <c r="F881" s="130">
        <v>0.33333333333333331</v>
      </c>
      <c r="G881" s="130">
        <v>0.13333333333333333</v>
      </c>
      <c r="H881" s="130">
        <v>0.13333333333333333</v>
      </c>
      <c r="I881" s="130">
        <v>0.13333333333333333</v>
      </c>
      <c r="J881" s="130">
        <v>0.13333333333333333</v>
      </c>
      <c r="K881" s="130">
        <v>0.13333333333333333</v>
      </c>
      <c r="L881" s="130">
        <v>0.13333333333333333</v>
      </c>
      <c r="M881" s="130">
        <v>0.13333333333333333</v>
      </c>
      <c r="N881" s="130">
        <v>0.13333333333333333</v>
      </c>
      <c r="O8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0.73333333333333328</v>
      </c>
    </row>
    <row r="882" spans="1:15" x14ac:dyDescent="0.25">
      <c r="A882" s="15">
        <v>33060414694</v>
      </c>
      <c r="B882" s="16" t="str">
        <f>VLOOKUP(Projeção[[#This Row],[Código]],BD_Produto[#All],6,FALSE)</f>
        <v xml:space="preserve">Rapid, 105 Gatilho esquerdo- 16C </v>
      </c>
      <c r="C882" s="130">
        <v>0.93333333333333313</v>
      </c>
      <c r="D882" s="130">
        <v>0.93333333333333313</v>
      </c>
      <c r="E882" s="130">
        <v>0.39999999999999997</v>
      </c>
      <c r="F882" s="130">
        <v>0.39999999999999997</v>
      </c>
      <c r="G882" s="130">
        <v>0.19999999999999998</v>
      </c>
      <c r="H882" s="130">
        <v>0.13333333333333333</v>
      </c>
      <c r="I882" s="130">
        <v>0.13333333333333333</v>
      </c>
      <c r="J882" s="130">
        <v>0.13333333333333333</v>
      </c>
      <c r="K882" s="130">
        <v>0.13333333333333333</v>
      </c>
      <c r="L882" s="130">
        <v>0.13333333333333333</v>
      </c>
      <c r="M882" s="130">
        <v>0.13333333333333333</v>
      </c>
      <c r="N882" s="130">
        <v>0.13333333333333333</v>
      </c>
      <c r="O8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3" spans="1:15" x14ac:dyDescent="0.25">
      <c r="A883" s="15">
        <v>33060414617</v>
      </c>
      <c r="B883" s="16" t="str">
        <f>VLOOKUP(Projeção[[#This Row],[Código]],BD_Produto[#All],6,FALSE)</f>
        <v>Rapid, 105 Pedal  (10880302)</v>
      </c>
      <c r="C883" s="130">
        <v>0</v>
      </c>
      <c r="D883" s="130">
        <v>0</v>
      </c>
      <c r="E883" s="130">
        <v>0</v>
      </c>
      <c r="F883" s="130">
        <v>0</v>
      </c>
      <c r="G883" s="130">
        <v>0</v>
      </c>
      <c r="H883" s="130">
        <v>0</v>
      </c>
      <c r="I883" s="130">
        <v>0</v>
      </c>
      <c r="J883" s="130">
        <v>0</v>
      </c>
      <c r="K883" s="130">
        <v>0</v>
      </c>
      <c r="L883" s="130">
        <v>0</v>
      </c>
      <c r="M883" s="130">
        <v>0</v>
      </c>
      <c r="N883" s="130">
        <v>0</v>
      </c>
      <c r="O8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4" spans="1:15" x14ac:dyDescent="0.25">
      <c r="A884" s="15">
        <v>33060414695</v>
      </c>
      <c r="B884" s="16" t="str">
        <f>VLOOKUP(Projeção[[#This Row],[Código]],BD_Produto[#All],6,FALSE)</f>
        <v xml:space="preserve">Rapid, 105 Placa Eletrônica </v>
      </c>
      <c r="C884" s="130">
        <v>0</v>
      </c>
      <c r="D884" s="130">
        <v>0</v>
      </c>
      <c r="E884" s="130">
        <v>0</v>
      </c>
      <c r="F884" s="130">
        <v>0</v>
      </c>
      <c r="G884" s="130">
        <v>0</v>
      </c>
      <c r="H884" s="130">
        <v>0</v>
      </c>
      <c r="I884" s="130">
        <v>0</v>
      </c>
      <c r="J884" s="130">
        <v>0</v>
      </c>
      <c r="K884" s="130">
        <v>0</v>
      </c>
      <c r="L884" s="130">
        <v>0</v>
      </c>
      <c r="M884" s="130">
        <v>0.23333333333333334</v>
      </c>
      <c r="N884" s="130">
        <v>0.23333333333333334</v>
      </c>
      <c r="O8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885" spans="1:15" x14ac:dyDescent="0.25">
      <c r="A885" s="15">
        <v>33060454052</v>
      </c>
      <c r="B885" s="16" t="str">
        <f>VLOOKUP(Projeção[[#This Row],[Código]],BD_Produto[#All],6,FALSE)</f>
        <v>Rapid, 105 Unidade de controle de impacto  (177535)</v>
      </c>
      <c r="C885" s="130">
        <v>0</v>
      </c>
      <c r="D885" s="130">
        <v>0</v>
      </c>
      <c r="E885" s="130">
        <v>0</v>
      </c>
      <c r="F885" s="130">
        <v>0</v>
      </c>
      <c r="G885" s="130">
        <v>0</v>
      </c>
      <c r="H885" s="130">
        <v>0</v>
      </c>
      <c r="I885" s="130">
        <v>0</v>
      </c>
      <c r="J885" s="130">
        <v>0</v>
      </c>
      <c r="K885" s="130">
        <v>0</v>
      </c>
      <c r="L885" s="130">
        <v>0</v>
      </c>
      <c r="M885" s="130">
        <v>0</v>
      </c>
      <c r="N885" s="130">
        <v>0</v>
      </c>
      <c r="O8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6" spans="1:15" ht="15" customHeight="1" x14ac:dyDescent="0.25">
      <c r="A886" s="15">
        <v>33060414766</v>
      </c>
      <c r="B886" s="16" t="str">
        <f>VLOOKUP(Projeção[[#This Row],[Código]],BD_Produto[#All],6,FALSE)</f>
        <v>Rapid, 105 Unidade magnética 115V, 60Hz  (17781602)</v>
      </c>
      <c r="C886" s="130">
        <v>3.3333333333333333E-2</v>
      </c>
      <c r="D886" s="130">
        <v>3.3333333333333333E-2</v>
      </c>
      <c r="E886" s="130">
        <v>3.3333333333333333E-2</v>
      </c>
      <c r="F886" s="130">
        <v>3.3333333333333333E-2</v>
      </c>
      <c r="G886" s="130">
        <v>3.3333333333333333E-2</v>
      </c>
      <c r="H886" s="130">
        <v>3.3333333333333333E-2</v>
      </c>
      <c r="I886" s="130">
        <v>3.3333333333333333E-2</v>
      </c>
      <c r="J886" s="130">
        <v>3.3333333333333333E-2</v>
      </c>
      <c r="K886" s="130">
        <v>3.3333333333333333E-2</v>
      </c>
      <c r="L886" s="130">
        <v>0</v>
      </c>
      <c r="M886" s="130">
        <v>0</v>
      </c>
      <c r="N886" s="130">
        <v>0</v>
      </c>
      <c r="O8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7" spans="1:15" x14ac:dyDescent="0.25">
      <c r="A887" s="15">
        <v>33060414884</v>
      </c>
      <c r="B887" s="16" t="str">
        <f>VLOOKUP(Projeção[[#This Row],[Código]],BD_Produto[#All],6,FALSE)</f>
        <v>Rapid, 105, 106, Capa de Pedal  (146423)</v>
      </c>
      <c r="C887" s="130">
        <v>0</v>
      </c>
      <c r="D887" s="130">
        <v>0</v>
      </c>
      <c r="E887" s="130">
        <v>0</v>
      </c>
      <c r="F887" s="130">
        <v>0</v>
      </c>
      <c r="G887" s="130">
        <v>0</v>
      </c>
      <c r="H887" s="130">
        <v>0</v>
      </c>
      <c r="I887" s="130">
        <v>0</v>
      </c>
      <c r="J887" s="130">
        <v>0</v>
      </c>
      <c r="K887" s="130">
        <v>0</v>
      </c>
      <c r="L887" s="130">
        <v>0</v>
      </c>
      <c r="M887" s="130">
        <v>0</v>
      </c>
      <c r="N887" s="130">
        <v>0</v>
      </c>
      <c r="O8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8" spans="1:15" x14ac:dyDescent="0.25">
      <c r="A888" s="15">
        <v>33060464910</v>
      </c>
      <c r="B888" s="16" t="str">
        <f>VLOOKUP(Projeção[[#This Row],[Código]],BD_Produto[#All],6,FALSE)</f>
        <v>Rapid, 105, 106, Magazine completo 66 (148932)</v>
      </c>
      <c r="C888" s="130">
        <v>0</v>
      </c>
      <c r="D888" s="130">
        <v>0</v>
      </c>
      <c r="E888" s="130">
        <v>0</v>
      </c>
      <c r="F888" s="130">
        <v>0</v>
      </c>
      <c r="G888" s="130">
        <v>0</v>
      </c>
      <c r="H888" s="130">
        <v>0</v>
      </c>
      <c r="I888" s="130">
        <v>0</v>
      </c>
      <c r="J888" s="130">
        <v>0</v>
      </c>
      <c r="K888" s="130">
        <v>0</v>
      </c>
      <c r="L888" s="130">
        <v>0</v>
      </c>
      <c r="M888" s="130">
        <v>0</v>
      </c>
      <c r="N888" s="130">
        <v>0</v>
      </c>
      <c r="O8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89" spans="1:15" ht="15" customHeight="1" x14ac:dyDescent="0.25">
      <c r="A889" s="15">
        <v>33060414885</v>
      </c>
      <c r="B889" s="16" t="str">
        <f>VLOOKUP(Projeção[[#This Row],[Código]],BD_Produto[#All],6,FALSE)</f>
        <v>Rapid, 105, 106, Pistão  (177667)</v>
      </c>
      <c r="C889" s="130">
        <v>0</v>
      </c>
      <c r="D889" s="130">
        <v>0</v>
      </c>
      <c r="E889" s="130">
        <v>0</v>
      </c>
      <c r="F889" s="130">
        <v>0</v>
      </c>
      <c r="G889" s="130">
        <v>0</v>
      </c>
      <c r="H889" s="130">
        <v>0</v>
      </c>
      <c r="I889" s="130">
        <v>0</v>
      </c>
      <c r="J889" s="130">
        <v>0</v>
      </c>
      <c r="K889" s="130">
        <v>0</v>
      </c>
      <c r="L889" s="130">
        <v>0</v>
      </c>
      <c r="M889" s="130">
        <v>0</v>
      </c>
      <c r="N889" s="130">
        <v>0</v>
      </c>
      <c r="O8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0" spans="1:15" ht="15" customHeight="1" x14ac:dyDescent="0.25">
      <c r="A890" s="15">
        <v>33060464908</v>
      </c>
      <c r="B890" s="16" t="str">
        <f>VLOOKUP(Projeção[[#This Row],[Código]],BD_Produto[#All],6,FALSE)</f>
        <v>Rapid, 105, 106, Tampa superior 105 (17786501)</v>
      </c>
      <c r="C890" s="130">
        <v>0.16666666666666666</v>
      </c>
      <c r="D890" s="130">
        <v>0.16666666666666666</v>
      </c>
      <c r="E890" s="130">
        <v>0.16666666666666666</v>
      </c>
      <c r="F890" s="130">
        <v>0.16666666666666666</v>
      </c>
      <c r="G890" s="130">
        <v>1.8666666666666667</v>
      </c>
      <c r="H890" s="130">
        <v>0.66666666666666652</v>
      </c>
      <c r="I890" s="130">
        <v>0.66666666666666652</v>
      </c>
      <c r="J890" s="130">
        <v>0.66666666666666652</v>
      </c>
      <c r="K890" s="130">
        <v>0.66666666666666652</v>
      </c>
      <c r="L890" s="130">
        <v>9.9999999999999992E-2</v>
      </c>
      <c r="M890" s="130">
        <v>0.3</v>
      </c>
      <c r="N890" s="130">
        <v>9.9999999999999992E-2</v>
      </c>
      <c r="O8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0.70000000000000007</v>
      </c>
    </row>
    <row r="891" spans="1:15" ht="15" customHeight="1" x14ac:dyDescent="0.25">
      <c r="A891" s="15">
        <v>33060464909</v>
      </c>
      <c r="B891" s="16" t="str">
        <f>VLOOKUP(Projeção[[#This Row],[Código]],BD_Produto[#All],6,FALSE)</f>
        <v>Rapid, 105, 106, Trava (177824)</v>
      </c>
      <c r="C891" s="130">
        <v>0</v>
      </c>
      <c r="D891" s="130">
        <v>0</v>
      </c>
      <c r="E891" s="130">
        <v>0</v>
      </c>
      <c r="F891" s="130">
        <v>0</v>
      </c>
      <c r="G891" s="130">
        <v>0</v>
      </c>
      <c r="H891" s="130">
        <v>0</v>
      </c>
      <c r="I891" s="130">
        <v>0</v>
      </c>
      <c r="J891" s="130">
        <v>0</v>
      </c>
      <c r="K891" s="130">
        <v>0</v>
      </c>
      <c r="L891" s="130">
        <v>0</v>
      </c>
      <c r="M891" s="130">
        <v>0</v>
      </c>
      <c r="N891" s="130">
        <v>0</v>
      </c>
      <c r="O8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2" spans="1:15" ht="15" customHeight="1" x14ac:dyDescent="0.25">
      <c r="A892" s="15">
        <v>33060460535</v>
      </c>
      <c r="B892" s="16" t="str">
        <f>VLOOKUP(Projeção[[#This Row],[Código]],BD_Produto[#All],6,FALSE)</f>
        <v>Rapid, 105,106, Pistão com  Lâmina Faca  (12105301)</v>
      </c>
      <c r="C892" s="130">
        <v>2.1666666666666665</v>
      </c>
      <c r="D892" s="130">
        <v>1.7666666666666668</v>
      </c>
      <c r="E892" s="130">
        <v>0.43333333333333329</v>
      </c>
      <c r="F892" s="130">
        <v>0.43333333333333329</v>
      </c>
      <c r="G892" s="130">
        <v>6.1</v>
      </c>
      <c r="H892" s="130">
        <v>2.1</v>
      </c>
      <c r="I892" s="130">
        <v>2.1</v>
      </c>
      <c r="J892" s="130">
        <v>2.1</v>
      </c>
      <c r="K892" s="130">
        <v>2.1</v>
      </c>
      <c r="L892" s="130">
        <v>0.76666666666666672</v>
      </c>
      <c r="M892" s="130">
        <v>1.4333333333333333</v>
      </c>
      <c r="N892" s="130">
        <v>0.66666666666666663</v>
      </c>
      <c r="O8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5.666666666666667</v>
      </c>
    </row>
    <row r="893" spans="1:15" ht="15" customHeight="1" x14ac:dyDescent="0.2">
      <c r="A893" s="15">
        <v>33060454013</v>
      </c>
      <c r="B893" s="68" t="str">
        <f>VLOOKUP(Projeção[[#This Row],[Código]],BD_Produto[#All],6,FALSE)</f>
        <v>Rapid, 105,106, Unidade Magnetica 220-230V,50Hz ( 17781601)</v>
      </c>
      <c r="C893" s="137"/>
      <c r="D893" s="137"/>
      <c r="E893" s="137"/>
      <c r="F893" s="137"/>
      <c r="G893" s="137"/>
      <c r="H893" s="137">
        <v>0</v>
      </c>
      <c r="I893" s="137">
        <v>0</v>
      </c>
      <c r="J893" s="137">
        <v>0</v>
      </c>
      <c r="K893" s="137">
        <v>0</v>
      </c>
      <c r="L893" s="137">
        <v>0</v>
      </c>
      <c r="M893" s="137">
        <v>0</v>
      </c>
      <c r="N893" s="138">
        <v>0</v>
      </c>
      <c r="O893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4" spans="1:15" x14ac:dyDescent="0.25">
      <c r="A894" s="15">
        <v>33060414611</v>
      </c>
      <c r="B894" s="16" t="str">
        <f>VLOOKUP(Projeção[[#This Row],[Código]],BD_Produto[#All],6,FALSE)</f>
        <v>Rapid, 105e e 106e Cabo ótico 700 mm  (17774102)</v>
      </c>
      <c r="C894" s="130">
        <v>0</v>
      </c>
      <c r="D894" s="130">
        <v>0</v>
      </c>
      <c r="E894" s="130">
        <v>0</v>
      </c>
      <c r="F894" s="130">
        <v>0.56666666666666654</v>
      </c>
      <c r="G894" s="130">
        <v>0.16666666666666663</v>
      </c>
      <c r="H894" s="130">
        <v>0.16666666666666663</v>
      </c>
      <c r="I894" s="130">
        <v>0.16666666666666663</v>
      </c>
      <c r="J894" s="130">
        <v>3.3333333333333333E-2</v>
      </c>
      <c r="K894" s="130">
        <v>0.16666666666666663</v>
      </c>
      <c r="L894" s="130">
        <v>3.3333333333333333E-2</v>
      </c>
      <c r="M894" s="130">
        <v>3.3333333333333333E-2</v>
      </c>
      <c r="N894" s="130">
        <v>3.3333333333333333E-2</v>
      </c>
      <c r="O8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5" spans="1:15" x14ac:dyDescent="0.25">
      <c r="A895" s="15">
        <v>33060414671</v>
      </c>
      <c r="B895" s="16" t="str">
        <f>VLOOKUP(Projeção[[#This Row],[Código]],BD_Produto[#All],6,FALSE)</f>
        <v>Rapid, 106 Corpo R252-106, 66R/6  (10843112)</v>
      </c>
      <c r="C895" s="130">
        <v>3.3333333333333333E-2</v>
      </c>
      <c r="D895" s="130">
        <v>3.3333333333333333E-2</v>
      </c>
      <c r="E895" s="130">
        <v>3.3333333333333333E-2</v>
      </c>
      <c r="F895" s="130">
        <v>3.3333333333333333E-2</v>
      </c>
      <c r="G895" s="130">
        <v>3.3333333333333333E-2</v>
      </c>
      <c r="H895" s="130">
        <v>3.3333333333333333E-2</v>
      </c>
      <c r="I895" s="130">
        <v>3.3333333333333333E-2</v>
      </c>
      <c r="J895" s="130">
        <v>3.3333333333333333E-2</v>
      </c>
      <c r="K895" s="130">
        <v>3.3333333333333333E-2</v>
      </c>
      <c r="L895" s="130">
        <v>0</v>
      </c>
      <c r="M895" s="130">
        <v>0</v>
      </c>
      <c r="N895" s="130">
        <v>0</v>
      </c>
      <c r="O8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6" spans="1:15" x14ac:dyDescent="0.25">
      <c r="A896" s="15">
        <v>33060414640</v>
      </c>
      <c r="B896" s="16" t="str">
        <f>VLOOKUP(Projeção[[#This Row],[Código]],BD_Produto[#All],6,FALSE)</f>
        <v>Rapid, 106 Corpo R2EI-106, 66/6-8  (10842312)</v>
      </c>
      <c r="C896" s="130">
        <v>0</v>
      </c>
      <c r="D896" s="130">
        <v>0</v>
      </c>
      <c r="E896" s="130">
        <v>0</v>
      </c>
      <c r="F896" s="130">
        <v>2.8333333333333335</v>
      </c>
      <c r="G896" s="130">
        <v>0.83333333333333337</v>
      </c>
      <c r="H896" s="130">
        <v>0.83333333333333337</v>
      </c>
      <c r="I896" s="130">
        <v>0.83333333333333337</v>
      </c>
      <c r="J896" s="130">
        <v>0.16666666666666666</v>
      </c>
      <c r="K896" s="130">
        <v>0.83333333333333337</v>
      </c>
      <c r="L896" s="130">
        <v>0.16666666666666666</v>
      </c>
      <c r="M896" s="130">
        <v>0.16666666666666666</v>
      </c>
      <c r="N896" s="130">
        <v>0.16666666666666666</v>
      </c>
      <c r="O8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0.89999999999999991</v>
      </c>
    </row>
    <row r="897" spans="1:15" x14ac:dyDescent="0.25">
      <c r="A897" s="15">
        <v>33060414679</v>
      </c>
      <c r="B897" s="16" t="str">
        <f>VLOOKUP(Projeção[[#This Row],[Código]],BD_Produto[#All],6,FALSE)</f>
        <v>Rapid, 106 Placa corrediça  (178764)</v>
      </c>
      <c r="C897" s="130">
        <v>0</v>
      </c>
      <c r="D897" s="130">
        <v>0</v>
      </c>
      <c r="E897" s="130">
        <v>0</v>
      </c>
      <c r="F897" s="130">
        <v>0</v>
      </c>
      <c r="G897" s="130">
        <v>0</v>
      </c>
      <c r="H897" s="130">
        <v>0</v>
      </c>
      <c r="I897" s="130">
        <v>0</v>
      </c>
      <c r="J897" s="130">
        <v>0</v>
      </c>
      <c r="K897" s="130">
        <v>0</v>
      </c>
      <c r="L897" s="130">
        <v>0</v>
      </c>
      <c r="M897" s="130">
        <v>0</v>
      </c>
      <c r="N897" s="130">
        <v>0</v>
      </c>
      <c r="O8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8" spans="1:15" x14ac:dyDescent="0.25">
      <c r="A898" s="15">
        <v>33060464979</v>
      </c>
      <c r="B898" s="16" t="str">
        <f>VLOOKUP(Projeção[[#This Row],[Código]],BD_Produto[#All],6,FALSE)</f>
        <v>Rapid, 106, Bigorna ( 14672010 )</v>
      </c>
      <c r="C898" s="130">
        <v>3.3333333333333333E-2</v>
      </c>
      <c r="D898" s="130">
        <v>3.3333333333333333E-2</v>
      </c>
      <c r="E898" s="130">
        <v>3.3333333333333333E-2</v>
      </c>
      <c r="F898" s="130">
        <v>3.3333333333333333E-2</v>
      </c>
      <c r="G898" s="130">
        <v>3.3333333333333333E-2</v>
      </c>
      <c r="H898" s="130">
        <v>3.3333333333333333E-2</v>
      </c>
      <c r="I898" s="130">
        <v>3.3333333333333333E-2</v>
      </c>
      <c r="J898" s="130">
        <v>3.3333333333333333E-2</v>
      </c>
      <c r="K898" s="130">
        <v>3.3333333333333333E-2</v>
      </c>
      <c r="L898" s="130">
        <v>3.3333333333333333E-2</v>
      </c>
      <c r="M898" s="130">
        <v>0</v>
      </c>
      <c r="N898" s="130">
        <v>0</v>
      </c>
      <c r="O8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899" spans="1:15" x14ac:dyDescent="0.25">
      <c r="A899" s="15">
        <v>33070424534</v>
      </c>
      <c r="B899" s="16" t="str">
        <f>VLOOKUP(Projeção[[#This Row],[Código]],BD_Produto[#All],6,FALSE)</f>
        <v>Rapid, 14 Lâmina (faca) DRIVING BLADE</v>
      </c>
      <c r="C899" s="130">
        <v>0</v>
      </c>
      <c r="D899" s="130">
        <v>0</v>
      </c>
      <c r="E899" s="130">
        <v>0</v>
      </c>
      <c r="F899" s="130">
        <v>0</v>
      </c>
      <c r="G899" s="130">
        <v>0</v>
      </c>
      <c r="H899" s="130">
        <v>0</v>
      </c>
      <c r="I899" s="130">
        <v>0</v>
      </c>
      <c r="J899" s="130">
        <v>0</v>
      </c>
      <c r="K899" s="130">
        <v>0</v>
      </c>
      <c r="L899" s="130">
        <v>0</v>
      </c>
      <c r="M899" s="130">
        <v>0</v>
      </c>
      <c r="N899" s="130">
        <v>0</v>
      </c>
      <c r="O8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0" spans="1:15" ht="15" customHeight="1" x14ac:dyDescent="0.25">
      <c r="A900" s="15">
        <v>33070424535</v>
      </c>
      <c r="B900" s="16" t="str">
        <f>VLOOKUP(Projeção[[#This Row],[Código]],BD_Produto[#All],6,FALSE)</f>
        <v>Rapid, 14 Mola completa   COMPLETE SPRING</v>
      </c>
      <c r="C900" s="130">
        <v>0</v>
      </c>
      <c r="D900" s="130">
        <v>0</v>
      </c>
      <c r="E900" s="130">
        <v>0</v>
      </c>
      <c r="F900" s="130">
        <v>0</v>
      </c>
      <c r="G900" s="130">
        <v>0</v>
      </c>
      <c r="H900" s="130">
        <v>0</v>
      </c>
      <c r="I900" s="130">
        <v>0</v>
      </c>
      <c r="J900" s="130">
        <v>0</v>
      </c>
      <c r="K900" s="130">
        <v>0</v>
      </c>
      <c r="L900" s="130">
        <v>0</v>
      </c>
      <c r="M900" s="130">
        <v>0</v>
      </c>
      <c r="N900" s="130">
        <v>0</v>
      </c>
      <c r="O9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1" spans="1:15" ht="15" customHeight="1" x14ac:dyDescent="0.2">
      <c r="A901" s="15">
        <v>33060464844</v>
      </c>
      <c r="B901" s="68" t="str">
        <f>VLOOKUP(Projeção[[#This Row],[Código]],BD_Produto[#All],6,FALSE)</f>
        <v>Rapid, 156 Lâmina (Faca) (209235)</v>
      </c>
      <c r="C901" s="132"/>
      <c r="D901" s="132"/>
      <c r="E901" s="132"/>
      <c r="F901" s="132"/>
      <c r="G901" s="132"/>
      <c r="H901" s="132">
        <v>0.5</v>
      </c>
      <c r="I901" s="132">
        <v>0.5</v>
      </c>
      <c r="J901" s="132">
        <v>0.5</v>
      </c>
      <c r="K901" s="132">
        <v>0.5</v>
      </c>
      <c r="L901" s="132">
        <v>0.5</v>
      </c>
      <c r="M901" s="132">
        <v>0</v>
      </c>
      <c r="N901" s="133">
        <v>0</v>
      </c>
      <c r="O901" s="133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2" spans="1:15" ht="15" customHeight="1" x14ac:dyDescent="0.2">
      <c r="A902" s="15">
        <v>33060464843</v>
      </c>
      <c r="B902" s="68" t="str">
        <f>VLOOKUP(Projeção[[#This Row],[Código]],BD_Produto[#All],6,FALSE)</f>
        <v>Rapid, 156, Alimentador completo R153 (148205)</v>
      </c>
      <c r="C902" s="137"/>
      <c r="D902" s="137"/>
      <c r="E902" s="137"/>
      <c r="F902" s="137"/>
      <c r="G902" s="137"/>
      <c r="H902" s="137">
        <v>0.33333333333333331</v>
      </c>
      <c r="I902" s="137">
        <v>0.33333333333333331</v>
      </c>
      <c r="J902" s="137">
        <v>0.33333333333333331</v>
      </c>
      <c r="K902" s="137">
        <v>0.33333333333333331</v>
      </c>
      <c r="L902" s="137">
        <v>0.33333333333333331</v>
      </c>
      <c r="M902" s="137">
        <v>0</v>
      </c>
      <c r="N902" s="138">
        <v>0</v>
      </c>
      <c r="O902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3" spans="1:15" x14ac:dyDescent="0.25">
      <c r="A903" s="15">
        <v>33060414664</v>
      </c>
      <c r="B903" s="16" t="str">
        <f>VLOOKUP(Projeção[[#This Row],[Código]],BD_Produto[#All],6,FALSE)</f>
        <v>Rapid, 1T, Alimentador  (120342)</v>
      </c>
      <c r="C903" s="130">
        <v>0</v>
      </c>
      <c r="D903" s="130">
        <v>0</v>
      </c>
      <c r="E903" s="130">
        <v>0</v>
      </c>
      <c r="F903" s="130">
        <v>0</v>
      </c>
      <c r="G903" s="130">
        <v>0</v>
      </c>
      <c r="H903" s="130">
        <v>0</v>
      </c>
      <c r="I903" s="130">
        <v>0</v>
      </c>
      <c r="J903" s="130">
        <v>0</v>
      </c>
      <c r="K903" s="130">
        <v>0</v>
      </c>
      <c r="L903" s="130">
        <v>0</v>
      </c>
      <c r="M903" s="130">
        <v>0</v>
      </c>
      <c r="N903" s="130">
        <v>0</v>
      </c>
      <c r="O9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4" spans="1:15" ht="15" customHeight="1" x14ac:dyDescent="0.25">
      <c r="A904" s="15">
        <v>33060414663</v>
      </c>
      <c r="B904" s="16" t="str">
        <f>VLOOKUP(Projeção[[#This Row],[Código]],BD_Produto[#All],6,FALSE)</f>
        <v>Rapid, 1T, Lâmina (faca)  (120246)</v>
      </c>
      <c r="C904" s="130">
        <v>0</v>
      </c>
      <c r="D904" s="130">
        <v>0</v>
      </c>
      <c r="E904" s="130">
        <v>0</v>
      </c>
      <c r="F904" s="130">
        <v>0</v>
      </c>
      <c r="G904" s="130">
        <v>0</v>
      </c>
      <c r="H904" s="130">
        <v>0</v>
      </c>
      <c r="I904" s="130">
        <v>0</v>
      </c>
      <c r="J904" s="130">
        <v>0</v>
      </c>
      <c r="K904" s="130">
        <v>0</v>
      </c>
      <c r="L904" s="130">
        <v>0</v>
      </c>
      <c r="M904" s="130">
        <v>0</v>
      </c>
      <c r="N904" s="130">
        <v>0</v>
      </c>
      <c r="O9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5" spans="1:15" x14ac:dyDescent="0.25">
      <c r="A905" s="15">
        <v>33070454047</v>
      </c>
      <c r="B905" s="16" t="str">
        <f>VLOOKUP(Projeção[[#This Row],[Código]],BD_Produto[#All],6,FALSE)</f>
        <v>Rapid, 23 Alimentador  (147801)</v>
      </c>
      <c r="C905" s="130">
        <v>0</v>
      </c>
      <c r="D905" s="130">
        <v>0</v>
      </c>
      <c r="E905" s="130">
        <v>0</v>
      </c>
      <c r="F905" s="130">
        <v>0</v>
      </c>
      <c r="G905" s="130">
        <v>0</v>
      </c>
      <c r="H905" s="130">
        <v>0</v>
      </c>
      <c r="I905" s="130">
        <v>0</v>
      </c>
      <c r="J905" s="130">
        <v>0</v>
      </c>
      <c r="K905" s="130">
        <v>0</v>
      </c>
      <c r="L905" s="130">
        <v>0</v>
      </c>
      <c r="M905" s="130">
        <v>0</v>
      </c>
      <c r="N905" s="130">
        <v>0</v>
      </c>
      <c r="O9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6" spans="1:15" x14ac:dyDescent="0.25">
      <c r="A906" s="15">
        <v>33070460771</v>
      </c>
      <c r="B906" s="16" t="str">
        <f>VLOOKUP(Projeção[[#This Row],[Código]],BD_Produto[#All],6,FALSE)</f>
        <v>Rapid, 23 Alimentador  (147801)</v>
      </c>
      <c r="C906" s="130">
        <v>0</v>
      </c>
      <c r="D906" s="130">
        <v>0</v>
      </c>
      <c r="E906" s="130">
        <v>0</v>
      </c>
      <c r="F906" s="130">
        <v>0</v>
      </c>
      <c r="G906" s="130">
        <v>0</v>
      </c>
      <c r="H906" s="130">
        <v>0</v>
      </c>
      <c r="I906" s="130">
        <v>0</v>
      </c>
      <c r="J906" s="130">
        <v>0</v>
      </c>
      <c r="K906" s="130">
        <v>0</v>
      </c>
      <c r="L906" s="130">
        <v>0</v>
      </c>
      <c r="M906" s="130">
        <v>0</v>
      </c>
      <c r="N906" s="130">
        <v>0</v>
      </c>
      <c r="O9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07" spans="1:15" x14ac:dyDescent="0.25">
      <c r="A907" s="15">
        <v>33070414530</v>
      </c>
      <c r="B907" s="16" t="str">
        <f>VLOOKUP(Projeção[[#This Row],[Código]],BD_Produto[#All],6,FALSE)</f>
        <v>Rapid, 23 Lâmina (faca)  (124446)</v>
      </c>
      <c r="C907" s="130">
        <v>10.966666666666665</v>
      </c>
      <c r="D907" s="130">
        <v>8.9666666666666668</v>
      </c>
      <c r="E907" s="130">
        <v>3.6333333333333337</v>
      </c>
      <c r="F907" s="130">
        <v>3.6333333333333337</v>
      </c>
      <c r="G907" s="130">
        <v>11.133333333333331</v>
      </c>
      <c r="H907" s="130">
        <v>4.833333333333333</v>
      </c>
      <c r="I907" s="130">
        <v>4.833333333333333</v>
      </c>
      <c r="J907" s="130">
        <v>4.833333333333333</v>
      </c>
      <c r="K907" s="130">
        <v>4.833333333333333</v>
      </c>
      <c r="L907" s="130">
        <v>6.5</v>
      </c>
      <c r="M907" s="130">
        <v>9.1666666666666661</v>
      </c>
      <c r="N907" s="130">
        <v>4.333333333333333</v>
      </c>
      <c r="O9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4.7666666666666675</v>
      </c>
    </row>
    <row r="908" spans="1:15" x14ac:dyDescent="0.25">
      <c r="A908" s="15">
        <v>33070424531</v>
      </c>
      <c r="B908" s="16" t="str">
        <f>VLOOKUP(Projeção[[#This Row],[Código]],BD_Produto[#All],6,FALSE)</f>
        <v>Rapid, 23, 105, Lâmina (mola)  (124503)</v>
      </c>
      <c r="C908" s="130">
        <v>3.3333333333333335</v>
      </c>
      <c r="D908" s="130">
        <v>3.3333333333333335</v>
      </c>
      <c r="E908" s="130">
        <v>0.66666666666666663</v>
      </c>
      <c r="F908" s="130">
        <v>0.66666666666666663</v>
      </c>
      <c r="G908" s="130">
        <v>0.66666666666666663</v>
      </c>
      <c r="H908" s="130">
        <v>0.66666666666666663</v>
      </c>
      <c r="I908" s="130">
        <v>0.66666666666666663</v>
      </c>
      <c r="J908" s="130">
        <v>0.66666666666666663</v>
      </c>
      <c r="K908" s="130">
        <v>0.66666666666666663</v>
      </c>
      <c r="L908" s="130">
        <v>0.66666666666666663</v>
      </c>
      <c r="M908" s="130">
        <v>0.66666666666666663</v>
      </c>
      <c r="N908" s="130">
        <v>0.66666666666666663</v>
      </c>
      <c r="O9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2.4333333333333331</v>
      </c>
    </row>
    <row r="909" spans="1:15" x14ac:dyDescent="0.25">
      <c r="A909" s="15">
        <v>33060460533</v>
      </c>
      <c r="B909" s="16" t="str">
        <f>VLOOKUP(Projeção[[#This Row],[Código]],BD_Produto[#All],6,FALSE)</f>
        <v>Rapid, 31 Alimentador  (125435)</v>
      </c>
      <c r="C909" s="130">
        <v>0</v>
      </c>
      <c r="D909" s="130">
        <v>0</v>
      </c>
      <c r="E909" s="130">
        <v>0</v>
      </c>
      <c r="F909" s="130">
        <v>0</v>
      </c>
      <c r="G909" s="130">
        <v>0</v>
      </c>
      <c r="H909" s="130">
        <v>0</v>
      </c>
      <c r="I909" s="130">
        <v>0</v>
      </c>
      <c r="J909" s="130">
        <v>0</v>
      </c>
      <c r="K909" s="130">
        <v>0</v>
      </c>
      <c r="L909" s="130">
        <v>0</v>
      </c>
      <c r="M909" s="130">
        <v>0</v>
      </c>
      <c r="N909" s="130">
        <v>0</v>
      </c>
      <c r="O9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0" spans="1:15" ht="15" customHeight="1" x14ac:dyDescent="0.25">
      <c r="A910" s="15">
        <v>33060460532</v>
      </c>
      <c r="B910" s="16" t="str">
        <f>VLOOKUP(Projeção[[#This Row],[Código]],BD_Produto[#All],6,FALSE)</f>
        <v>Rapid, 31 Bigorna  (125534)</v>
      </c>
      <c r="C910" s="130">
        <v>0</v>
      </c>
      <c r="D910" s="130">
        <v>0</v>
      </c>
      <c r="E910" s="130">
        <v>0</v>
      </c>
      <c r="F910" s="130">
        <v>0</v>
      </c>
      <c r="G910" s="130">
        <v>0</v>
      </c>
      <c r="H910" s="130">
        <v>0</v>
      </c>
      <c r="I910" s="130">
        <v>0</v>
      </c>
      <c r="J910" s="130">
        <v>0</v>
      </c>
      <c r="K910" s="130">
        <v>0</v>
      </c>
      <c r="L910" s="130">
        <v>0</v>
      </c>
      <c r="M910" s="130">
        <v>0</v>
      </c>
      <c r="N910" s="130">
        <v>0</v>
      </c>
      <c r="O9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1" spans="1:15" ht="15" customHeight="1" x14ac:dyDescent="0.25">
      <c r="A911" s="15">
        <v>33060460536</v>
      </c>
      <c r="B911" s="16" t="str">
        <f>VLOOKUP(Projeção[[#This Row],[Código]],BD_Produto[#All],6,FALSE)</f>
        <v>Rapid, 31 Lâmina (faca)  (125401)</v>
      </c>
      <c r="C911" s="130">
        <v>0</v>
      </c>
      <c r="D911" s="130">
        <v>0</v>
      </c>
      <c r="E911" s="130">
        <v>0</v>
      </c>
      <c r="F911" s="130">
        <v>0</v>
      </c>
      <c r="G911" s="130">
        <v>0</v>
      </c>
      <c r="H911" s="130">
        <v>0</v>
      </c>
      <c r="I911" s="130">
        <v>0</v>
      </c>
      <c r="J911" s="130">
        <v>0</v>
      </c>
      <c r="K911" s="130">
        <v>0</v>
      </c>
      <c r="L911" s="130">
        <v>0</v>
      </c>
      <c r="M911" s="130">
        <v>0</v>
      </c>
      <c r="N911" s="130">
        <v>0</v>
      </c>
      <c r="O9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2" spans="1:15" x14ac:dyDescent="0.25">
      <c r="A912" s="15">
        <v>33070460772</v>
      </c>
      <c r="B912" s="16" t="str">
        <f>VLOOKUP(Projeção[[#This Row],[Código]],BD_Produto[#All],6,FALSE)</f>
        <v>Rapid, 31 Magazine  (144790)</v>
      </c>
      <c r="C912" s="130">
        <v>0</v>
      </c>
      <c r="D912" s="130">
        <v>0</v>
      </c>
      <c r="E912" s="130">
        <v>0</v>
      </c>
      <c r="F912" s="130">
        <v>0</v>
      </c>
      <c r="G912" s="130">
        <v>0</v>
      </c>
      <c r="H912" s="130">
        <v>0</v>
      </c>
      <c r="I912" s="130">
        <v>0</v>
      </c>
      <c r="J912" s="130">
        <v>0</v>
      </c>
      <c r="K912" s="130">
        <v>0</v>
      </c>
      <c r="L912" s="130">
        <v>0</v>
      </c>
      <c r="M912" s="130">
        <v>0</v>
      </c>
      <c r="N912" s="130">
        <v>0</v>
      </c>
      <c r="O9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3" spans="1:15" x14ac:dyDescent="0.25">
      <c r="A913" s="15">
        <v>33070424533</v>
      </c>
      <c r="B913" s="16" t="str">
        <f>VLOOKUP(Projeção[[#This Row],[Código]],BD_Produto[#All],6,FALSE)</f>
        <v>Rapid, 34 Conjunto de lâmina (mola)  (125807)</v>
      </c>
      <c r="C913" s="130">
        <v>0</v>
      </c>
      <c r="D913" s="130">
        <v>0</v>
      </c>
      <c r="E913" s="130">
        <v>0</v>
      </c>
      <c r="F913" s="130">
        <v>0</v>
      </c>
      <c r="G913" s="130">
        <v>0</v>
      </c>
      <c r="H913" s="130">
        <v>0</v>
      </c>
      <c r="I913" s="130">
        <v>0</v>
      </c>
      <c r="J913" s="130">
        <v>0</v>
      </c>
      <c r="K913" s="130">
        <v>0</v>
      </c>
      <c r="L913" s="130">
        <v>0</v>
      </c>
      <c r="M913" s="130">
        <v>0</v>
      </c>
      <c r="N913" s="130">
        <v>0</v>
      </c>
      <c r="O9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4" spans="1:15" x14ac:dyDescent="0.25">
      <c r="A914" s="15">
        <v>33070424532</v>
      </c>
      <c r="B914" s="16" t="str">
        <f>VLOOKUP(Projeção[[#This Row],[Código]],BD_Produto[#All],6,FALSE)</f>
        <v>Rapid, 34 Lâmina (faca)  (125641)</v>
      </c>
      <c r="C914" s="130">
        <v>0</v>
      </c>
      <c r="D914" s="130">
        <v>0</v>
      </c>
      <c r="E914" s="130">
        <v>0</v>
      </c>
      <c r="F914" s="130">
        <v>0</v>
      </c>
      <c r="G914" s="130">
        <v>0</v>
      </c>
      <c r="H914" s="130">
        <v>0</v>
      </c>
      <c r="I914" s="130">
        <v>0</v>
      </c>
      <c r="J914" s="130">
        <v>0</v>
      </c>
      <c r="K914" s="130">
        <v>0</v>
      </c>
      <c r="L914" s="130">
        <v>0</v>
      </c>
      <c r="M914" s="130">
        <v>0</v>
      </c>
      <c r="N914" s="130">
        <v>0</v>
      </c>
      <c r="O9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5" spans="1:15" ht="15" customHeight="1" x14ac:dyDescent="0.25">
      <c r="A915" s="15">
        <v>33060424667</v>
      </c>
      <c r="B915" s="16" t="str">
        <f>VLOOKUP(Projeção[[#This Row],[Código]],BD_Produto[#All],6,FALSE)</f>
        <v xml:space="preserve">Rapid, 49 Bigorna </v>
      </c>
      <c r="C915" s="130">
        <v>0.66666666666666652</v>
      </c>
      <c r="D915" s="130">
        <v>0.66666666666666652</v>
      </c>
      <c r="E915" s="130">
        <v>0.13333333333333333</v>
      </c>
      <c r="F915" s="130">
        <v>0.13333333333333333</v>
      </c>
      <c r="G915" s="130">
        <v>0.13333333333333333</v>
      </c>
      <c r="H915" s="130">
        <v>0.13333333333333333</v>
      </c>
      <c r="I915" s="130">
        <v>0.13333333333333333</v>
      </c>
      <c r="J915" s="130">
        <v>0.13333333333333333</v>
      </c>
      <c r="K915" s="130">
        <v>0.13333333333333333</v>
      </c>
      <c r="L915" s="130">
        <v>0.13333333333333333</v>
      </c>
      <c r="M915" s="130">
        <v>0.13333333333333333</v>
      </c>
      <c r="N915" s="130">
        <v>0.13333333333333333</v>
      </c>
      <c r="O9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6" spans="1:15" ht="15" customHeight="1" x14ac:dyDescent="0.25">
      <c r="A916" s="15">
        <v>33060424540</v>
      </c>
      <c r="B916" s="16" t="str">
        <f>VLOOKUP(Projeção[[#This Row],[Código]],BD_Produto[#All],6,FALSE)</f>
        <v xml:space="preserve">Rapid, 49 Botão de relaxe </v>
      </c>
      <c r="C916" s="130">
        <v>0.66666666666666652</v>
      </c>
      <c r="D916" s="130">
        <v>0.66666666666666652</v>
      </c>
      <c r="E916" s="130">
        <v>0.13333333333333333</v>
      </c>
      <c r="F916" s="130">
        <v>0.13333333333333333</v>
      </c>
      <c r="G916" s="130">
        <v>0.13333333333333333</v>
      </c>
      <c r="H916" s="130">
        <v>0.13333333333333333</v>
      </c>
      <c r="I916" s="130">
        <v>0.13333333333333333</v>
      </c>
      <c r="J916" s="130">
        <v>0.13333333333333333</v>
      </c>
      <c r="K916" s="130">
        <v>0.13333333333333333</v>
      </c>
      <c r="L916" s="130">
        <v>0.13333333333333333</v>
      </c>
      <c r="M916" s="130">
        <v>0.13333333333333333</v>
      </c>
      <c r="N916" s="130">
        <v>0.13333333333333333</v>
      </c>
      <c r="O9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7" spans="1:15" x14ac:dyDescent="0.25">
      <c r="A917" s="15">
        <v>33060424539</v>
      </c>
      <c r="B917" s="16" t="str">
        <f>VLOOKUP(Projeção[[#This Row],[Código]],BD_Produto[#All],6,FALSE)</f>
        <v xml:space="preserve">Rapid, 49 Lâmina (faca) </v>
      </c>
      <c r="C917" s="130">
        <v>1</v>
      </c>
      <c r="D917" s="130">
        <v>1</v>
      </c>
      <c r="E917" s="130">
        <v>0.19999999999999998</v>
      </c>
      <c r="F917" s="130">
        <v>0.19999999999999998</v>
      </c>
      <c r="G917" s="130">
        <v>0.19999999999999998</v>
      </c>
      <c r="H917" s="130">
        <v>0.19999999999999998</v>
      </c>
      <c r="I917" s="130">
        <v>0.19999999999999998</v>
      </c>
      <c r="J917" s="130">
        <v>0.19999999999999998</v>
      </c>
      <c r="K917" s="130">
        <v>0.19999999999999998</v>
      </c>
      <c r="L917" s="130">
        <v>0.19999999999999998</v>
      </c>
      <c r="M917" s="130">
        <v>0.19999999999999998</v>
      </c>
      <c r="N917" s="130">
        <v>0.19999999999999998</v>
      </c>
      <c r="O9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8" spans="1:15" ht="15" customHeight="1" x14ac:dyDescent="0.25">
      <c r="A918" s="15">
        <v>33060424541</v>
      </c>
      <c r="B918" s="16" t="str">
        <f>VLOOKUP(Projeção[[#This Row],[Código]],BD_Produto[#All],6,FALSE)</f>
        <v xml:space="preserve">Rapid, 49 Mola </v>
      </c>
      <c r="C918" s="130">
        <v>0.66666666666666652</v>
      </c>
      <c r="D918" s="130">
        <v>0.66666666666666652</v>
      </c>
      <c r="E918" s="130">
        <v>0.13333333333333333</v>
      </c>
      <c r="F918" s="130">
        <v>0.13333333333333333</v>
      </c>
      <c r="G918" s="130">
        <v>0.13333333333333333</v>
      </c>
      <c r="H918" s="130">
        <v>0.13333333333333333</v>
      </c>
      <c r="I918" s="130">
        <v>0.13333333333333333</v>
      </c>
      <c r="J918" s="130">
        <v>0.13333333333333333</v>
      </c>
      <c r="K918" s="130">
        <v>0.13333333333333333</v>
      </c>
      <c r="L918" s="130">
        <v>0.13333333333333333</v>
      </c>
      <c r="M918" s="130">
        <v>0.13333333333333333</v>
      </c>
      <c r="N918" s="130">
        <v>0.13333333333333333</v>
      </c>
      <c r="O9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19" spans="1:15" x14ac:dyDescent="0.25">
      <c r="A919" s="15">
        <v>33060424666</v>
      </c>
      <c r="B919" s="16" t="str">
        <f>VLOOKUP(Projeção[[#This Row],[Código]],BD_Produto[#All],6,FALSE)</f>
        <v xml:space="preserve">Rapid, 49 Parafuso da bigorna </v>
      </c>
      <c r="C919" s="130">
        <v>0.66666666666666652</v>
      </c>
      <c r="D919" s="130">
        <v>0.66666666666666652</v>
      </c>
      <c r="E919" s="130">
        <v>0.13333333333333333</v>
      </c>
      <c r="F919" s="130">
        <v>0.13333333333333333</v>
      </c>
      <c r="G919" s="130">
        <v>0.13333333333333333</v>
      </c>
      <c r="H919" s="130">
        <v>0.13333333333333333</v>
      </c>
      <c r="I919" s="130">
        <v>0.13333333333333333</v>
      </c>
      <c r="J919" s="130">
        <v>0.13333333333333333</v>
      </c>
      <c r="K919" s="130">
        <v>0.13333333333333333</v>
      </c>
      <c r="L919" s="130">
        <v>0.13333333333333333</v>
      </c>
      <c r="M919" s="130">
        <v>0.13333333333333333</v>
      </c>
      <c r="N919" s="130">
        <v>0.13333333333333333</v>
      </c>
      <c r="O9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0" spans="1:15" ht="15" customHeight="1" x14ac:dyDescent="0.25">
      <c r="A920" s="15">
        <v>33060414795</v>
      </c>
      <c r="B920" s="16" t="str">
        <f>VLOOKUP(Projeção[[#This Row],[Código]],BD_Produto[#All],6,FALSE)</f>
        <v xml:space="preserve">Rapid, 49 Suporte da Coroa </v>
      </c>
      <c r="C920" s="130">
        <v>0.66666666666666652</v>
      </c>
      <c r="D920" s="130">
        <v>0.66666666666666652</v>
      </c>
      <c r="E920" s="130">
        <v>0.13333333333333333</v>
      </c>
      <c r="F920" s="130">
        <v>0.13333333333333333</v>
      </c>
      <c r="G920" s="130">
        <v>0.13333333333333333</v>
      </c>
      <c r="H920" s="130">
        <v>0.13333333333333333</v>
      </c>
      <c r="I920" s="130">
        <v>0.13333333333333333</v>
      </c>
      <c r="J920" s="130">
        <v>0.13333333333333333</v>
      </c>
      <c r="K920" s="130">
        <v>0.13333333333333333</v>
      </c>
      <c r="L920" s="130">
        <v>0.13333333333333333</v>
      </c>
      <c r="M920" s="130">
        <v>0.13333333333333333</v>
      </c>
      <c r="N920" s="130">
        <v>0.13333333333333333</v>
      </c>
      <c r="O9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1" spans="1:15" x14ac:dyDescent="0.25">
      <c r="A921" s="15">
        <v>33060463716</v>
      </c>
      <c r="B921" s="16" t="str">
        <f>VLOOKUP(Projeção[[#This Row],[Código]],BD_Produto[#All],6,FALSE)</f>
        <v>RAPID, 5050e, Unidade Controladora (207564)</v>
      </c>
      <c r="C921" s="130">
        <v>0</v>
      </c>
      <c r="D921" s="130">
        <v>0</v>
      </c>
      <c r="E921" s="130">
        <v>0</v>
      </c>
      <c r="F921" s="130">
        <v>0</v>
      </c>
      <c r="G921" s="130">
        <v>0</v>
      </c>
      <c r="H921" s="130">
        <v>0</v>
      </c>
      <c r="I921" s="130">
        <v>0</v>
      </c>
      <c r="J921" s="130">
        <v>0</v>
      </c>
      <c r="K921" s="130">
        <v>0</v>
      </c>
      <c r="L921" s="130">
        <v>0</v>
      </c>
      <c r="M921" s="130">
        <v>0</v>
      </c>
      <c r="N921" s="130">
        <v>0</v>
      </c>
      <c r="O9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2" spans="1:15" ht="15" customHeight="1" x14ac:dyDescent="0.2">
      <c r="A922" s="15">
        <v>33060465008</v>
      </c>
      <c r="B922" s="68" t="str">
        <f>VLOOKUP(Projeção[[#This Row],[Código]],BD_Produto[#All],6,FALSE)</f>
        <v>Rapid, 5080E Unidade de grampeamento 981 (11281396)</v>
      </c>
      <c r="C922" s="137"/>
      <c r="D922" s="137"/>
      <c r="E922" s="137"/>
      <c r="F922" s="137"/>
      <c r="G922" s="137"/>
      <c r="H922" s="137">
        <v>0</v>
      </c>
      <c r="I922" s="137">
        <v>0</v>
      </c>
      <c r="J922" s="137">
        <v>0</v>
      </c>
      <c r="K922" s="137">
        <v>0</v>
      </c>
      <c r="L922" s="137">
        <v>0</v>
      </c>
      <c r="M922" s="137">
        <v>0</v>
      </c>
      <c r="N922" s="138">
        <v>0</v>
      </c>
      <c r="O922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3" spans="1:15" x14ac:dyDescent="0.25">
      <c r="A923" s="15">
        <v>33060454042</v>
      </c>
      <c r="B923" s="16" t="str">
        <f>VLOOKUP(Projeção[[#This Row],[Código]],BD_Produto[#All],6,FALSE)</f>
        <v>Rapid, 65 Chapa frontal  (184027)</v>
      </c>
      <c r="C923" s="130">
        <v>0</v>
      </c>
      <c r="D923" s="130">
        <v>0</v>
      </c>
      <c r="E923" s="130">
        <v>0</v>
      </c>
      <c r="F923" s="130">
        <v>0</v>
      </c>
      <c r="G923" s="130">
        <v>0</v>
      </c>
      <c r="H923" s="130">
        <v>0</v>
      </c>
      <c r="I923" s="130">
        <v>0</v>
      </c>
      <c r="J923" s="130">
        <v>0</v>
      </c>
      <c r="K923" s="130">
        <v>0</v>
      </c>
      <c r="L923" s="130">
        <v>0</v>
      </c>
      <c r="M923" s="130">
        <v>0</v>
      </c>
      <c r="N923" s="130">
        <v>0</v>
      </c>
      <c r="O9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4" spans="1:15" x14ac:dyDescent="0.25">
      <c r="A924" s="15">
        <v>33060454044</v>
      </c>
      <c r="B924" s="16" t="str">
        <f>VLOOKUP(Projeção[[#This Row],[Código]],BD_Produto[#All],6,FALSE)</f>
        <v>Rapid, 65 Driver  (184026)</v>
      </c>
      <c r="C924" s="130">
        <v>0</v>
      </c>
      <c r="D924" s="130">
        <v>0</v>
      </c>
      <c r="E924" s="130">
        <v>0</v>
      </c>
      <c r="F924" s="130">
        <v>0</v>
      </c>
      <c r="G924" s="130">
        <v>0</v>
      </c>
      <c r="H924" s="130">
        <v>0</v>
      </c>
      <c r="I924" s="130">
        <v>0</v>
      </c>
      <c r="J924" s="130">
        <v>0</v>
      </c>
      <c r="K924" s="130">
        <v>0</v>
      </c>
      <c r="L924" s="130">
        <v>0</v>
      </c>
      <c r="M924" s="130">
        <v>0</v>
      </c>
      <c r="N924" s="130">
        <v>0</v>
      </c>
      <c r="O9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5" spans="1:15" ht="15" customHeight="1" x14ac:dyDescent="0.25">
      <c r="A925" s="15">
        <v>33060454041</v>
      </c>
      <c r="B925" s="16" t="str">
        <f>VLOOKUP(Projeção[[#This Row],[Código]],BD_Produto[#All],6,FALSE)</f>
        <v>Rapid, 65 Driver unit  (184097)</v>
      </c>
      <c r="C925" s="130">
        <v>0</v>
      </c>
      <c r="D925" s="130">
        <v>0</v>
      </c>
      <c r="E925" s="130">
        <v>0</v>
      </c>
      <c r="F925" s="130">
        <v>0</v>
      </c>
      <c r="G925" s="130">
        <v>0</v>
      </c>
      <c r="H925" s="130">
        <v>0</v>
      </c>
      <c r="I925" s="130">
        <v>0</v>
      </c>
      <c r="J925" s="130">
        <v>0</v>
      </c>
      <c r="K925" s="130">
        <v>0</v>
      </c>
      <c r="L925" s="130">
        <v>0</v>
      </c>
      <c r="M925" s="130">
        <v>0</v>
      </c>
      <c r="N925" s="130">
        <v>0</v>
      </c>
      <c r="O9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6" spans="1:15" ht="15" customHeight="1" x14ac:dyDescent="0.25">
      <c r="A926" s="15">
        <v>33060414797</v>
      </c>
      <c r="B926" s="16" t="str">
        <f>VLOOKUP(Projeção[[#This Row],[Código]],BD_Produto[#All],6,FALSE)</f>
        <v>Rapid, 65 Lâmina (faca)  (184046)</v>
      </c>
      <c r="C926" s="130">
        <v>0</v>
      </c>
      <c r="D926" s="130">
        <v>0</v>
      </c>
      <c r="E926" s="130">
        <v>0</v>
      </c>
      <c r="F926" s="130">
        <v>0</v>
      </c>
      <c r="G926" s="130">
        <v>0</v>
      </c>
      <c r="H926" s="130">
        <v>0</v>
      </c>
      <c r="I926" s="130">
        <v>0</v>
      </c>
      <c r="J926" s="130">
        <v>0</v>
      </c>
      <c r="K926" s="130">
        <v>0</v>
      </c>
      <c r="L926" s="130">
        <v>0</v>
      </c>
      <c r="M926" s="130">
        <v>0</v>
      </c>
      <c r="N926" s="130">
        <v>0</v>
      </c>
      <c r="O9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7" spans="1:15" x14ac:dyDescent="0.25">
      <c r="A927" s="15">
        <v>33060414801</v>
      </c>
      <c r="B927" s="16" t="str">
        <f>VLOOKUP(Projeção[[#This Row],[Código]],BD_Produto[#All],6,FALSE)</f>
        <v xml:space="preserve">Rapid, 65 Magazine </v>
      </c>
      <c r="C927" s="130">
        <v>0</v>
      </c>
      <c r="D927" s="130">
        <v>0</v>
      </c>
      <c r="E927" s="130">
        <v>0</v>
      </c>
      <c r="F927" s="130">
        <v>0</v>
      </c>
      <c r="G927" s="130">
        <v>0</v>
      </c>
      <c r="H927" s="130">
        <v>0</v>
      </c>
      <c r="I927" s="130">
        <v>0</v>
      </c>
      <c r="J927" s="130">
        <v>0</v>
      </c>
      <c r="K927" s="130">
        <v>0</v>
      </c>
      <c r="L927" s="130">
        <v>0</v>
      </c>
      <c r="M927" s="130">
        <v>0</v>
      </c>
      <c r="N927" s="130">
        <v>0</v>
      </c>
      <c r="O9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8" spans="1:15" x14ac:dyDescent="0.25">
      <c r="A928" s="15">
        <v>33060454043</v>
      </c>
      <c r="B928" s="16" t="str">
        <f>VLOOKUP(Projeção[[#This Row],[Código]],BD_Produto[#All],6,FALSE)</f>
        <v>Rapid, 65 Unidade de travamento (184096)</v>
      </c>
      <c r="C928" s="130">
        <v>0</v>
      </c>
      <c r="D928" s="130">
        <v>0</v>
      </c>
      <c r="E928" s="130">
        <v>0</v>
      </c>
      <c r="F928" s="130">
        <v>0</v>
      </c>
      <c r="G928" s="130">
        <v>0</v>
      </c>
      <c r="H928" s="130">
        <v>0</v>
      </c>
      <c r="I928" s="130">
        <v>0</v>
      </c>
      <c r="J928" s="130">
        <v>0</v>
      </c>
      <c r="K928" s="130">
        <v>0</v>
      </c>
      <c r="L928" s="130">
        <v>0</v>
      </c>
      <c r="M928" s="130">
        <v>0</v>
      </c>
      <c r="N928" s="130">
        <v>0</v>
      </c>
      <c r="O9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29" spans="1:15" x14ac:dyDescent="0.25">
      <c r="A929" s="15">
        <v>33060414798</v>
      </c>
      <c r="B929" s="16" t="str">
        <f>VLOOKUP(Projeção[[#This Row],[Código]],BD_Produto[#All],6,FALSE)</f>
        <v xml:space="preserve">Rapid, 65 Unidade elétrica </v>
      </c>
      <c r="C929" s="130">
        <v>0</v>
      </c>
      <c r="D929" s="130">
        <v>0</v>
      </c>
      <c r="E929" s="130">
        <v>0</v>
      </c>
      <c r="F929" s="130">
        <v>0</v>
      </c>
      <c r="G929" s="130">
        <v>0</v>
      </c>
      <c r="H929" s="130">
        <v>0</v>
      </c>
      <c r="I929" s="130">
        <v>0</v>
      </c>
      <c r="J929" s="130">
        <v>0</v>
      </c>
      <c r="K929" s="130">
        <v>0</v>
      </c>
      <c r="L929" s="130">
        <v>0</v>
      </c>
      <c r="M929" s="130">
        <v>0</v>
      </c>
      <c r="N929" s="130">
        <v>0</v>
      </c>
      <c r="O9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0" spans="1:15" x14ac:dyDescent="0.25">
      <c r="A930" s="15">
        <v>33060454137</v>
      </c>
      <c r="B930" s="16" t="str">
        <f>VLOOKUP(Projeção[[#This Row],[Código]],BD_Produto[#All],6,FALSE)</f>
        <v>Rapid, 90 Base  (209326)</v>
      </c>
      <c r="C930" s="130">
        <v>2.0333333333333332</v>
      </c>
      <c r="D930" s="130">
        <v>1.6333333333333331</v>
      </c>
      <c r="E930" s="130">
        <v>0.56666666666666654</v>
      </c>
      <c r="F930" s="130">
        <v>0.43333333333333329</v>
      </c>
      <c r="G930" s="130">
        <v>0.39999999999999997</v>
      </c>
      <c r="H930" s="130">
        <v>0.39999999999999997</v>
      </c>
      <c r="I930" s="130">
        <v>0.39999999999999997</v>
      </c>
      <c r="J930" s="130">
        <v>0.56666666666666654</v>
      </c>
      <c r="K930" s="130">
        <v>0.39999999999999997</v>
      </c>
      <c r="L930" s="130">
        <v>0.46666666666666667</v>
      </c>
      <c r="M930" s="130">
        <v>1.5666666666666667</v>
      </c>
      <c r="N930" s="130">
        <v>1.5666666666666667</v>
      </c>
      <c r="O9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</v>
      </c>
    </row>
    <row r="931" spans="1:15" x14ac:dyDescent="0.25">
      <c r="A931" s="15">
        <v>33060461116</v>
      </c>
      <c r="B931" s="16" t="str">
        <f>VLOOKUP(Projeção[[#This Row],[Código]],BD_Produto[#All],6,FALSE)</f>
        <v>Rapid, 90 Bigorna  (142257)</v>
      </c>
      <c r="C931" s="130">
        <v>2.8333333333333335</v>
      </c>
      <c r="D931" s="130">
        <v>0.83333333333333337</v>
      </c>
      <c r="E931" s="130">
        <v>0.83333333333333337</v>
      </c>
      <c r="F931" s="130">
        <v>0.16666666666666666</v>
      </c>
      <c r="G931" s="130">
        <v>0.16666666666666666</v>
      </c>
      <c r="H931" s="130">
        <v>0.16666666666666666</v>
      </c>
      <c r="I931" s="130">
        <v>0.16666666666666666</v>
      </c>
      <c r="J931" s="130">
        <v>0.16666666666666666</v>
      </c>
      <c r="K931" s="130">
        <v>0.16666666666666666</v>
      </c>
      <c r="L931" s="130">
        <v>0.16666666666666666</v>
      </c>
      <c r="M931" s="130">
        <v>0.16666666666666666</v>
      </c>
      <c r="N931" s="130">
        <v>0.16666666666666666</v>
      </c>
      <c r="O9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2" spans="1:15" x14ac:dyDescent="0.25">
      <c r="A932" s="15">
        <v>33070460775</v>
      </c>
      <c r="B932" s="16" t="str">
        <f>VLOOKUP(Projeção[[#This Row],[Código]],BD_Produto[#All],6,FALSE)</f>
        <v>Rapid, 90 Circuito eletrônico 100-120 V  (209160)</v>
      </c>
      <c r="C932" s="130">
        <v>6.6666666666666666E-2</v>
      </c>
      <c r="D932" s="130">
        <v>6.6666666666666666E-2</v>
      </c>
      <c r="E932" s="130">
        <v>6.6666666666666666E-2</v>
      </c>
      <c r="F932" s="130">
        <v>6.6666666666666666E-2</v>
      </c>
      <c r="G932" s="130">
        <v>6.6666666666666666E-2</v>
      </c>
      <c r="H932" s="130">
        <v>0</v>
      </c>
      <c r="I932" s="130">
        <v>0</v>
      </c>
      <c r="J932" s="130">
        <v>0</v>
      </c>
      <c r="K932" s="130">
        <v>0</v>
      </c>
      <c r="L932" s="130">
        <v>0</v>
      </c>
      <c r="M932" s="130">
        <v>0</v>
      </c>
      <c r="N932" s="130">
        <v>0</v>
      </c>
      <c r="O9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3" spans="1:15" x14ac:dyDescent="0.25">
      <c r="A933" s="15">
        <v>33070460776</v>
      </c>
      <c r="B933" s="16" t="str">
        <f>VLOOKUP(Projeção[[#This Row],[Código]],BD_Produto[#All],6,FALSE)</f>
        <v>Rapid, 90 Circuito eletrônico 200-240 V  (208499)</v>
      </c>
      <c r="C933" s="130">
        <v>0.16666666666666663</v>
      </c>
      <c r="D933" s="130">
        <v>0.16666666666666663</v>
      </c>
      <c r="E933" s="130">
        <v>3.3333333333333333E-2</v>
      </c>
      <c r="F933" s="130">
        <v>3.3333333333333333E-2</v>
      </c>
      <c r="G933" s="130">
        <v>3.3333333333333333E-2</v>
      </c>
      <c r="H933" s="130">
        <v>3.3333333333333333E-2</v>
      </c>
      <c r="I933" s="130">
        <v>3.3333333333333333E-2</v>
      </c>
      <c r="J933" s="130">
        <v>3.3333333333333333E-2</v>
      </c>
      <c r="K933" s="130">
        <v>3.3333333333333333E-2</v>
      </c>
      <c r="L933" s="130">
        <v>3.3333333333333333E-2</v>
      </c>
      <c r="M933" s="130">
        <v>3.3333333333333333E-2</v>
      </c>
      <c r="N933" s="130">
        <v>3.3333333333333333E-2</v>
      </c>
      <c r="O9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4" spans="1:15" x14ac:dyDescent="0.25">
      <c r="A934" s="15">
        <v>33060454036</v>
      </c>
      <c r="B934" s="16" t="str">
        <f>VLOOKUP(Projeção[[#This Row],[Código]],BD_Produto[#All],6,FALSE)</f>
        <v>Rapid, 90 Deslizante (141382), (209400)</v>
      </c>
      <c r="C934" s="130">
        <v>0</v>
      </c>
      <c r="D934" s="130">
        <v>0</v>
      </c>
      <c r="E934" s="130">
        <v>0</v>
      </c>
      <c r="F934" s="130">
        <v>0</v>
      </c>
      <c r="G934" s="130">
        <v>0</v>
      </c>
      <c r="H934" s="130">
        <v>0</v>
      </c>
      <c r="I934" s="130">
        <v>0</v>
      </c>
      <c r="J934" s="130">
        <v>0</v>
      </c>
      <c r="K934" s="130">
        <v>0</v>
      </c>
      <c r="L934" s="130">
        <v>0</v>
      </c>
      <c r="M934" s="130">
        <v>0</v>
      </c>
      <c r="N934" s="130">
        <v>0</v>
      </c>
      <c r="O9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5" spans="1:15" ht="15" customHeight="1" x14ac:dyDescent="0.25">
      <c r="A935" s="15">
        <v>33060461839</v>
      </c>
      <c r="B935" s="16" t="str">
        <f>VLOOKUP(Projeção[[#This Row],[Código]],BD_Produto[#All],6,FALSE)</f>
        <v xml:space="preserve">Rapid, 90 Discos para perfur. HDC 300 </v>
      </c>
      <c r="C935" s="130">
        <v>0</v>
      </c>
      <c r="D935" s="130">
        <v>0</v>
      </c>
      <c r="E935" s="130">
        <v>0</v>
      </c>
      <c r="F935" s="130">
        <v>0</v>
      </c>
      <c r="G935" s="130">
        <v>0</v>
      </c>
      <c r="H935" s="130">
        <v>0</v>
      </c>
      <c r="I935" s="130">
        <v>0</v>
      </c>
      <c r="J935" s="130">
        <v>0</v>
      </c>
      <c r="K935" s="130">
        <v>0</v>
      </c>
      <c r="L935" s="130">
        <v>0</v>
      </c>
      <c r="M935" s="130">
        <v>0</v>
      </c>
      <c r="N935" s="130">
        <v>0</v>
      </c>
      <c r="O9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6" spans="1:15" x14ac:dyDescent="0.25">
      <c r="A936" s="15">
        <v>33060454038</v>
      </c>
      <c r="B936" s="16" t="str">
        <f>VLOOKUP(Projeção[[#This Row],[Código]],BD_Produto[#All],6,FALSE)</f>
        <v>Rapid, 90 Eixo plástico  (141333)</v>
      </c>
      <c r="C936" s="130">
        <v>0</v>
      </c>
      <c r="D936" s="130">
        <v>0</v>
      </c>
      <c r="E936" s="130">
        <v>0</v>
      </c>
      <c r="F936" s="130">
        <v>0</v>
      </c>
      <c r="G936" s="130">
        <v>0</v>
      </c>
      <c r="H936" s="130">
        <v>0</v>
      </c>
      <c r="I936" s="130">
        <v>0</v>
      </c>
      <c r="J936" s="130">
        <v>0</v>
      </c>
      <c r="K936" s="130">
        <v>0</v>
      </c>
      <c r="L936" s="130">
        <v>0</v>
      </c>
      <c r="M936" s="130">
        <v>0</v>
      </c>
      <c r="N936" s="130">
        <v>0</v>
      </c>
      <c r="O9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7" spans="1:15" x14ac:dyDescent="0.25">
      <c r="A937" s="15">
        <v>33060414819</v>
      </c>
      <c r="B937" s="16" t="str">
        <f>VLOOKUP(Projeção[[#This Row],[Código]],BD_Produto[#All],6,FALSE)</f>
        <v>Rapid, 90 Guia do magazine  (141432)</v>
      </c>
      <c r="C937" s="130">
        <v>0</v>
      </c>
      <c r="D937" s="130">
        <v>0</v>
      </c>
      <c r="E937" s="130">
        <v>0</v>
      </c>
      <c r="F937" s="130">
        <v>0</v>
      </c>
      <c r="G937" s="130">
        <v>0</v>
      </c>
      <c r="H937" s="130">
        <v>0</v>
      </c>
      <c r="I937" s="130">
        <v>0</v>
      </c>
      <c r="J937" s="130">
        <v>0</v>
      </c>
      <c r="K937" s="130">
        <v>0</v>
      </c>
      <c r="L937" s="130">
        <v>0</v>
      </c>
      <c r="M937" s="130">
        <v>0</v>
      </c>
      <c r="N937" s="130">
        <v>0</v>
      </c>
      <c r="O9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8" spans="1:15" x14ac:dyDescent="0.25">
      <c r="A938" s="15">
        <v>33060414799</v>
      </c>
      <c r="B938" s="16" t="str">
        <f>VLOOKUP(Projeção[[#This Row],[Código]],BD_Produto[#All],6,FALSE)</f>
        <v>Rapid, 90 Guia do magazine  (141432)</v>
      </c>
      <c r="C938" s="130">
        <v>0.83333333333333337</v>
      </c>
      <c r="D938" s="130">
        <v>0.83333333333333337</v>
      </c>
      <c r="E938" s="130">
        <v>0.16666666666666666</v>
      </c>
      <c r="F938" s="130">
        <v>0.16666666666666666</v>
      </c>
      <c r="G938" s="130">
        <v>0.16666666666666666</v>
      </c>
      <c r="H938" s="130">
        <v>0.16666666666666666</v>
      </c>
      <c r="I938" s="130">
        <v>0.16666666666666666</v>
      </c>
      <c r="J938" s="130">
        <v>0.16666666666666666</v>
      </c>
      <c r="K938" s="130">
        <v>0.16666666666666666</v>
      </c>
      <c r="L938" s="130">
        <v>0.16666666666666666</v>
      </c>
      <c r="M938" s="130">
        <v>0.16666666666666666</v>
      </c>
      <c r="N938" s="130">
        <v>0.16666666666666666</v>
      </c>
      <c r="O9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39" spans="1:15" x14ac:dyDescent="0.25">
      <c r="A939" s="15">
        <v>33060414818</v>
      </c>
      <c r="B939" s="16" t="str">
        <f>VLOOKUP(Projeção[[#This Row],[Código]],BD_Produto[#All],6,FALSE)</f>
        <v>Rapid, 90 Lâmina (faca)  (141168) DRIVING BLADE</v>
      </c>
      <c r="C939" s="130">
        <v>0</v>
      </c>
      <c r="D939" s="130">
        <v>0</v>
      </c>
      <c r="E939" s="130">
        <v>0</v>
      </c>
      <c r="F939" s="130">
        <v>0</v>
      </c>
      <c r="G939" s="130">
        <v>0</v>
      </c>
      <c r="H939" s="130">
        <v>0</v>
      </c>
      <c r="I939" s="130">
        <v>0</v>
      </c>
      <c r="J939" s="130">
        <v>0</v>
      </c>
      <c r="K939" s="130">
        <v>0</v>
      </c>
      <c r="L939" s="130">
        <v>0</v>
      </c>
      <c r="M939" s="130">
        <v>0</v>
      </c>
      <c r="N939" s="130">
        <v>0</v>
      </c>
      <c r="O9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0" spans="1:15" x14ac:dyDescent="0.25">
      <c r="A940" s="15">
        <v>33060454037</v>
      </c>
      <c r="B940" s="16" t="str">
        <f>VLOOKUP(Projeção[[#This Row],[Código]],BD_Produto[#All],6,FALSE)</f>
        <v>Rapid, 90 Pino  (141408)</v>
      </c>
      <c r="C940" s="130">
        <v>0</v>
      </c>
      <c r="D940" s="130">
        <v>0</v>
      </c>
      <c r="E940" s="130">
        <v>0</v>
      </c>
      <c r="F940" s="130">
        <v>0</v>
      </c>
      <c r="G940" s="130">
        <v>0</v>
      </c>
      <c r="H940" s="130">
        <v>0</v>
      </c>
      <c r="I940" s="130">
        <v>0</v>
      </c>
      <c r="J940" s="130">
        <v>0</v>
      </c>
      <c r="K940" s="130">
        <v>0</v>
      </c>
      <c r="L940" s="130">
        <v>0</v>
      </c>
      <c r="M940" s="130">
        <v>0</v>
      </c>
      <c r="N940" s="130">
        <v>0</v>
      </c>
      <c r="O9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1" spans="1:15" x14ac:dyDescent="0.25">
      <c r="A941" s="15">
        <v>33060460534</v>
      </c>
      <c r="B941" s="16" t="str">
        <f>VLOOKUP(Projeção[[#This Row],[Código]],BD_Produto[#All],6,FALSE)</f>
        <v xml:space="preserve">Rapid, 90 Placa Eletrônica </v>
      </c>
      <c r="C941" s="130">
        <v>0</v>
      </c>
      <c r="D941" s="130">
        <v>0</v>
      </c>
      <c r="E941" s="130">
        <v>0</v>
      </c>
      <c r="F941" s="130">
        <v>0</v>
      </c>
      <c r="G941" s="130">
        <v>0</v>
      </c>
      <c r="H941" s="130">
        <v>0</v>
      </c>
      <c r="I941" s="130">
        <v>0</v>
      </c>
      <c r="J941" s="130">
        <v>0</v>
      </c>
      <c r="K941" s="130">
        <v>0</v>
      </c>
      <c r="L941" s="130">
        <v>0</v>
      </c>
      <c r="M941" s="130">
        <v>0</v>
      </c>
      <c r="N941" s="130">
        <v>0</v>
      </c>
      <c r="O9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2" spans="1:15" x14ac:dyDescent="0.25">
      <c r="A942" s="15">
        <v>33060454034</v>
      </c>
      <c r="B942" s="16" t="str">
        <f>VLOOKUP(Projeção[[#This Row],[Código]],BD_Produto[#All],6,FALSE)</f>
        <v>Rapid, 90 Ponte  (209403)</v>
      </c>
      <c r="C942" s="130">
        <v>0</v>
      </c>
      <c r="D942" s="130">
        <v>0</v>
      </c>
      <c r="E942" s="130">
        <v>0</v>
      </c>
      <c r="F942" s="130">
        <v>0</v>
      </c>
      <c r="G942" s="130">
        <v>0</v>
      </c>
      <c r="H942" s="130">
        <v>0</v>
      </c>
      <c r="I942" s="130">
        <v>0</v>
      </c>
      <c r="J942" s="130">
        <v>0</v>
      </c>
      <c r="K942" s="130">
        <v>0</v>
      </c>
      <c r="L942" s="130">
        <v>0</v>
      </c>
      <c r="M942" s="130">
        <v>0</v>
      </c>
      <c r="N942" s="130">
        <v>0</v>
      </c>
      <c r="O9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3" spans="1:15" x14ac:dyDescent="0.25">
      <c r="A943" s="15">
        <v>33060461118</v>
      </c>
      <c r="B943" s="16" t="str">
        <f>VLOOKUP(Projeção[[#This Row],[Código]],BD_Produto[#All],6,FALSE)</f>
        <v>Rapid, 90 Protetor contra desgaste  (141218)</v>
      </c>
      <c r="C943" s="130">
        <v>0</v>
      </c>
      <c r="D943" s="130">
        <v>0</v>
      </c>
      <c r="E943" s="130">
        <v>0</v>
      </c>
      <c r="F943" s="130">
        <v>0</v>
      </c>
      <c r="G943" s="130">
        <v>0</v>
      </c>
      <c r="H943" s="130">
        <v>0</v>
      </c>
      <c r="I943" s="130">
        <v>0</v>
      </c>
      <c r="J943" s="130">
        <v>0</v>
      </c>
      <c r="K943" s="130">
        <v>0</v>
      </c>
      <c r="L943" s="130">
        <v>0</v>
      </c>
      <c r="M943" s="130">
        <v>0</v>
      </c>
      <c r="N943" s="130">
        <v>0</v>
      </c>
      <c r="O9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4" spans="1:15" x14ac:dyDescent="0.25">
      <c r="A944" s="15">
        <v>33070460774</v>
      </c>
      <c r="B944" s="16" t="str">
        <f>VLOOKUP(Projeção[[#This Row],[Código]],BD_Produto[#All],6,FALSE)</f>
        <v>Rapid, 90 Protetor contra desgaste  (141218)</v>
      </c>
      <c r="C944" s="130">
        <v>0</v>
      </c>
      <c r="D944" s="130">
        <v>0</v>
      </c>
      <c r="E944" s="130">
        <v>0</v>
      </c>
      <c r="F944" s="130">
        <v>0</v>
      </c>
      <c r="G944" s="130">
        <v>0</v>
      </c>
      <c r="H944" s="130">
        <v>0</v>
      </c>
      <c r="I944" s="130">
        <v>0</v>
      </c>
      <c r="J944" s="130">
        <v>0</v>
      </c>
      <c r="K944" s="130">
        <v>0</v>
      </c>
      <c r="L944" s="130">
        <v>0</v>
      </c>
      <c r="M944" s="130">
        <v>0</v>
      </c>
      <c r="N944" s="130">
        <v>0</v>
      </c>
      <c r="O9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5" spans="1:15" ht="15" customHeight="1" x14ac:dyDescent="0.25">
      <c r="A945" s="15">
        <v>33060461187</v>
      </c>
      <c r="B945" s="16" t="str">
        <f>VLOOKUP(Projeção[[#This Row],[Código]],BD_Produto[#All],6,FALSE)</f>
        <v>Rapid, 90 Unidade de grampeamento 66/7  (141580), (14234901) STAPLING UNIT</v>
      </c>
      <c r="C945" s="130">
        <v>2.4333333333333336</v>
      </c>
      <c r="D945" s="130">
        <v>2.4333333333333336</v>
      </c>
      <c r="E945" s="130">
        <v>0.56666666666666665</v>
      </c>
      <c r="F945" s="130">
        <v>0.56666666666666665</v>
      </c>
      <c r="G945" s="130">
        <v>0.56666666666666665</v>
      </c>
      <c r="H945" s="130">
        <v>0.39999999999999997</v>
      </c>
      <c r="I945" s="130">
        <v>0.39999999999999997</v>
      </c>
      <c r="J945" s="130">
        <v>1.0666666666666667</v>
      </c>
      <c r="K945" s="130">
        <v>0.39999999999999997</v>
      </c>
      <c r="L945" s="130">
        <v>1.9</v>
      </c>
      <c r="M945" s="130">
        <v>3.1333333333333333</v>
      </c>
      <c r="N945" s="130">
        <v>3.1333333333333333</v>
      </c>
      <c r="O9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3.3333333333333335</v>
      </c>
    </row>
    <row r="946" spans="1:15" x14ac:dyDescent="0.25">
      <c r="A946" s="15">
        <v>33060414764</v>
      </c>
      <c r="B946" s="16" t="str">
        <f>VLOOKUP(Projeção[[#This Row],[Código]],BD_Produto[#All],6,FALSE)</f>
        <v>Rapid, 90 Unidade elétrica 120V 50-60Hz  (142240), (20942704)</v>
      </c>
      <c r="C946" s="130">
        <v>0.6333333333333333</v>
      </c>
      <c r="D946" s="130">
        <v>0.23333333333333328</v>
      </c>
      <c r="E946" s="130">
        <v>0.23333333333333328</v>
      </c>
      <c r="F946" s="130">
        <v>9.9999999999999992E-2</v>
      </c>
      <c r="G946" s="130">
        <v>9.9999999999999992E-2</v>
      </c>
      <c r="H946" s="130">
        <v>9.9999999999999992E-2</v>
      </c>
      <c r="I946" s="130">
        <v>9.9999999999999992E-2</v>
      </c>
      <c r="J946" s="130">
        <v>6.6666666666666666E-2</v>
      </c>
      <c r="K946" s="130">
        <v>9.9999999999999992E-2</v>
      </c>
      <c r="L946" s="130">
        <v>6.6666666666666666E-2</v>
      </c>
      <c r="M946" s="130">
        <v>3.3333333333333333E-2</v>
      </c>
      <c r="N946" s="130">
        <v>3.3333333333333333E-2</v>
      </c>
      <c r="O9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947" spans="1:15" x14ac:dyDescent="0.25">
      <c r="A947" s="15">
        <v>33060454035</v>
      </c>
      <c r="B947" s="16" t="str">
        <f>VLOOKUP(Projeção[[#This Row],[Código]],BD_Produto[#All],6,FALSE)</f>
        <v>Rapid, 90 Unidade Stop  (141341)</v>
      </c>
      <c r="C947" s="130">
        <v>0</v>
      </c>
      <c r="D947" s="130">
        <v>0</v>
      </c>
      <c r="E947" s="130">
        <v>0</v>
      </c>
      <c r="F947" s="130">
        <v>0</v>
      </c>
      <c r="G947" s="130">
        <v>0</v>
      </c>
      <c r="H947" s="130">
        <v>0</v>
      </c>
      <c r="I947" s="130">
        <v>0</v>
      </c>
      <c r="J947" s="130">
        <v>0</v>
      </c>
      <c r="K947" s="130">
        <v>0</v>
      </c>
      <c r="L947" s="130">
        <v>0</v>
      </c>
      <c r="M947" s="130">
        <v>0</v>
      </c>
      <c r="N947" s="130">
        <v>0</v>
      </c>
      <c r="O9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8" spans="1:15" ht="15" customHeight="1" x14ac:dyDescent="0.25">
      <c r="A948" s="15">
        <v>33060165093</v>
      </c>
      <c r="B948" s="16" t="str">
        <f>VLOOKUP(Projeção[[#This Row],[Código]],BD_Produto[#All],6,FALSE)</f>
        <v>RAPID, CASSETE DE GRAMPO 5020/5025E COM 1.500 GRAMPOS (KIT COM 2) - PN:</v>
      </c>
      <c r="C948" s="130">
        <v>0</v>
      </c>
      <c r="D948" s="130">
        <v>0</v>
      </c>
      <c r="E948" s="130">
        <v>0</v>
      </c>
      <c r="F948" s="130">
        <v>0</v>
      </c>
      <c r="G948" s="130">
        <v>0</v>
      </c>
      <c r="H948" s="130">
        <v>0</v>
      </c>
      <c r="I948" s="130">
        <v>0</v>
      </c>
      <c r="J948" s="130">
        <v>0</v>
      </c>
      <c r="K948" s="130">
        <v>0</v>
      </c>
      <c r="L948" s="130">
        <v>0</v>
      </c>
      <c r="M948" s="130">
        <v>0</v>
      </c>
      <c r="N948" s="130">
        <v>0</v>
      </c>
      <c r="O9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49" spans="1:15" x14ac:dyDescent="0.25">
      <c r="A949" s="15">
        <v>33060563228</v>
      </c>
      <c r="B949" s="16" t="str">
        <f>VLOOKUP(Projeção[[#This Row],[Código]],BD_Produto[#All],6,FALSE)</f>
        <v>RAPID, CASSETE DE GRAMPO 5025E COM 1.000 GRAMPOS - PN:</v>
      </c>
      <c r="C949" s="130">
        <v>12.133333333333335</v>
      </c>
      <c r="D949" s="130">
        <v>5.2666666666666657</v>
      </c>
      <c r="E949" s="130">
        <v>4.5999999999999996</v>
      </c>
      <c r="F949" s="130">
        <v>4.5666666666666664</v>
      </c>
      <c r="G949" s="130">
        <v>10.033333333333335</v>
      </c>
      <c r="H949" s="130">
        <v>7.166666666666667</v>
      </c>
      <c r="I949" s="130">
        <v>7.166666666666667</v>
      </c>
      <c r="J949" s="130">
        <v>6.8</v>
      </c>
      <c r="K949" s="130">
        <v>7.166666666666667</v>
      </c>
      <c r="L949" s="130">
        <v>4</v>
      </c>
      <c r="M949" s="130">
        <v>6</v>
      </c>
      <c r="N949" s="130">
        <v>6.166666666666667</v>
      </c>
      <c r="O9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17.8</v>
      </c>
    </row>
    <row r="950" spans="1:15" x14ac:dyDescent="0.25">
      <c r="A950" s="15">
        <v>33060514928</v>
      </c>
      <c r="B950" s="16" t="str">
        <f>VLOOKUP(Projeção[[#This Row],[Código]],BD_Produto[#All],6,FALSE)</f>
        <v>RAPID, CASSETE DE GRAMPO 5050E COM 5.000 GRAMPOS - PN:20993500</v>
      </c>
      <c r="C950" s="130">
        <v>12.966666666666667</v>
      </c>
      <c r="D950" s="130">
        <v>21.133333333333333</v>
      </c>
      <c r="E950" s="130">
        <v>8.1333333333333346</v>
      </c>
      <c r="F950" s="130">
        <v>63.3</v>
      </c>
      <c r="G950" s="130">
        <v>26.166666666666664</v>
      </c>
      <c r="H950" s="130">
        <v>26.06666666666667</v>
      </c>
      <c r="I950" s="130">
        <v>26.06666666666667</v>
      </c>
      <c r="J950" s="130">
        <v>12.4</v>
      </c>
      <c r="K950" s="130">
        <v>26.06666666666667</v>
      </c>
      <c r="L950" s="130">
        <v>7.9333333333333327</v>
      </c>
      <c r="M950" s="130">
        <v>12.233333333333333</v>
      </c>
      <c r="N950" s="130">
        <v>10.566666666666666</v>
      </c>
      <c r="O9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12.733333333333334</v>
      </c>
    </row>
    <row r="951" spans="1:15" x14ac:dyDescent="0.25">
      <c r="A951" s="15">
        <v>33060114825</v>
      </c>
      <c r="B951" s="16" t="str">
        <f>VLOOKUP(Projeção[[#This Row],[Código]],BD_Produto[#All],6,FALSE)</f>
        <v>RAPID, CASSETE DE GRAMPO 5080E COM 5.000 GRAMPOS - PN:20993700</v>
      </c>
      <c r="C951" s="130">
        <v>35.566666666666663</v>
      </c>
      <c r="D951" s="130">
        <v>32.166666666666664</v>
      </c>
      <c r="E951" s="130">
        <v>46.533333333333331</v>
      </c>
      <c r="F951" s="130">
        <v>62.666666666666664</v>
      </c>
      <c r="G951" s="130">
        <v>54.666666666666679</v>
      </c>
      <c r="H951" s="130">
        <v>36.6</v>
      </c>
      <c r="I951" s="130">
        <v>36.266666666666666</v>
      </c>
      <c r="J951" s="130">
        <v>37.700000000000003</v>
      </c>
      <c r="K951" s="130">
        <v>36.6</v>
      </c>
      <c r="L951" s="130">
        <v>40.633333333333333</v>
      </c>
      <c r="M951" s="130">
        <v>50.266666666666659</v>
      </c>
      <c r="N951" s="130">
        <v>39.199999999999996</v>
      </c>
      <c r="O9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35.06666666666667</v>
      </c>
    </row>
    <row r="952" spans="1:15" x14ac:dyDescent="0.25">
      <c r="A952" s="15">
        <v>33060461593</v>
      </c>
      <c r="B952" s="16" t="str">
        <f>VLOOKUP(Projeção[[#This Row],[Código]],BD_Produto[#All],6,FALSE)</f>
        <v>RAPID, DISCO PARA PERFURADOR HDC150 - 10 UNIDADES - PN:23000100</v>
      </c>
      <c r="C952" s="130">
        <v>6.6666666666666666E-2</v>
      </c>
      <c r="D952" s="130">
        <v>6.6666666666666666E-2</v>
      </c>
      <c r="E952" s="130">
        <v>11.4</v>
      </c>
      <c r="F952" s="130">
        <v>3.4</v>
      </c>
      <c r="G952" s="130">
        <v>3.4</v>
      </c>
      <c r="H952" s="130">
        <v>0.73333333333333328</v>
      </c>
      <c r="I952" s="130">
        <v>0.73333333333333328</v>
      </c>
      <c r="J952" s="130">
        <v>0.73333333333333328</v>
      </c>
      <c r="K952" s="130">
        <v>0.73333333333333328</v>
      </c>
      <c r="L952" s="130">
        <v>1.1666666666666667</v>
      </c>
      <c r="M952" s="130">
        <v>1.3666666666666669</v>
      </c>
      <c r="N952" s="130">
        <v>0.96666666666666679</v>
      </c>
      <c r="O9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0.16666666666666666</v>
      </c>
    </row>
    <row r="953" spans="1:15" ht="15" customHeight="1" x14ac:dyDescent="0.2">
      <c r="A953" s="15">
        <v>33060461720</v>
      </c>
      <c r="B953" s="68" t="str">
        <f>VLOOKUP(Projeção[[#This Row],[Código]],BD_Produto[#All],6,FALSE)</f>
        <v>Rapid, DUAX, Lâmina (175661)</v>
      </c>
      <c r="C953" s="137"/>
      <c r="D953" s="137"/>
      <c r="E953" s="137"/>
      <c r="F953" s="137"/>
      <c r="G953" s="137"/>
      <c r="H953" s="137">
        <v>0</v>
      </c>
      <c r="I953" s="137">
        <v>0</v>
      </c>
      <c r="J953" s="137">
        <v>0</v>
      </c>
      <c r="K953" s="137">
        <v>0</v>
      </c>
      <c r="L953" s="137">
        <v>0</v>
      </c>
      <c r="M953" s="137">
        <v>0</v>
      </c>
      <c r="N953" s="138">
        <v>0</v>
      </c>
      <c r="O953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54" spans="1:15" x14ac:dyDescent="0.25">
      <c r="A954" s="15">
        <v>33060461721</v>
      </c>
      <c r="B954" s="16" t="str">
        <f>VLOOKUP(Projeção[[#This Row],[Código]],BD_Produto[#All],6,FALSE)</f>
        <v>Rapid, Duax, Mecanismo de corte  (216989)</v>
      </c>
      <c r="C954" s="130">
        <v>6.6666666666666666E-2</v>
      </c>
      <c r="D954" s="130">
        <v>6.6666666666666666E-2</v>
      </c>
      <c r="E954" s="130">
        <v>6.6666666666666666E-2</v>
      </c>
      <c r="F954" s="130">
        <v>6.6666666666666666E-2</v>
      </c>
      <c r="G954" s="130">
        <v>6.6666666666666666E-2</v>
      </c>
      <c r="H954" s="130">
        <v>6.6666666666666666E-2</v>
      </c>
      <c r="I954" s="130">
        <v>6.6666666666666666E-2</v>
      </c>
      <c r="J954" s="130">
        <v>3.3333333333333333E-2</v>
      </c>
      <c r="K954" s="130">
        <v>6.6666666666666666E-2</v>
      </c>
      <c r="L954" s="130">
        <v>3.3333333333333333E-2</v>
      </c>
      <c r="M954" s="130">
        <v>0</v>
      </c>
      <c r="N954" s="130">
        <v>0</v>
      </c>
      <c r="O9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0.19999999999999998</v>
      </c>
    </row>
    <row r="955" spans="1:15" x14ac:dyDescent="0.25">
      <c r="A955" s="15">
        <v>33060461592</v>
      </c>
      <c r="B955" s="16" t="str">
        <f>VLOOKUP(Projeção[[#This Row],[Código]],BD_Produto[#All],6,FALSE)</f>
        <v>RAPID, FACA PARA PERFURADOR HDC150 - 2 UNIDADES - PN:23000900</v>
      </c>
      <c r="C955" s="130">
        <v>0.16666666666666666</v>
      </c>
      <c r="D955" s="130">
        <v>0.16666666666666666</v>
      </c>
      <c r="E955" s="130">
        <v>0.16666666666666666</v>
      </c>
      <c r="F955" s="130">
        <v>0.13333333333333333</v>
      </c>
      <c r="G955" s="130">
        <v>0.13333333333333333</v>
      </c>
      <c r="H955" s="130">
        <v>6.6666666666666666E-2</v>
      </c>
      <c r="I955" s="130">
        <v>6.6666666666666666E-2</v>
      </c>
      <c r="J955" s="130">
        <v>6.6666666666666666E-2</v>
      </c>
      <c r="K955" s="130">
        <v>6.6666666666666666E-2</v>
      </c>
      <c r="L955" s="130">
        <v>0.5</v>
      </c>
      <c r="M955" s="130">
        <v>0.70000000000000007</v>
      </c>
      <c r="N955" s="130">
        <v>0.70000000000000007</v>
      </c>
      <c r="O9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956" spans="1:15" ht="15" customHeight="1" x14ac:dyDescent="0.25">
      <c r="A956" s="15">
        <v>33060144131</v>
      </c>
      <c r="B956" s="16" t="str">
        <f>VLOOKUP(Projeção[[#This Row],[Código]],BD_Produto[#All],6,FALSE)</f>
        <v>RAPID, GRAMPEADOR ALICATE 51 - PN:</v>
      </c>
      <c r="C956" s="130">
        <v>0</v>
      </c>
      <c r="D956" s="130">
        <v>0</v>
      </c>
      <c r="E956" s="130">
        <v>0</v>
      </c>
      <c r="F956" s="130">
        <v>0</v>
      </c>
      <c r="G956" s="130">
        <v>0</v>
      </c>
      <c r="H956" s="130">
        <v>0</v>
      </c>
      <c r="I956" s="130">
        <v>0</v>
      </c>
      <c r="J956" s="130">
        <v>0</v>
      </c>
      <c r="K956" s="130">
        <v>0</v>
      </c>
      <c r="L956" s="130">
        <v>0</v>
      </c>
      <c r="M956" s="130">
        <v>0</v>
      </c>
      <c r="N956" s="130">
        <v>0</v>
      </c>
      <c r="O9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57" spans="1:15" x14ac:dyDescent="0.25">
      <c r="A957" s="15">
        <v>33060124131</v>
      </c>
      <c r="B957" s="16" t="str">
        <f>VLOOKUP(Projeção[[#This Row],[Código]],BD_Produto[#All],6,FALSE)</f>
        <v>RAPID, GRAMPEADOR ALICATE 51 - PN:</v>
      </c>
      <c r="C957" s="130">
        <v>0.39999999999999997</v>
      </c>
      <c r="D957" s="130">
        <v>0.13333333333333333</v>
      </c>
      <c r="E957" s="130">
        <v>6.6666666666666666E-2</v>
      </c>
      <c r="F957" s="130">
        <v>2.9</v>
      </c>
      <c r="G957" s="130">
        <v>0.89999999999999991</v>
      </c>
      <c r="H957" s="130">
        <v>0.89999999999999991</v>
      </c>
      <c r="I957" s="130">
        <v>6.6666666666666666E-2</v>
      </c>
      <c r="J957" s="130">
        <v>0.23333333333333334</v>
      </c>
      <c r="K957" s="130">
        <v>0.89999999999999991</v>
      </c>
      <c r="L957" s="130">
        <v>0.56666666666666654</v>
      </c>
      <c r="M957" s="130">
        <v>0.70000000000000007</v>
      </c>
      <c r="N957" s="130">
        <v>0.3666666666666667</v>
      </c>
      <c r="O9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</v>
      </c>
    </row>
    <row r="958" spans="1:15" x14ac:dyDescent="0.25">
      <c r="A958" s="15">
        <v>33060161826</v>
      </c>
      <c r="B958" s="16" t="str">
        <f>VLOOKUP(Projeção[[#This Row],[Código]],BD_Produto[#All],6,FALSE)</f>
        <v>RAPID, GRAMPEADOR ALICATE ECO PLIER (26/6) - PN:24812500</v>
      </c>
      <c r="C958" s="130">
        <v>59.233333333333327</v>
      </c>
      <c r="D958" s="130">
        <v>34</v>
      </c>
      <c r="E958" s="130">
        <v>43.333333333333329</v>
      </c>
      <c r="F958" s="130">
        <v>39.6</v>
      </c>
      <c r="G958" s="130">
        <v>23.866666666666667</v>
      </c>
      <c r="H958" s="130">
        <v>40.9</v>
      </c>
      <c r="I958" s="130">
        <v>40.9</v>
      </c>
      <c r="J958" s="130">
        <v>34.433333333333337</v>
      </c>
      <c r="K958" s="130">
        <v>40.9</v>
      </c>
      <c r="L958" s="130">
        <v>16.866666666666667</v>
      </c>
      <c r="M958" s="130">
        <v>45.8</v>
      </c>
      <c r="N958" s="130">
        <v>48.733333333333334</v>
      </c>
      <c r="O9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18.966666666666669</v>
      </c>
    </row>
    <row r="959" spans="1:15" ht="15" customHeight="1" x14ac:dyDescent="0.25">
      <c r="A959" s="15">
        <v>33070114634</v>
      </c>
      <c r="B959" s="16" t="str">
        <f>VLOOKUP(Projeção[[#This Row],[Código]],BD_Produto[#All],6,FALSE)</f>
        <v>RAPID, GRAMPEADOR ALICATE HD 31 - PN:10540310</v>
      </c>
      <c r="C959" s="130">
        <v>5.9333333333333327</v>
      </c>
      <c r="D959" s="130">
        <v>3.1333333333333333</v>
      </c>
      <c r="E959" s="130">
        <v>2.5999999999999996</v>
      </c>
      <c r="F959" s="130">
        <v>1.8666666666666667</v>
      </c>
      <c r="G959" s="130">
        <v>6.1666666666666661</v>
      </c>
      <c r="H959" s="130">
        <v>4.5666666666666664</v>
      </c>
      <c r="I959" s="130">
        <v>3.1666666666666665</v>
      </c>
      <c r="J959" s="130">
        <v>4.8999999999999995</v>
      </c>
      <c r="K959" s="130">
        <v>4.5666666666666664</v>
      </c>
      <c r="L959" s="130">
        <v>3.7666666666666671</v>
      </c>
      <c r="M959" s="130">
        <v>6.9333333333333327</v>
      </c>
      <c r="N959" s="130">
        <v>5.1333333333333329</v>
      </c>
      <c r="O9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4.2666666666666666</v>
      </c>
    </row>
    <row r="960" spans="1:15" x14ac:dyDescent="0.25">
      <c r="A960" s="15">
        <v>33060114113</v>
      </c>
      <c r="B960" s="16" t="str">
        <f>VLOOKUP(Projeção[[#This Row],[Código]],BD_Produto[#All],6,FALSE)</f>
        <v>RAPID, GRAMPEADOR ALICATE K1 (24/6) - PN:10510601</v>
      </c>
      <c r="C960" s="130">
        <v>28.466666666666669</v>
      </c>
      <c r="D960" s="130">
        <v>14.200000000000001</v>
      </c>
      <c r="E960" s="130">
        <v>10.166666666666668</v>
      </c>
      <c r="F960" s="130">
        <v>14.666666666666664</v>
      </c>
      <c r="G960" s="130">
        <v>14.266666666666664</v>
      </c>
      <c r="H960" s="130">
        <v>11.8</v>
      </c>
      <c r="I960" s="130">
        <v>11.4</v>
      </c>
      <c r="J960" s="130">
        <v>11.333333333333334</v>
      </c>
      <c r="K960" s="130">
        <v>11.8</v>
      </c>
      <c r="L960" s="130">
        <v>12.433333333333332</v>
      </c>
      <c r="M960" s="130">
        <v>18.033333333333335</v>
      </c>
      <c r="N960" s="130">
        <v>16.333333333333336</v>
      </c>
      <c r="O9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18.399999999999999</v>
      </c>
    </row>
    <row r="961" spans="1:15" x14ac:dyDescent="0.25">
      <c r="A961" s="15">
        <v>33060114114</v>
      </c>
      <c r="B961" s="16" t="str">
        <f>VLOOKUP(Projeção[[#This Row],[Código]],BD_Produto[#All],6,FALSE)</f>
        <v>RAPID, GRAMPEADOR ALICATE K1 (26/6-8) - PN:</v>
      </c>
      <c r="C961" s="130">
        <v>203.76666666666665</v>
      </c>
      <c r="D961" s="130">
        <v>154.43333333333334</v>
      </c>
      <c r="E961" s="130">
        <v>94.466666666666669</v>
      </c>
      <c r="F961" s="130">
        <v>152.93333333333334</v>
      </c>
      <c r="G961" s="130">
        <v>108.5</v>
      </c>
      <c r="H961" s="130">
        <v>123</v>
      </c>
      <c r="I961" s="130">
        <v>122.03333333333335</v>
      </c>
      <c r="J961" s="130">
        <v>110.06666666666665</v>
      </c>
      <c r="K961" s="130">
        <v>123</v>
      </c>
      <c r="L961" s="130">
        <v>98.666666666666657</v>
      </c>
      <c r="M961" s="130">
        <v>147.33333333333334</v>
      </c>
      <c r="N961" s="130">
        <v>147.13333333333333</v>
      </c>
      <c r="O9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126.56666666666666</v>
      </c>
    </row>
    <row r="962" spans="1:15" x14ac:dyDescent="0.25">
      <c r="A962" s="15">
        <v>33060114635</v>
      </c>
      <c r="B962" s="16" t="str">
        <f>VLOOKUP(Projeção[[#This Row],[Código]],BD_Produto[#All],6,FALSE)</f>
        <v>RAPID, GRAMPEADOR ALICATE K1 TEXTIL (43/6-8) - PN:</v>
      </c>
      <c r="C962" s="130">
        <v>1.9</v>
      </c>
      <c r="D962" s="130">
        <v>0.70000000000000007</v>
      </c>
      <c r="E962" s="130">
        <v>0.70000000000000007</v>
      </c>
      <c r="F962" s="130">
        <v>0.3</v>
      </c>
      <c r="G962" s="130">
        <v>0.3</v>
      </c>
      <c r="H962" s="130">
        <v>0.13333333333333333</v>
      </c>
      <c r="I962" s="130">
        <v>0.13333333333333333</v>
      </c>
      <c r="J962" s="130">
        <v>0.13333333333333333</v>
      </c>
      <c r="K962" s="130">
        <v>0.13333333333333333</v>
      </c>
      <c r="L962" s="130">
        <v>9.9999999999999992E-2</v>
      </c>
      <c r="M962" s="130">
        <v>9.9999999999999992E-2</v>
      </c>
      <c r="N962" s="130">
        <v>9.9999999999999992E-2</v>
      </c>
      <c r="O9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63" spans="1:15" x14ac:dyDescent="0.25">
      <c r="A963" s="15">
        <v>33060114943</v>
      </c>
      <c r="B963" s="16" t="str">
        <f>VLOOKUP(Projeção[[#This Row],[Código]],BD_Produto[#All],6,FALSE)</f>
        <v>RAPID, GRAMPEADOR ALICATE SOON PL (Nº10) - PN:</v>
      </c>
      <c r="C963" s="130">
        <v>41.066666666666663</v>
      </c>
      <c r="D963" s="130">
        <v>36.6</v>
      </c>
      <c r="E963" s="130">
        <v>47.5</v>
      </c>
      <c r="F963" s="130">
        <v>38.466666666666669</v>
      </c>
      <c r="G963" s="130">
        <v>39.299999999999997</v>
      </c>
      <c r="H963" s="130">
        <v>29.93333333333333</v>
      </c>
      <c r="I963" s="130">
        <v>29.9</v>
      </c>
      <c r="J963" s="130">
        <v>33.866666666666667</v>
      </c>
      <c r="K963" s="130">
        <v>6.6333333333333329</v>
      </c>
      <c r="L963" s="130">
        <v>15</v>
      </c>
      <c r="M963" s="130">
        <v>18.433333333333334</v>
      </c>
      <c r="N963" s="130">
        <v>16.5</v>
      </c>
      <c r="O9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7.5</v>
      </c>
    </row>
    <row r="964" spans="1:15" x14ac:dyDescent="0.25">
      <c r="A964" s="15">
        <v>33060160517</v>
      </c>
      <c r="B964" s="16" t="str">
        <f>VLOOKUP(Projeção[[#This Row],[Código]],BD_Produto[#All],6,FALSE)</f>
        <v>RAPID, GRAMPEADOR ALICATE SOON PL (Nº26/6) - PN:</v>
      </c>
      <c r="C964" s="130">
        <v>145.16666666666666</v>
      </c>
      <c r="D964" s="130">
        <v>77.133333333333326</v>
      </c>
      <c r="E964" s="130">
        <v>80.499999999999986</v>
      </c>
      <c r="F964" s="130">
        <v>92.533333333333331</v>
      </c>
      <c r="G964" s="130">
        <v>69.766666666666666</v>
      </c>
      <c r="H964" s="130">
        <v>93.033333333333317</v>
      </c>
      <c r="I964" s="130">
        <v>92.7</v>
      </c>
      <c r="J964" s="130">
        <v>77.633333333333326</v>
      </c>
      <c r="K964" s="130">
        <v>93.033333333333317</v>
      </c>
      <c r="L964" s="130">
        <v>66.599999999999994</v>
      </c>
      <c r="M964" s="130">
        <v>125.6</v>
      </c>
      <c r="N964" s="130">
        <v>149.83333333333331</v>
      </c>
      <c r="O9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254.66666666666663</v>
      </c>
    </row>
    <row r="965" spans="1:15" x14ac:dyDescent="0.25">
      <c r="A965" s="15">
        <v>33060114791</v>
      </c>
      <c r="B965" s="16" t="str">
        <f>VLOOKUP(Projeção[[#This Row],[Código]],BD_Produto[#All],6,FALSE)</f>
        <v>RAPID, GRAMPEADOR DE MESA ALU 20 - PN:</v>
      </c>
      <c r="C965" s="130">
        <v>0.16666666666666666</v>
      </c>
      <c r="D965" s="130">
        <v>0</v>
      </c>
      <c r="E965" s="130">
        <v>0</v>
      </c>
      <c r="F965" s="130">
        <v>0</v>
      </c>
      <c r="G965" s="130">
        <v>0</v>
      </c>
      <c r="H965" s="130">
        <v>0</v>
      </c>
      <c r="I965" s="130">
        <v>0</v>
      </c>
      <c r="J965" s="130">
        <v>0</v>
      </c>
      <c r="K965" s="130">
        <v>0</v>
      </c>
      <c r="L965" s="130">
        <v>0</v>
      </c>
      <c r="M965" s="130">
        <v>0</v>
      </c>
      <c r="N965" s="130">
        <v>0</v>
      </c>
      <c r="O9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66" spans="1:15" x14ac:dyDescent="0.25">
      <c r="A966" s="15">
        <v>33060114803</v>
      </c>
      <c r="B966" s="16" t="str">
        <f>VLOOKUP(Projeção[[#This Row],[Código]],BD_Produto[#All],6,FALSE)</f>
        <v>RAPID, GRAMPEADOR DE MESA COBRA ICE AZUL (BLISTER) - PN:20414021</v>
      </c>
      <c r="C966" s="130">
        <v>1.333333333333333</v>
      </c>
      <c r="D966" s="130">
        <v>1.333333333333333</v>
      </c>
      <c r="E966" s="130">
        <v>0.53333333333333333</v>
      </c>
      <c r="F966" s="130">
        <v>3.9333333333333336</v>
      </c>
      <c r="G966" s="130">
        <v>1.5333333333333332</v>
      </c>
      <c r="H966" s="130">
        <v>1.5333333333333332</v>
      </c>
      <c r="I966" s="130">
        <v>1.5333333333333332</v>
      </c>
      <c r="J966" s="130">
        <v>0.6333333333333333</v>
      </c>
      <c r="K966" s="130">
        <v>1.2999999999999998</v>
      </c>
      <c r="L966" s="130">
        <v>0.73333333333333339</v>
      </c>
      <c r="M966" s="130">
        <v>0.86666666666666681</v>
      </c>
      <c r="N966" s="130">
        <v>0.86666666666666681</v>
      </c>
      <c r="O9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</v>
      </c>
    </row>
    <row r="967" spans="1:15" x14ac:dyDescent="0.25">
      <c r="A967" s="15">
        <v>33060114802</v>
      </c>
      <c r="B967" s="16" t="str">
        <f>VLOOKUP(Projeção[[#This Row],[Código]],BD_Produto[#All],6,FALSE)</f>
        <v>RAPID, GRAMPEADOR DE MESA COBRA ICE BRANCO (BLISTER) - PN:20414020</v>
      </c>
      <c r="C967" s="130">
        <v>0.26666666666666666</v>
      </c>
      <c r="D967" s="130">
        <v>9.9999999999999992E-2</v>
      </c>
      <c r="E967" s="130">
        <v>9.9999999999999992E-2</v>
      </c>
      <c r="F967" s="130">
        <v>3.4999999999999996</v>
      </c>
      <c r="G967" s="130">
        <v>1.0999999999999999</v>
      </c>
      <c r="H967" s="130">
        <v>1.0999999999999999</v>
      </c>
      <c r="I967" s="130">
        <v>0.6</v>
      </c>
      <c r="J967" s="130">
        <v>0.19999999999999998</v>
      </c>
      <c r="K967" s="130">
        <v>1.0999999999999999</v>
      </c>
      <c r="L967" s="130">
        <v>0.53333333333333333</v>
      </c>
      <c r="M967" s="130">
        <v>0.66666666666666652</v>
      </c>
      <c r="N967" s="130">
        <v>0.66666666666666652</v>
      </c>
      <c r="O9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4.7333333333333334</v>
      </c>
    </row>
    <row r="968" spans="1:15" x14ac:dyDescent="0.25">
      <c r="A968" s="15">
        <v>33060114804</v>
      </c>
      <c r="B968" s="16" t="str">
        <f>VLOOKUP(Projeção[[#This Row],[Código]],BD_Produto[#All],6,FALSE)</f>
        <v>RAPID, GRAMPEADOR DE MESA COBRA ICE CINZA (BLISTER) - PN:20414022</v>
      </c>
      <c r="C968" s="130">
        <v>0.5</v>
      </c>
      <c r="D968" s="130">
        <v>0.3</v>
      </c>
      <c r="E968" s="130">
        <v>0.3</v>
      </c>
      <c r="F968" s="130">
        <v>9.3666666666666654</v>
      </c>
      <c r="G968" s="130">
        <v>2.9666666666666663</v>
      </c>
      <c r="H968" s="130">
        <v>2.7666666666666662</v>
      </c>
      <c r="I968" s="130">
        <v>2.7666666666666662</v>
      </c>
      <c r="J968" s="130">
        <v>0.53333333333333333</v>
      </c>
      <c r="K968" s="130">
        <v>2.7666666666666662</v>
      </c>
      <c r="L968" s="130">
        <v>0.86666666666666659</v>
      </c>
      <c r="M968" s="130">
        <v>1.7</v>
      </c>
      <c r="N968" s="130">
        <v>2.4</v>
      </c>
      <c r="O9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2.8000000000000003</v>
      </c>
    </row>
    <row r="969" spans="1:15" x14ac:dyDescent="0.25">
      <c r="A969" s="15">
        <v>33060114805</v>
      </c>
      <c r="B969" s="16" t="str">
        <f>VLOOKUP(Projeção[[#This Row],[Código]],BD_Produto[#All],6,FALSE)</f>
        <v>RAPID, GRAMPEADOR DE MESA COBRA ICE VERMELHO (BLISTER) - PN:20414023</v>
      </c>
      <c r="C969" s="130">
        <v>9.9999999999999992E-2</v>
      </c>
      <c r="D969" s="130">
        <v>9.9999999999999992E-2</v>
      </c>
      <c r="E969" s="130">
        <v>9.9999999999999992E-2</v>
      </c>
      <c r="F969" s="130">
        <v>3.4999999999999996</v>
      </c>
      <c r="G969" s="130">
        <v>1.0999999999999999</v>
      </c>
      <c r="H969" s="130">
        <v>1.0999999999999999</v>
      </c>
      <c r="I969" s="130">
        <v>1.0999999999999999</v>
      </c>
      <c r="J969" s="130">
        <v>0.19999999999999998</v>
      </c>
      <c r="K969" s="130">
        <v>1.0999999999999999</v>
      </c>
      <c r="L969" s="130">
        <v>0.53333333333333333</v>
      </c>
      <c r="M969" s="130">
        <v>0.66666666666666652</v>
      </c>
      <c r="N969" s="130">
        <v>0.66666666666666652</v>
      </c>
      <c r="O9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6.6666666666666666E-2</v>
      </c>
    </row>
    <row r="970" spans="1:15" x14ac:dyDescent="0.25">
      <c r="A970" s="15">
        <v>33060114993</v>
      </c>
      <c r="B970" s="16" t="str">
        <f>VLOOKUP(Projeção[[#This Row],[Código]],BD_Produto[#All],6,FALSE)</f>
        <v>RAPID, GRAMPEADOR DE MESA E12 PRETO - PN:20530420</v>
      </c>
      <c r="C970" s="130">
        <v>0</v>
      </c>
      <c r="D970" s="130">
        <v>0</v>
      </c>
      <c r="E970" s="130">
        <v>0</v>
      </c>
      <c r="F970" s="130">
        <v>0</v>
      </c>
      <c r="G970" s="130">
        <v>0</v>
      </c>
      <c r="H970" s="130">
        <v>0</v>
      </c>
      <c r="I970" s="130">
        <v>0</v>
      </c>
      <c r="J970" s="130">
        <v>0</v>
      </c>
      <c r="K970" s="130">
        <v>0</v>
      </c>
      <c r="L970" s="130">
        <v>0</v>
      </c>
      <c r="M970" s="130">
        <v>0</v>
      </c>
      <c r="N970" s="130">
        <v>0</v>
      </c>
      <c r="O9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71" spans="1:15" x14ac:dyDescent="0.25">
      <c r="A971" s="15">
        <v>33060114992</v>
      </c>
      <c r="B971" s="16" t="str">
        <f>VLOOKUP(Projeção[[#This Row],[Código]],BD_Produto[#All],6,FALSE)</f>
        <v>RAPID, GRAMPEADOR DE MESA E26 AZUL - PN:20854010</v>
      </c>
      <c r="C971" s="130">
        <v>13.566666666666666</v>
      </c>
      <c r="D971" s="130">
        <v>14.933333333333334</v>
      </c>
      <c r="E971" s="130">
        <v>4.9333333333333327</v>
      </c>
      <c r="F971" s="130">
        <v>4.1333333333333337</v>
      </c>
      <c r="G971" s="130">
        <v>3.1999999999999997</v>
      </c>
      <c r="H971" s="130">
        <v>9</v>
      </c>
      <c r="I971" s="130">
        <v>9</v>
      </c>
      <c r="J971" s="130">
        <v>8.8666666666666654</v>
      </c>
      <c r="K971" s="130">
        <v>9</v>
      </c>
      <c r="L971" s="130">
        <v>4.5333333333333332</v>
      </c>
      <c r="M971" s="130">
        <v>7.8666666666666654</v>
      </c>
      <c r="N971" s="130">
        <v>7.466666666666665</v>
      </c>
      <c r="O9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28.366666666666664</v>
      </c>
    </row>
    <row r="972" spans="1:15" ht="15" customHeight="1" x14ac:dyDescent="0.25">
      <c r="A972" s="15">
        <v>33060114991</v>
      </c>
      <c r="B972" s="16" t="str">
        <f>VLOOKUP(Projeção[[#This Row],[Código]],BD_Produto[#All],6,FALSE)</f>
        <v>RAPID, GRAMPEADOR DE MESA E26 VERMELHO - PN:20854011</v>
      </c>
      <c r="C972" s="130">
        <v>11.266666666666667</v>
      </c>
      <c r="D972" s="130">
        <v>12</v>
      </c>
      <c r="E972" s="130">
        <v>4.2666666666666666</v>
      </c>
      <c r="F972" s="130">
        <v>9.1333333333333329</v>
      </c>
      <c r="G972" s="130">
        <v>4.333333333333333</v>
      </c>
      <c r="H972" s="130">
        <v>10.033333333333335</v>
      </c>
      <c r="I972" s="130">
        <v>10.033333333333335</v>
      </c>
      <c r="J972" s="130">
        <v>9.6333333333333346</v>
      </c>
      <c r="K972" s="130">
        <v>10.033333333333335</v>
      </c>
      <c r="L972" s="130">
        <v>7.4333333333333345</v>
      </c>
      <c r="M972" s="130">
        <v>11.166666666666666</v>
      </c>
      <c r="N972" s="130">
        <v>9.1</v>
      </c>
      <c r="O9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25.633333333333333</v>
      </c>
    </row>
    <row r="973" spans="1:15" x14ac:dyDescent="0.25">
      <c r="A973" s="15">
        <v>33060160515</v>
      </c>
      <c r="B973" s="16" t="str">
        <f>VLOOKUP(Projeção[[#This Row],[Código]],BD_Produto[#All],6,FALSE)</f>
        <v>RAPID, GRAMPEADOR DE MESA E360 PRETO - PN:</v>
      </c>
      <c r="C973" s="130">
        <v>573.16666666666663</v>
      </c>
      <c r="D973" s="130">
        <v>480.73333333333329</v>
      </c>
      <c r="E973" s="130">
        <v>339</v>
      </c>
      <c r="F973" s="130">
        <v>370.86666666666662</v>
      </c>
      <c r="G973" s="130">
        <v>377.36666666666667</v>
      </c>
      <c r="H973" s="130">
        <v>356.79999999999995</v>
      </c>
      <c r="I973" s="130">
        <v>356.76666666666671</v>
      </c>
      <c r="J973" s="130">
        <v>392</v>
      </c>
      <c r="K973" s="130">
        <v>356.79999999999995</v>
      </c>
      <c r="L973" s="130">
        <v>409.5333333333333</v>
      </c>
      <c r="M973" s="130">
        <v>607.70000000000005</v>
      </c>
      <c r="N973" s="130">
        <v>563.73333333333335</v>
      </c>
      <c r="O9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288.93333333333328</v>
      </c>
    </row>
    <row r="974" spans="1:15" x14ac:dyDescent="0.25">
      <c r="A974" s="15">
        <v>33060161829</v>
      </c>
      <c r="B974" s="16" t="str">
        <f>VLOOKUP(Projeção[[#This Row],[Código]],BD_Produto[#All],6,FALSE)</f>
        <v>RAPID, GRAMPEADOR DE MESA ECO FULL STRIP (24-26/6) - PN:24812301</v>
      </c>
      <c r="C974" s="130">
        <v>7.0666666666666673</v>
      </c>
      <c r="D974" s="130">
        <v>2.2666666666666666</v>
      </c>
      <c r="E974" s="130">
        <v>2.1999999999999997</v>
      </c>
      <c r="F974" s="130">
        <v>0.86666666666666659</v>
      </c>
      <c r="G974" s="130">
        <v>3.7</v>
      </c>
      <c r="H974" s="130">
        <v>2.3333333333333335</v>
      </c>
      <c r="I974" s="130">
        <v>2.3333333333333335</v>
      </c>
      <c r="J974" s="130">
        <v>3.0333333333333337</v>
      </c>
      <c r="K974" s="130">
        <v>2.3333333333333335</v>
      </c>
      <c r="L974" s="130">
        <v>1.5666666666666667</v>
      </c>
      <c r="M974" s="130">
        <v>3</v>
      </c>
      <c r="N974" s="130">
        <v>3.1333333333333333</v>
      </c>
      <c r="O9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6.2333333333333334</v>
      </c>
    </row>
    <row r="975" spans="1:15" x14ac:dyDescent="0.25">
      <c r="A975" s="15">
        <v>33060161828</v>
      </c>
      <c r="B975" s="16" t="str">
        <f>VLOOKUP(Projeção[[#This Row],[Código]],BD_Produto[#All],6,FALSE)</f>
        <v>RAPID, GRAMPEADOR DE MESA ECO HALF STRIP (24-26/6) - PN:</v>
      </c>
      <c r="C975" s="130">
        <v>14.633333333333331</v>
      </c>
      <c r="D975" s="130">
        <v>8.6333333333333329</v>
      </c>
      <c r="E975" s="130">
        <v>7.7</v>
      </c>
      <c r="F975" s="130">
        <v>4.3666666666666663</v>
      </c>
      <c r="G975" s="130">
        <v>4.3666666666666663</v>
      </c>
      <c r="H975" s="130">
        <v>4.333333333333333</v>
      </c>
      <c r="I975" s="130">
        <v>4.333333333333333</v>
      </c>
      <c r="J975" s="130">
        <v>4.2</v>
      </c>
      <c r="K975" s="130">
        <v>4.333333333333333</v>
      </c>
      <c r="L975" s="130">
        <v>3.9</v>
      </c>
      <c r="M975" s="130">
        <v>5</v>
      </c>
      <c r="N975" s="130">
        <v>8.3333333333333339</v>
      </c>
      <c r="O9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30.999999999999996</v>
      </c>
    </row>
    <row r="976" spans="1:15" x14ac:dyDescent="0.25">
      <c r="A976" s="15">
        <v>33060161830</v>
      </c>
      <c r="B976" s="16" t="str">
        <f>VLOOKUP(Projeção[[#This Row],[Código]],BD_Produto[#All],6,FALSE)</f>
        <v>RAPID, GRAMPEADOR DE MESA ECO MINI (24-26/6) - PN:24846201</v>
      </c>
      <c r="C976" s="130">
        <v>140.13333333333333</v>
      </c>
      <c r="D976" s="130">
        <v>86.566666666666677</v>
      </c>
      <c r="E976" s="130">
        <v>67.233333333333334</v>
      </c>
      <c r="F976" s="130">
        <v>34.233333333333327</v>
      </c>
      <c r="G976" s="130">
        <v>23.833333333333332</v>
      </c>
      <c r="H976" s="130">
        <v>20.7</v>
      </c>
      <c r="I976" s="130">
        <v>20.166666666666664</v>
      </c>
      <c r="J976" s="130">
        <v>19.166666666666668</v>
      </c>
      <c r="K976" s="130">
        <v>20.7</v>
      </c>
      <c r="L976" s="130">
        <v>34.233333333333334</v>
      </c>
      <c r="M976" s="130">
        <v>44.066666666666663</v>
      </c>
      <c r="N976" s="130">
        <v>98.3</v>
      </c>
      <c r="O9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121.46666666666667</v>
      </c>
    </row>
    <row r="977" spans="1:15" x14ac:dyDescent="0.25">
      <c r="A977" s="15">
        <v>33060160519</v>
      </c>
      <c r="B977" s="16" t="str">
        <f>VLOOKUP(Projeção[[#This Row],[Código]],BD_Produto[#All],6,FALSE)</f>
        <v>RAPID, GRAMPEADOR DE MESA F30 PRETO - PN:</v>
      </c>
      <c r="C977" s="130">
        <v>40.766666666666666</v>
      </c>
      <c r="D977" s="130">
        <v>31.5</v>
      </c>
      <c r="E977" s="130">
        <v>67.233333333333334</v>
      </c>
      <c r="F977" s="130">
        <v>33.9</v>
      </c>
      <c r="G977" s="130">
        <v>29.06666666666667</v>
      </c>
      <c r="H977" s="130">
        <v>14.899999999999999</v>
      </c>
      <c r="I977" s="130">
        <v>14.899999999999999</v>
      </c>
      <c r="J977" s="130">
        <v>12.566666666666668</v>
      </c>
      <c r="K977" s="130">
        <v>14.899999999999999</v>
      </c>
      <c r="L977" s="130">
        <v>29.199999999999996</v>
      </c>
      <c r="M977" s="130">
        <v>40.333333333333329</v>
      </c>
      <c r="N977" s="130">
        <v>30.466666666666661</v>
      </c>
      <c r="O9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29.633333333333329</v>
      </c>
    </row>
    <row r="978" spans="1:15" x14ac:dyDescent="0.25">
      <c r="A978" s="15">
        <v>33060164508</v>
      </c>
      <c r="B978" s="16" t="str">
        <f>VLOOKUP(Projeção[[#This Row],[Código]],BD_Produto[#All],6,FALSE)</f>
        <v>Rapid, Grampeador de mesa FM-12, PN:5000273</v>
      </c>
      <c r="C978" s="130">
        <v>0</v>
      </c>
      <c r="D978" s="130">
        <v>1.7</v>
      </c>
      <c r="E978" s="130">
        <v>0.5</v>
      </c>
      <c r="F978" s="130">
        <v>0.5</v>
      </c>
      <c r="G978" s="130">
        <v>9.9999999999999992E-2</v>
      </c>
      <c r="H978" s="130">
        <v>9.9999999999999992E-2</v>
      </c>
      <c r="I978" s="130">
        <v>9.9999999999999992E-2</v>
      </c>
      <c r="J978" s="130">
        <v>9.9999999999999992E-2</v>
      </c>
      <c r="K978" s="130">
        <v>9.9999999999999992E-2</v>
      </c>
      <c r="L978" s="130">
        <v>2.1</v>
      </c>
      <c r="M978" s="130">
        <v>2.9</v>
      </c>
      <c r="N978" s="130">
        <v>2.9</v>
      </c>
      <c r="O9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</v>
      </c>
    </row>
    <row r="979" spans="1:15" x14ac:dyDescent="0.25">
      <c r="A979" s="15">
        <v>33060160537</v>
      </c>
      <c r="B979" s="16" t="str">
        <f>VLOOKUP(Projeção[[#This Row],[Código]],BD_Produto[#All],6,FALSE)</f>
        <v>RAPID, GRAMPEADOR DE MESA FREEZE AZUL - PN:24184012</v>
      </c>
      <c r="C979" s="130">
        <v>1.8333333333333335</v>
      </c>
      <c r="D979" s="130">
        <v>1.1666666666666665</v>
      </c>
      <c r="E979" s="130">
        <v>0.56666666666666665</v>
      </c>
      <c r="F979" s="130">
        <v>0.56666666666666665</v>
      </c>
      <c r="G979" s="130">
        <v>1.7</v>
      </c>
      <c r="H979" s="130">
        <v>0.76666666666666661</v>
      </c>
      <c r="I979" s="130">
        <v>0.76666666666666661</v>
      </c>
      <c r="J979" s="130">
        <v>0.70000000000000007</v>
      </c>
      <c r="K979" s="130">
        <v>0.76666666666666661</v>
      </c>
      <c r="L979" s="130">
        <v>2.4666666666666663</v>
      </c>
      <c r="M979" s="130">
        <v>3.4666666666666663</v>
      </c>
      <c r="N979" s="130">
        <v>3.1666666666666665</v>
      </c>
      <c r="O9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1.3666666666666665</v>
      </c>
    </row>
    <row r="980" spans="1:15" x14ac:dyDescent="0.25">
      <c r="A980" s="15">
        <v>33060160538</v>
      </c>
      <c r="B980" s="16" t="str">
        <f>VLOOKUP(Projeção[[#This Row],[Código]],BD_Produto[#All],6,FALSE)</f>
        <v>RAPID, GRAMPEADOR DE MESA FREEZE BRANCO - PN:24184010</v>
      </c>
      <c r="C980" s="130">
        <v>1.5</v>
      </c>
      <c r="D980" s="130">
        <v>1.2333333333333332</v>
      </c>
      <c r="E980" s="130">
        <v>0.6333333333333333</v>
      </c>
      <c r="F980" s="130">
        <v>1.7666666666666664</v>
      </c>
      <c r="G980" s="130">
        <v>2.0333333333333332</v>
      </c>
      <c r="H980" s="130">
        <v>2.9</v>
      </c>
      <c r="I980" s="130">
        <v>2.9</v>
      </c>
      <c r="J980" s="130">
        <v>2.5666666666666664</v>
      </c>
      <c r="K980" s="130">
        <v>2.9</v>
      </c>
      <c r="L980" s="130">
        <v>1.4666666666666668</v>
      </c>
      <c r="M980" s="130">
        <v>4.6666666666666661</v>
      </c>
      <c r="N980" s="130">
        <v>4.4666666666666668</v>
      </c>
      <c r="O9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2.5333333333333332</v>
      </c>
    </row>
    <row r="981" spans="1:15" x14ac:dyDescent="0.25">
      <c r="A981" s="15">
        <v>33060160539</v>
      </c>
      <c r="B981" s="16" t="str">
        <f>VLOOKUP(Projeção[[#This Row],[Código]],BD_Produto[#All],6,FALSE)</f>
        <v>RAPID, GRAMPEADOR DE MESA FREEZE PRETO - PN:</v>
      </c>
      <c r="C981" s="130">
        <v>5.5333333333333323</v>
      </c>
      <c r="D981" s="130">
        <v>3.7333333333333334</v>
      </c>
      <c r="E981" s="130">
        <v>3.7333333333333325</v>
      </c>
      <c r="F981" s="130">
        <v>3.0666666666666664</v>
      </c>
      <c r="G981" s="130">
        <v>2</v>
      </c>
      <c r="H981" s="130">
        <v>1.9</v>
      </c>
      <c r="I981" s="130">
        <v>1.9</v>
      </c>
      <c r="J981" s="130">
        <v>1.4000000000000001</v>
      </c>
      <c r="K981" s="130">
        <v>1.9</v>
      </c>
      <c r="L981" s="130">
        <v>1.2</v>
      </c>
      <c r="M981" s="130">
        <v>1.2666666666666666</v>
      </c>
      <c r="N981" s="130">
        <v>1.0333333333333332</v>
      </c>
      <c r="O9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6.6666666666666666E-2</v>
      </c>
    </row>
    <row r="982" spans="1:15" x14ac:dyDescent="0.25">
      <c r="A982" s="15">
        <v>33060160540</v>
      </c>
      <c r="B982" s="16" t="str">
        <f>VLOOKUP(Projeção[[#This Row],[Código]],BD_Produto[#All],6,FALSE)</f>
        <v>RAPID, GRAMPEADOR DE MESA FREEZE ROSA - PN:24184016</v>
      </c>
      <c r="C982" s="130">
        <v>1.8666666666666663</v>
      </c>
      <c r="D982" s="130">
        <v>1.333333333333333</v>
      </c>
      <c r="E982" s="130">
        <v>0.73333333333333328</v>
      </c>
      <c r="F982" s="130">
        <v>0.73333333333333328</v>
      </c>
      <c r="G982" s="130">
        <v>1.7666666666666664</v>
      </c>
      <c r="H982" s="130">
        <v>2.2333333333333334</v>
      </c>
      <c r="I982" s="130">
        <v>2.2333333333333334</v>
      </c>
      <c r="J982" s="130">
        <v>2.1999999999999997</v>
      </c>
      <c r="K982" s="130">
        <v>2.2333333333333334</v>
      </c>
      <c r="L982" s="130">
        <v>0.53333333333333333</v>
      </c>
      <c r="M982" s="130">
        <v>1.2</v>
      </c>
      <c r="N982" s="130">
        <v>1.8666666666666663</v>
      </c>
      <c r="O9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983" spans="1:15" x14ac:dyDescent="0.25">
      <c r="A983" s="15">
        <v>33060160541</v>
      </c>
      <c r="B983" s="16" t="str">
        <f>VLOOKUP(Projeção[[#This Row],[Código]],BD_Produto[#All],6,FALSE)</f>
        <v>RAPID, GRAMPEADOR DE MESA FREEZE VERDE - PN:24184015</v>
      </c>
      <c r="C983" s="130">
        <v>0.33333333333333331</v>
      </c>
      <c r="D983" s="130">
        <v>0.33333333333333331</v>
      </c>
      <c r="E983" s="130">
        <v>0</v>
      </c>
      <c r="F983" s="130">
        <v>0</v>
      </c>
      <c r="G983" s="130">
        <v>0</v>
      </c>
      <c r="H983" s="130">
        <v>1.333333333333333</v>
      </c>
      <c r="I983" s="130">
        <v>1.333333333333333</v>
      </c>
      <c r="J983" s="130">
        <v>1.333333333333333</v>
      </c>
      <c r="K983" s="130">
        <v>1.333333333333333</v>
      </c>
      <c r="L983" s="130">
        <v>0.76666666666666661</v>
      </c>
      <c r="M983" s="130">
        <v>1.4999999999999998</v>
      </c>
      <c r="N983" s="130">
        <v>1.4999999999999998</v>
      </c>
      <c r="O9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0.56666666666666665</v>
      </c>
    </row>
    <row r="984" spans="1:15" x14ac:dyDescent="0.25">
      <c r="A984" s="15">
        <v>33060163222</v>
      </c>
      <c r="B984" s="16" t="str">
        <f>VLOOKUP(Projeção[[#This Row],[Código]],BD_Produto[#All],6,FALSE)</f>
        <v>RAPID, GRAMPEADOR DE MESA FSM PRETO (24-26/6) - PN:5000194</v>
      </c>
      <c r="C984" s="130">
        <v>82.333333333333329</v>
      </c>
      <c r="D984" s="130">
        <v>40.866666666666667</v>
      </c>
      <c r="E984" s="130">
        <v>25.7</v>
      </c>
      <c r="F984" s="130">
        <v>25.166666666666668</v>
      </c>
      <c r="G984" s="130">
        <v>30.2</v>
      </c>
      <c r="H984" s="130">
        <v>19.599999999999998</v>
      </c>
      <c r="I984" s="130">
        <v>19.599999999999998</v>
      </c>
      <c r="J984" s="130">
        <v>17.166666666666668</v>
      </c>
      <c r="K984" s="130">
        <v>19.599999999999998</v>
      </c>
      <c r="L984" s="130">
        <v>27.566666666666659</v>
      </c>
      <c r="M984" s="130">
        <v>35.9</v>
      </c>
      <c r="N984" s="130">
        <v>40.333333333333336</v>
      </c>
      <c r="O9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35.633333333333333</v>
      </c>
    </row>
    <row r="985" spans="1:15" x14ac:dyDescent="0.25">
      <c r="A985" s="15">
        <v>33060163221</v>
      </c>
      <c r="B985" s="16" t="str">
        <f>VLOOKUP(Projeção[[#This Row],[Código]],BD_Produto[#All],6,FALSE)</f>
        <v>RAPID, GRAMPEADOR DE MESA FSP PRERTO (24-26/6) - PN:5000192</v>
      </c>
      <c r="C985" s="130">
        <v>78.433333333333337</v>
      </c>
      <c r="D985" s="130">
        <v>45.733333333333327</v>
      </c>
      <c r="E985" s="130">
        <v>27.56666666666667</v>
      </c>
      <c r="F985" s="130">
        <v>19.333333333333332</v>
      </c>
      <c r="G985" s="130">
        <v>26.666666666666668</v>
      </c>
      <c r="H985" s="130">
        <v>44.266666666666659</v>
      </c>
      <c r="I985" s="130">
        <v>44.266666666666659</v>
      </c>
      <c r="J985" s="130">
        <v>45.766666666666673</v>
      </c>
      <c r="K985" s="130">
        <v>44.266666666666659</v>
      </c>
      <c r="L985" s="130">
        <v>31.766666666666659</v>
      </c>
      <c r="M985" s="130">
        <v>52.5</v>
      </c>
      <c r="N985" s="130">
        <v>44.733333333333334</v>
      </c>
      <c r="O9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67.833333333333329</v>
      </c>
    </row>
    <row r="986" spans="1:15" x14ac:dyDescent="0.25">
      <c r="A986" s="15">
        <v>33060163220</v>
      </c>
      <c r="B986" s="16" t="str">
        <f>VLOOKUP(Projeção[[#This Row],[Código]],BD_Produto[#All],6,FALSE)</f>
        <v>RAPID, GRAMPEADOR DE MESA HSP PRETO (24-26/6) - PN:5000191</v>
      </c>
      <c r="C986" s="130">
        <v>74.133333333333326</v>
      </c>
      <c r="D986" s="130">
        <v>49.466666666666661</v>
      </c>
      <c r="E986" s="130">
        <v>32.566666666666663</v>
      </c>
      <c r="F986" s="130">
        <v>29.666666666666661</v>
      </c>
      <c r="G986" s="130">
        <v>57.599999999999994</v>
      </c>
      <c r="H986" s="130">
        <v>39.799999999999997</v>
      </c>
      <c r="I986" s="130">
        <v>39.766666666666659</v>
      </c>
      <c r="J986" s="130">
        <v>50.533333333333339</v>
      </c>
      <c r="K986" s="130">
        <v>39.799999999999997</v>
      </c>
      <c r="L986" s="130">
        <v>43.633333333333326</v>
      </c>
      <c r="M986" s="130">
        <v>81.399999999999991</v>
      </c>
      <c r="N986" s="130">
        <v>99.5</v>
      </c>
      <c r="O9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136.96666666666667</v>
      </c>
    </row>
    <row r="987" spans="1:15" x14ac:dyDescent="0.25">
      <c r="A987" s="15">
        <v>33060161114</v>
      </c>
      <c r="B987" s="16" t="str">
        <f>VLOOKUP(Projeção[[#This Row],[Código]],BD_Produto[#All],6,FALSE)</f>
        <v>RAPID, GRAMPEADOR DE MESA S17 PRETO (24-26/6) - PN:</v>
      </c>
      <c r="C987" s="130">
        <v>160.26666666666668</v>
      </c>
      <c r="D987" s="130">
        <v>83.23333333333332</v>
      </c>
      <c r="E987" s="130">
        <v>83.133333333333326</v>
      </c>
      <c r="F987" s="130">
        <v>50.966666666666661</v>
      </c>
      <c r="G987" s="130">
        <v>48.833333333333329</v>
      </c>
      <c r="H987" s="130">
        <v>60.733333333333327</v>
      </c>
      <c r="I987" s="130">
        <v>60.7</v>
      </c>
      <c r="J987" s="130">
        <v>70.599999999999994</v>
      </c>
      <c r="K987" s="130">
        <v>60.733333333333327</v>
      </c>
      <c r="L987" s="130">
        <v>80.399999999999991</v>
      </c>
      <c r="M987" s="130">
        <v>133.33333333333334</v>
      </c>
      <c r="N987" s="130">
        <v>137.13333333333333</v>
      </c>
      <c r="O9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132.39999999999998</v>
      </c>
    </row>
    <row r="988" spans="1:15" x14ac:dyDescent="0.25">
      <c r="A988" s="15">
        <v>33060161112</v>
      </c>
      <c r="B988" s="16" t="str">
        <f>VLOOKUP(Projeção[[#This Row],[Código]],BD_Produto[#All],6,FALSE)</f>
        <v>RAPID, GRAMPEADOR DE MESA S30 PRESS LESS PRETO - PN:24146201</v>
      </c>
      <c r="C988" s="130">
        <v>9.6</v>
      </c>
      <c r="D988" s="130">
        <v>6.2333333333333325</v>
      </c>
      <c r="E988" s="130">
        <v>3.7</v>
      </c>
      <c r="F988" s="130">
        <v>2.9</v>
      </c>
      <c r="G988" s="130">
        <v>2.7333333333333329</v>
      </c>
      <c r="H988" s="130">
        <v>2.0333333333333332</v>
      </c>
      <c r="I988" s="130">
        <v>2.0333333333333332</v>
      </c>
      <c r="J988" s="130">
        <v>2.2333333333333329</v>
      </c>
      <c r="K988" s="130">
        <v>2.0333333333333332</v>
      </c>
      <c r="L988" s="130">
        <v>4.3666666666666663</v>
      </c>
      <c r="M988" s="130">
        <v>6.0333333333333332</v>
      </c>
      <c r="N988" s="130">
        <v>3.5333333333333337</v>
      </c>
      <c r="O9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1.4333333333333333</v>
      </c>
    </row>
    <row r="989" spans="1:15" x14ac:dyDescent="0.25">
      <c r="A989" s="15">
        <v>33060114944</v>
      </c>
      <c r="B989" s="16" t="str">
        <f>VLOOKUP(Projeção[[#This Row],[Código]],BD_Produto[#All],6,FALSE)</f>
        <v>RAPID, GRAMPEADOR DE MESA SOON ST (24-26/6) - PN:</v>
      </c>
      <c r="C989" s="130">
        <v>9.4666666666666668</v>
      </c>
      <c r="D989" s="130">
        <v>8.1666666666666679</v>
      </c>
      <c r="E989" s="130">
        <v>6.1666666666666661</v>
      </c>
      <c r="F989" s="130">
        <v>3</v>
      </c>
      <c r="G989" s="130">
        <v>2.9666666666666668</v>
      </c>
      <c r="H989" s="130">
        <v>2.9666666666666668</v>
      </c>
      <c r="I989" s="130">
        <v>2.9666666666666668</v>
      </c>
      <c r="J989" s="130">
        <v>2.9666666666666668</v>
      </c>
      <c r="K989" s="130">
        <v>0</v>
      </c>
      <c r="L989" s="130">
        <v>0</v>
      </c>
      <c r="M989" s="130">
        <v>0</v>
      </c>
      <c r="N989" s="130">
        <v>0</v>
      </c>
      <c r="O9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0" spans="1:15" x14ac:dyDescent="0.25">
      <c r="A990" s="15">
        <v>33060114793</v>
      </c>
      <c r="B990" s="16" t="str">
        <f>VLOOKUP(Projeção[[#This Row],[Código]],BD_Produto[#All],6,FALSE)</f>
        <v>RAPID, GRAMPEADOR DE MESA STAND UP ICE (DISPLAY COM 12 GRAMPEADORES) - PN:20414011</v>
      </c>
      <c r="C990" s="130">
        <v>6.6666666666666666E-2</v>
      </c>
      <c r="D990" s="130">
        <v>6.6666666666666666E-2</v>
      </c>
      <c r="E990" s="130">
        <v>6.6666666666666666E-2</v>
      </c>
      <c r="F990" s="130">
        <v>0</v>
      </c>
      <c r="G990" s="130">
        <v>0</v>
      </c>
      <c r="H990" s="130">
        <v>0</v>
      </c>
      <c r="I990" s="130">
        <v>0</v>
      </c>
      <c r="J990" s="130">
        <v>0</v>
      </c>
      <c r="K990" s="130">
        <v>0</v>
      </c>
      <c r="L990" s="130">
        <v>0</v>
      </c>
      <c r="M990" s="130">
        <v>0</v>
      </c>
      <c r="N990" s="130">
        <v>0</v>
      </c>
      <c r="O9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1" spans="1:15" x14ac:dyDescent="0.25">
      <c r="A991" s="15">
        <v>33060114789</v>
      </c>
      <c r="B991" s="16" t="str">
        <f>VLOOKUP(Projeção[[#This Row],[Código]],BD_Produto[#All],6,FALSE)</f>
        <v>RAPID, GRAMPEADOR DE MESA ULTIMATE GRAY - CINZA - PN:</v>
      </c>
      <c r="C991" s="130">
        <v>0.56666666666666665</v>
      </c>
      <c r="D991" s="130">
        <v>0.53333333333333333</v>
      </c>
      <c r="E991" s="130">
        <v>0.46666666666666667</v>
      </c>
      <c r="F991" s="130">
        <v>9.5333333333333314</v>
      </c>
      <c r="G991" s="130">
        <v>3.1333333333333333</v>
      </c>
      <c r="H991" s="130">
        <v>3.1333333333333333</v>
      </c>
      <c r="I991" s="130">
        <v>3.1333333333333333</v>
      </c>
      <c r="J991" s="130">
        <v>0.93333333333333335</v>
      </c>
      <c r="K991" s="130">
        <v>3.1333333333333333</v>
      </c>
      <c r="L991" s="130">
        <v>0.53333333333333333</v>
      </c>
      <c r="M991" s="130">
        <v>0.53333333333333333</v>
      </c>
      <c r="N991" s="130">
        <v>0.53333333333333333</v>
      </c>
      <c r="O9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2" spans="1:15" x14ac:dyDescent="0.25">
      <c r="A992" s="15">
        <v>33060114792</v>
      </c>
      <c r="B992" s="16" t="str">
        <f>VLOOKUP(Projeção[[#This Row],[Código]],BD_Produto[#All],6,FALSE)</f>
        <v>RAPID, GRAMPEADOR DE MESA X-RAY F16 (DISPLAY COM 15 GRAMPEADORES) - PN:10182445</v>
      </c>
      <c r="C992" s="130">
        <v>0.86666666666666681</v>
      </c>
      <c r="D992" s="130">
        <v>0.86666666666666681</v>
      </c>
      <c r="E992" s="130">
        <v>0.46666666666666667</v>
      </c>
      <c r="F992" s="130">
        <v>0.23333333333333334</v>
      </c>
      <c r="G992" s="130">
        <v>0.23333333333333334</v>
      </c>
      <c r="H992" s="130">
        <v>0.23333333333333334</v>
      </c>
      <c r="I992" s="130">
        <v>0.23333333333333334</v>
      </c>
      <c r="J992" s="130">
        <v>0.23333333333333334</v>
      </c>
      <c r="K992" s="130">
        <v>0.23333333333333334</v>
      </c>
      <c r="L992" s="130">
        <v>9.9999999999999992E-2</v>
      </c>
      <c r="M992" s="130">
        <v>9.9999999999999992E-2</v>
      </c>
      <c r="N992" s="130">
        <v>9.9999999999999992E-2</v>
      </c>
      <c r="O9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993" spans="1:15" x14ac:dyDescent="0.25">
      <c r="A993" s="15">
        <v>33060114806</v>
      </c>
      <c r="B993" s="16" t="str">
        <f>VLOOKUP(Projeção[[#This Row],[Código]],BD_Produto[#All],6,FALSE)</f>
        <v>RAPID, GRAMPEADOR DE MESA X-RAY F16 AMARELO (BLISTER) - PN:</v>
      </c>
      <c r="C993" s="130">
        <v>0</v>
      </c>
      <c r="D993" s="130">
        <v>0</v>
      </c>
      <c r="E993" s="130">
        <v>0</v>
      </c>
      <c r="F993" s="130">
        <v>2.8333333333333335</v>
      </c>
      <c r="G993" s="130">
        <v>0.83333333333333337</v>
      </c>
      <c r="H993" s="130">
        <v>0.83333333333333337</v>
      </c>
      <c r="I993" s="130">
        <v>0</v>
      </c>
      <c r="J993" s="130">
        <v>0.16666666666666666</v>
      </c>
      <c r="K993" s="130">
        <v>0.83333333333333337</v>
      </c>
      <c r="L993" s="130">
        <v>0.16666666666666666</v>
      </c>
      <c r="M993" s="130">
        <v>0.16666666666666666</v>
      </c>
      <c r="N993" s="130">
        <v>0.16666666666666666</v>
      </c>
      <c r="O9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4" spans="1:15" x14ac:dyDescent="0.25">
      <c r="A994" s="15">
        <v>33060114810</v>
      </c>
      <c r="B994" s="16" t="str">
        <f>VLOOKUP(Projeção[[#This Row],[Código]],BD_Produto[#All],6,FALSE)</f>
        <v>RAPID, GRAMPEADOR DE MESA X-RAY F16 CEREJA (BLISTER) - PN:</v>
      </c>
      <c r="C994" s="130">
        <v>0.66666666666666652</v>
      </c>
      <c r="D994" s="130">
        <v>0.66666666666666652</v>
      </c>
      <c r="E994" s="130">
        <v>0.13333333333333333</v>
      </c>
      <c r="F994" s="130">
        <v>5.2333333333333334</v>
      </c>
      <c r="G994" s="130">
        <v>1.6333333333333331</v>
      </c>
      <c r="H994" s="130">
        <v>1.6333333333333331</v>
      </c>
      <c r="I994" s="130">
        <v>0.13333333333333333</v>
      </c>
      <c r="J994" s="130">
        <v>0.43333333333333329</v>
      </c>
      <c r="K994" s="130">
        <v>1.6333333333333331</v>
      </c>
      <c r="L994" s="130">
        <v>0.43333333333333329</v>
      </c>
      <c r="M994" s="130">
        <v>0.43333333333333329</v>
      </c>
      <c r="N994" s="130">
        <v>0.43333333333333329</v>
      </c>
      <c r="O9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5" spans="1:15" ht="15" customHeight="1" x14ac:dyDescent="0.25">
      <c r="A995" s="15">
        <v>33060114809</v>
      </c>
      <c r="B995" s="16" t="str">
        <f>VLOOKUP(Projeção[[#This Row],[Código]],BD_Produto[#All],6,FALSE)</f>
        <v>RAPID, GRAMPEADOR DE MESA X-RAY F16 LILAS (BLISTER) - PN:</v>
      </c>
      <c r="C995" s="130">
        <v>0.66666666666666652</v>
      </c>
      <c r="D995" s="130">
        <v>0.13333333333333333</v>
      </c>
      <c r="E995" s="130">
        <v>0.13333333333333333</v>
      </c>
      <c r="F995" s="130">
        <v>0.13333333333333333</v>
      </c>
      <c r="G995" s="130">
        <v>0.13333333333333333</v>
      </c>
      <c r="H995" s="130">
        <v>0.13333333333333333</v>
      </c>
      <c r="I995" s="130">
        <v>0.13333333333333333</v>
      </c>
      <c r="J995" s="130">
        <v>0.13333333333333333</v>
      </c>
      <c r="K995" s="130">
        <v>0.13333333333333333</v>
      </c>
      <c r="L995" s="130">
        <v>0.13333333333333333</v>
      </c>
      <c r="M995" s="130">
        <v>0.13333333333333333</v>
      </c>
      <c r="N995" s="130">
        <v>0</v>
      </c>
      <c r="O9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6" spans="1:15" x14ac:dyDescent="0.25">
      <c r="A996" s="15">
        <v>33060114904</v>
      </c>
      <c r="B996" s="16" t="str">
        <f>VLOOKUP(Projeção[[#This Row],[Código]],BD_Produto[#All],6,FALSE)</f>
        <v>RAPID, GRAMPEADOR DE MESA X-RAY LARANJA - PN:</v>
      </c>
      <c r="C996" s="130">
        <v>8.5</v>
      </c>
      <c r="D996" s="130">
        <v>5.2333333333333334</v>
      </c>
      <c r="E996" s="130">
        <v>18.233333333333334</v>
      </c>
      <c r="F996" s="130">
        <v>12.16666666666667</v>
      </c>
      <c r="G996" s="130">
        <v>8.1666666666666679</v>
      </c>
      <c r="H996" s="130">
        <v>8.3000000000000007</v>
      </c>
      <c r="I996" s="130">
        <v>8.3000000000000007</v>
      </c>
      <c r="J996" s="130">
        <v>6.1333333333333329</v>
      </c>
      <c r="K996" s="130">
        <v>8.3000000000000007</v>
      </c>
      <c r="L996" s="130">
        <v>8.466666666666665</v>
      </c>
      <c r="M996" s="130">
        <v>15.133333333333335</v>
      </c>
      <c r="N996" s="130">
        <v>11.133333333333331</v>
      </c>
      <c r="O9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</v>
      </c>
    </row>
    <row r="997" spans="1:15" x14ac:dyDescent="0.25">
      <c r="A997" s="15">
        <v>33060114902</v>
      </c>
      <c r="B997" s="16" t="str">
        <f>VLOOKUP(Projeção[[#This Row],[Código]],BD_Produto[#All],6,FALSE)</f>
        <v>RAPID, GRAMPEADOR DE MESA X-RAY VERDE FLORESTA - PN:</v>
      </c>
      <c r="C997" s="130">
        <v>8.2333333333333343</v>
      </c>
      <c r="D997" s="130">
        <v>5</v>
      </c>
      <c r="E997" s="130">
        <v>17.899999999999999</v>
      </c>
      <c r="F997" s="130">
        <v>11.5</v>
      </c>
      <c r="G997" s="130">
        <v>7.5</v>
      </c>
      <c r="H997" s="130">
        <v>7.6333333333333337</v>
      </c>
      <c r="I997" s="130">
        <v>7.6333333333333337</v>
      </c>
      <c r="J997" s="130">
        <v>6.1333333333333329</v>
      </c>
      <c r="K997" s="130">
        <v>7.6333333333333337</v>
      </c>
      <c r="L997" s="130">
        <v>5.1333333333333329</v>
      </c>
      <c r="M997" s="130">
        <v>5.8</v>
      </c>
      <c r="N997" s="130">
        <v>4.4666666666666668</v>
      </c>
      <c r="O9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0.33333333333333331</v>
      </c>
    </row>
    <row r="998" spans="1:15" ht="15" customHeight="1" x14ac:dyDescent="0.25">
      <c r="A998" s="15">
        <v>33060114881</v>
      </c>
      <c r="B998" s="16" t="str">
        <f>VLOOKUP(Projeção[[#This Row],[Código]],BD_Produto[#All],6,FALSE)</f>
        <v>RAPID, GRAMPEADOR ELETRICO 100E (115V) - PN:</v>
      </c>
      <c r="C998" s="130">
        <v>0</v>
      </c>
      <c r="D998" s="130">
        <v>0</v>
      </c>
      <c r="E998" s="130">
        <v>0</v>
      </c>
      <c r="F998" s="130">
        <v>0</v>
      </c>
      <c r="G998" s="130">
        <v>0</v>
      </c>
      <c r="H998" s="130">
        <v>0</v>
      </c>
      <c r="I998" s="130">
        <v>0</v>
      </c>
      <c r="J998" s="130">
        <v>0</v>
      </c>
      <c r="K998" s="130">
        <v>0</v>
      </c>
      <c r="L998" s="130">
        <v>0</v>
      </c>
      <c r="M998" s="130">
        <v>0</v>
      </c>
      <c r="N998" s="130">
        <v>0</v>
      </c>
      <c r="O9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999" spans="1:15" x14ac:dyDescent="0.25">
      <c r="A999" s="15">
        <v>33060114877</v>
      </c>
      <c r="B999" s="16" t="str">
        <f>VLOOKUP(Projeção[[#This Row],[Código]],BD_Produto[#All],6,FALSE)</f>
        <v>RAPID, GRAMPEADOR ELETRICO 101E (115V) - PN:</v>
      </c>
      <c r="C999" s="130">
        <v>6.6666666666666666E-2</v>
      </c>
      <c r="D999" s="130">
        <v>3.3333333333333333E-2</v>
      </c>
      <c r="E999" s="130">
        <v>0</v>
      </c>
      <c r="F999" s="130">
        <v>0</v>
      </c>
      <c r="G999" s="130">
        <v>0</v>
      </c>
      <c r="H999" s="130">
        <v>0</v>
      </c>
      <c r="I999" s="130">
        <v>0</v>
      </c>
      <c r="J999" s="130">
        <v>0</v>
      </c>
      <c r="K999" s="130">
        <v>0</v>
      </c>
      <c r="L999" s="130">
        <v>0</v>
      </c>
      <c r="M999" s="130">
        <v>0</v>
      </c>
      <c r="N999" s="130">
        <v>0</v>
      </c>
      <c r="O9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0" spans="1:15" x14ac:dyDescent="0.25">
      <c r="A1000" s="15">
        <v>33060114587</v>
      </c>
      <c r="B1000" s="16" t="str">
        <f>VLOOKUP(Projeção[[#This Row],[Código]],BD_Produto[#All],6,FALSE)</f>
        <v>RAPID, GRAMPEADOR ELETRICO 105E (66/6-8) 120V - PN:10870425</v>
      </c>
      <c r="C1000" s="130">
        <v>0</v>
      </c>
      <c r="D1000" s="130">
        <v>0</v>
      </c>
      <c r="E1000" s="130">
        <v>0</v>
      </c>
      <c r="F1000" s="130">
        <v>0</v>
      </c>
      <c r="G1000" s="130">
        <v>0</v>
      </c>
      <c r="H1000" s="130">
        <v>0</v>
      </c>
      <c r="I1000" s="130">
        <v>0</v>
      </c>
      <c r="J1000" s="130">
        <v>0</v>
      </c>
      <c r="K1000" s="130">
        <v>0</v>
      </c>
      <c r="L1000" s="130">
        <v>0</v>
      </c>
      <c r="M1000" s="130">
        <v>0</v>
      </c>
      <c r="N1000" s="130">
        <v>0</v>
      </c>
      <c r="O10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1" spans="1:15" x14ac:dyDescent="0.25">
      <c r="A1001" s="15">
        <v>33060163877</v>
      </c>
      <c r="B1001" s="16" t="str">
        <f>VLOOKUP(Projeção[[#This Row],[Código]],BD_Produto[#All],6,FALSE)</f>
        <v>RAPID, GRAMPEADOR ELETRICO 105E (66/6-8) 120V - PN:5000253</v>
      </c>
      <c r="C1001" s="130">
        <v>0.66666666666666652</v>
      </c>
      <c r="D1001" s="130">
        <v>0.26666666666666666</v>
      </c>
      <c r="E1001" s="130">
        <v>0.23333333333333328</v>
      </c>
      <c r="F1001" s="130">
        <v>9.9999999999999992E-2</v>
      </c>
      <c r="G1001" s="130">
        <v>9.9999999999999992E-2</v>
      </c>
      <c r="H1001" s="130">
        <v>9.9999999999999992E-2</v>
      </c>
      <c r="I1001" s="130">
        <v>9.9999999999999992E-2</v>
      </c>
      <c r="J1001" s="130">
        <v>0.39999999999999997</v>
      </c>
      <c r="K1001" s="130">
        <v>9.9999999999999992E-2</v>
      </c>
      <c r="L1001" s="130">
        <v>0.39999999999999997</v>
      </c>
      <c r="M1001" s="130">
        <v>0.23333333333333328</v>
      </c>
      <c r="N1001" s="130">
        <v>0.23333333333333328</v>
      </c>
      <c r="O10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2" spans="1:15" x14ac:dyDescent="0.25">
      <c r="A1002" s="15">
        <v>33060114487</v>
      </c>
      <c r="B1002" s="16" t="str">
        <f>VLOOKUP(Projeção[[#This Row],[Código]],BD_Produto[#All],6,FALSE)</f>
        <v>RAPID, GRAMPEADOR ELETRICO 106E (66/6-8) 115V - PN:10875325</v>
      </c>
      <c r="C1002" s="130">
        <v>1.2999999999999998</v>
      </c>
      <c r="D1002" s="130">
        <v>0.39999999999999997</v>
      </c>
      <c r="E1002" s="130">
        <v>0.39999999999999997</v>
      </c>
      <c r="F1002" s="130">
        <v>0.13333333333333333</v>
      </c>
      <c r="G1002" s="130">
        <v>0.70000000000000007</v>
      </c>
      <c r="H1002" s="130">
        <v>0.3</v>
      </c>
      <c r="I1002" s="130">
        <v>0.3</v>
      </c>
      <c r="J1002" s="130">
        <v>0.3</v>
      </c>
      <c r="K1002" s="130">
        <v>0.3</v>
      </c>
      <c r="L1002" s="130">
        <v>9.9999999999999992E-2</v>
      </c>
      <c r="M1002" s="130">
        <v>0.16666666666666663</v>
      </c>
      <c r="N1002" s="130">
        <v>9.9999999999999992E-2</v>
      </c>
      <c r="O10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0.56666666666666654</v>
      </c>
    </row>
    <row r="1003" spans="1:15" x14ac:dyDescent="0.25">
      <c r="A1003" s="15">
        <v>33060114878</v>
      </c>
      <c r="B1003" s="16" t="str">
        <f>VLOOKUP(Projeção[[#This Row],[Código]],BD_Produto[#All],6,FALSE)</f>
        <v>RAPID, GRAMPEADOR ELETRICO 106E (66/6-8) 120V - PN:</v>
      </c>
      <c r="C1003" s="130">
        <v>0</v>
      </c>
      <c r="D1003" s="130">
        <v>0</v>
      </c>
      <c r="E1003" s="130">
        <v>0</v>
      </c>
      <c r="F1003" s="130">
        <v>0</v>
      </c>
      <c r="G1003" s="130">
        <v>0</v>
      </c>
      <c r="H1003" s="130">
        <v>0</v>
      </c>
      <c r="I1003" s="130">
        <v>0</v>
      </c>
      <c r="J1003" s="130">
        <v>0</v>
      </c>
      <c r="K1003" s="130">
        <v>0</v>
      </c>
      <c r="L1003" s="130">
        <v>0</v>
      </c>
      <c r="M1003" s="130">
        <v>0</v>
      </c>
      <c r="N1003" s="130">
        <v>0</v>
      </c>
      <c r="O10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4" spans="1:15" x14ac:dyDescent="0.25">
      <c r="A1004" s="15">
        <v>33060163876</v>
      </c>
      <c r="B1004" s="16" t="str">
        <f>VLOOKUP(Projeção[[#This Row],[Código]],BD_Produto[#All],6,FALSE)</f>
        <v xml:space="preserve">Rapid, Grampeador Eletrico 106E, 220v - PN: </v>
      </c>
      <c r="C1004" s="130">
        <v>0</v>
      </c>
      <c r="D1004" s="130">
        <v>0</v>
      </c>
      <c r="E1004" s="130">
        <v>0</v>
      </c>
      <c r="F1004" s="130">
        <v>0</v>
      </c>
      <c r="G1004" s="130">
        <v>0</v>
      </c>
      <c r="H1004" s="130">
        <v>0</v>
      </c>
      <c r="I1004" s="130">
        <v>0</v>
      </c>
      <c r="J1004" s="130">
        <v>0</v>
      </c>
      <c r="K1004" s="130">
        <v>0</v>
      </c>
      <c r="L1004" s="130">
        <v>0</v>
      </c>
      <c r="M1004" s="130">
        <v>0</v>
      </c>
      <c r="N1004" s="130">
        <v>0</v>
      </c>
      <c r="O10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5" spans="1:15" x14ac:dyDescent="0.25">
      <c r="A1005" s="15">
        <v>33060114947</v>
      </c>
      <c r="B1005" s="16" t="str">
        <f>VLOOKUP(Projeção[[#This Row],[Código]],BD_Produto[#All],6,FALSE)</f>
        <v>RAPID, GRAMPEADOR ELETRICO 12 CE - PN:</v>
      </c>
      <c r="C1005" s="130">
        <v>0</v>
      </c>
      <c r="D1005" s="130">
        <v>0</v>
      </c>
      <c r="E1005" s="130">
        <v>0</v>
      </c>
      <c r="F1005" s="130">
        <v>0</v>
      </c>
      <c r="G1005" s="130">
        <v>0</v>
      </c>
      <c r="H1005" s="130">
        <v>0</v>
      </c>
      <c r="I1005" s="130">
        <v>0</v>
      </c>
      <c r="J1005" s="130">
        <v>0</v>
      </c>
      <c r="K1005" s="130">
        <v>0</v>
      </c>
      <c r="L1005" s="130">
        <v>0</v>
      </c>
      <c r="M1005" s="130">
        <v>0</v>
      </c>
      <c r="N1005" s="130">
        <v>0</v>
      </c>
      <c r="O10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6" spans="1:15" ht="15" customHeight="1" x14ac:dyDescent="0.25">
      <c r="A1006" s="15">
        <v>33060154033</v>
      </c>
      <c r="B1006" s="16" t="str">
        <f>VLOOKUP(Projeção[[#This Row],[Código]],BD_Produto[#All],6,FALSE)</f>
        <v>RAPID, GRAMPEADOR ELETRICO 20E (26/6) SOMENTE A PILHA - PN:23301700</v>
      </c>
      <c r="C1006" s="130">
        <v>0.53333333333333333</v>
      </c>
      <c r="D1006" s="130">
        <v>0.43333333333333329</v>
      </c>
      <c r="E1006" s="130">
        <v>0.13333333333333333</v>
      </c>
      <c r="F1006" s="130">
        <v>0.13333333333333333</v>
      </c>
      <c r="G1006" s="130">
        <v>0.13333333333333333</v>
      </c>
      <c r="H1006" s="130">
        <v>6.6666666666666666E-2</v>
      </c>
      <c r="I1006" s="130">
        <v>0</v>
      </c>
      <c r="J1006" s="130">
        <v>6.6666666666666666E-2</v>
      </c>
      <c r="K1006" s="130">
        <v>0</v>
      </c>
      <c r="L1006" s="130">
        <v>0</v>
      </c>
      <c r="M1006" s="130">
        <v>0</v>
      </c>
      <c r="N1006" s="130">
        <v>0</v>
      </c>
      <c r="O10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7" spans="1:15" x14ac:dyDescent="0.25">
      <c r="A1007" s="15">
        <v>33060163879</v>
      </c>
      <c r="B1007" s="16" t="str">
        <f>VLOOKUP(Projeção[[#This Row],[Código]],BD_Produto[#All],6,FALSE)</f>
        <v>RAPID, GRAMPEADOR ELETRICO 20EX (26/6) COM FONTE BIVOLT - PN:23301801</v>
      </c>
      <c r="C1007" s="130">
        <v>9.1333333333333329</v>
      </c>
      <c r="D1007" s="130">
        <v>5.2666666666666657</v>
      </c>
      <c r="E1007" s="130">
        <v>2.6666666666666665</v>
      </c>
      <c r="F1007" s="130">
        <v>4.833333333333333</v>
      </c>
      <c r="G1007" s="130">
        <v>2.7333333333333338</v>
      </c>
      <c r="H1007" s="130">
        <v>2.8666666666666667</v>
      </c>
      <c r="I1007" s="130">
        <v>2.8666666666666667</v>
      </c>
      <c r="J1007" s="130">
        <v>3.1666666666666665</v>
      </c>
      <c r="K1007" s="130">
        <v>2.8666666666666667</v>
      </c>
      <c r="L1007" s="130">
        <v>3.4999999999999996</v>
      </c>
      <c r="M1007" s="130">
        <v>3</v>
      </c>
      <c r="N1007" s="130">
        <v>3.9</v>
      </c>
      <c r="O10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2.6999999999999997</v>
      </c>
    </row>
    <row r="1008" spans="1:15" ht="15" customHeight="1" x14ac:dyDescent="0.25">
      <c r="A1008" s="15">
        <v>33060154031</v>
      </c>
      <c r="B1008" s="16" t="str">
        <f>VLOOKUP(Projeção[[#This Row],[Código]],BD_Produto[#All],6,FALSE)</f>
        <v>RAPID, GRAMPEADOR ELETRICO 20EX (26/6) COM FONTE BIVOLT - PN:23301804</v>
      </c>
      <c r="C1008" s="130">
        <v>6.6666666666666666E-2</v>
      </c>
      <c r="D1008" s="130">
        <v>6.6666666666666666E-2</v>
      </c>
      <c r="E1008" s="130">
        <v>6.6666666666666666E-2</v>
      </c>
      <c r="F1008" s="130">
        <v>6.6666666666666666E-2</v>
      </c>
      <c r="G1008" s="130">
        <v>6.6666666666666666E-2</v>
      </c>
      <c r="H1008" s="130">
        <v>6.6666666666666666E-2</v>
      </c>
      <c r="I1008" s="130">
        <v>6.6666666666666666E-2</v>
      </c>
      <c r="J1008" s="130">
        <v>6.6666666666666666E-2</v>
      </c>
      <c r="K1008" s="130">
        <v>0</v>
      </c>
      <c r="L1008" s="130">
        <v>0</v>
      </c>
      <c r="M1008" s="130">
        <v>0</v>
      </c>
      <c r="N1008" s="130">
        <v>0</v>
      </c>
      <c r="O10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09" spans="1:15" x14ac:dyDescent="0.25">
      <c r="A1009" s="15">
        <v>33060163227</v>
      </c>
      <c r="B1009" s="16" t="str">
        <f>VLOOKUP(Projeção[[#This Row],[Código]],BD_Produto[#All],6,FALSE)</f>
        <v>RAPID, GRAMPEADOR ELETRICO 5025E AZUL (BIVOLT) - PN:25095212</v>
      </c>
      <c r="C1009" s="130">
        <v>0.16666666666666666</v>
      </c>
      <c r="D1009" s="130">
        <v>0.16666666666666666</v>
      </c>
      <c r="E1009" s="130">
        <v>0.16666666666666666</v>
      </c>
      <c r="F1009" s="130">
        <v>0.16666666666666666</v>
      </c>
      <c r="G1009" s="130">
        <v>0.16666666666666666</v>
      </c>
      <c r="H1009" s="130">
        <v>9.9999999999999992E-2</v>
      </c>
      <c r="I1009" s="130">
        <v>9.9999999999999992E-2</v>
      </c>
      <c r="J1009" s="130">
        <v>9.9999999999999992E-2</v>
      </c>
      <c r="K1009" s="130">
        <v>9.9999999999999992E-2</v>
      </c>
      <c r="L1009" s="130">
        <v>0</v>
      </c>
      <c r="M1009" s="130">
        <v>0</v>
      </c>
      <c r="N1009" s="130">
        <v>0</v>
      </c>
      <c r="O10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1.3666666666666669</v>
      </c>
    </row>
    <row r="1010" spans="1:15" x14ac:dyDescent="0.25">
      <c r="A1010" s="15">
        <v>33060163226</v>
      </c>
      <c r="B1010" s="16" t="str">
        <f>VLOOKUP(Projeção[[#This Row],[Código]],BD_Produto[#All],6,FALSE)</f>
        <v>RAPID, GRAMPEADOR ELETRICO 5025E BRANCO (BIVOLT) - PN:25095210</v>
      </c>
      <c r="C1010" s="130">
        <v>0</v>
      </c>
      <c r="D1010" s="130">
        <v>0</v>
      </c>
      <c r="E1010" s="130">
        <v>0</v>
      </c>
      <c r="F1010" s="130">
        <v>0</v>
      </c>
      <c r="G1010" s="130">
        <v>0</v>
      </c>
      <c r="H1010" s="130">
        <v>0</v>
      </c>
      <c r="I1010" s="130">
        <v>0</v>
      </c>
      <c r="J1010" s="130">
        <v>0</v>
      </c>
      <c r="K1010" s="130">
        <v>0</v>
      </c>
      <c r="L1010" s="130">
        <v>0</v>
      </c>
      <c r="M1010" s="130">
        <v>0</v>
      </c>
      <c r="N1010" s="130">
        <v>0</v>
      </c>
      <c r="O10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1.4000000000000001</v>
      </c>
    </row>
    <row r="1011" spans="1:15" x14ac:dyDescent="0.25">
      <c r="A1011" s="15">
        <v>33060114880</v>
      </c>
      <c r="B1011" s="16" t="str">
        <f>VLOOKUP(Projeção[[#This Row],[Código]],BD_Produto[#All],6,FALSE)</f>
        <v>RAPID, GRAMPEADOR ELETRICO 5050E (120V) - PN:</v>
      </c>
      <c r="C1011" s="130">
        <v>0</v>
      </c>
      <c r="D1011" s="130">
        <v>0</v>
      </c>
      <c r="E1011" s="130">
        <v>0</v>
      </c>
      <c r="F1011" s="130">
        <v>0</v>
      </c>
      <c r="G1011" s="130">
        <v>0</v>
      </c>
      <c r="H1011" s="130">
        <v>0</v>
      </c>
      <c r="I1011" s="130">
        <v>0</v>
      </c>
      <c r="J1011" s="130">
        <v>0</v>
      </c>
      <c r="K1011" s="130">
        <v>0</v>
      </c>
      <c r="L1011" s="130">
        <v>0</v>
      </c>
      <c r="M1011" s="130">
        <v>0</v>
      </c>
      <c r="N1011" s="130">
        <v>0</v>
      </c>
      <c r="O10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12" spans="1:15" ht="15" customHeight="1" x14ac:dyDescent="0.25">
      <c r="A1012" s="15">
        <v>33060163880</v>
      </c>
      <c r="B1012" s="16" t="str">
        <f>VLOOKUP(Projeção[[#This Row],[Código]],BD_Produto[#All],6,FALSE)</f>
        <v>RAPID, GRAMPEADOR ELETRICO 5050E (BIVOLT) - PN:20993210</v>
      </c>
      <c r="C1012" s="130">
        <v>0.19999999999999998</v>
      </c>
      <c r="D1012" s="130">
        <v>6.6666666666666666E-2</v>
      </c>
      <c r="E1012" s="130">
        <v>6.6666666666666666E-2</v>
      </c>
      <c r="F1012" s="130">
        <v>6.6666666666666666E-2</v>
      </c>
      <c r="G1012" s="130">
        <v>6.6666666666666666E-2</v>
      </c>
      <c r="H1012" s="130">
        <v>6.6666666666666666E-2</v>
      </c>
      <c r="I1012" s="130">
        <v>6.6666666666666666E-2</v>
      </c>
      <c r="J1012" s="130">
        <v>6.6666666666666666E-2</v>
      </c>
      <c r="K1012" s="130">
        <v>6.6666666666666666E-2</v>
      </c>
      <c r="L1012" s="130">
        <v>0</v>
      </c>
      <c r="M1012" s="130">
        <v>0</v>
      </c>
      <c r="N1012" s="130">
        <v>0</v>
      </c>
      <c r="O10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13" spans="1:15" x14ac:dyDescent="0.25">
      <c r="A1013" s="15">
        <v>33060114821</v>
      </c>
      <c r="B1013" s="16" t="str">
        <f>VLOOKUP(Projeção[[#This Row],[Código]],BD_Produto[#All],6,FALSE)</f>
        <v>RAPID, GRAMPEADOR ELETRICO 5080E (BIVOLT) - PN:20993410</v>
      </c>
      <c r="C1013" s="130">
        <v>0.76666666666666661</v>
      </c>
      <c r="D1013" s="130">
        <v>0.93333333333333313</v>
      </c>
      <c r="E1013" s="130">
        <v>1.0333333333333334</v>
      </c>
      <c r="F1013" s="130">
        <v>0.5</v>
      </c>
      <c r="G1013" s="130">
        <v>0.26666666666666666</v>
      </c>
      <c r="H1013" s="130">
        <v>0.13333333333333333</v>
      </c>
      <c r="I1013" s="130">
        <v>0.13333333333333333</v>
      </c>
      <c r="J1013" s="130">
        <v>0.43333333333333329</v>
      </c>
      <c r="K1013" s="130">
        <v>0.13333333333333333</v>
      </c>
      <c r="L1013" s="130">
        <v>0.93333333333333335</v>
      </c>
      <c r="M1013" s="130">
        <v>1</v>
      </c>
      <c r="N1013" s="130">
        <v>0.6</v>
      </c>
      <c r="O10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0.19999999999999998</v>
      </c>
    </row>
    <row r="1014" spans="1:15" x14ac:dyDescent="0.25">
      <c r="A1014" s="15">
        <v>33060163878</v>
      </c>
      <c r="B1014" s="16" t="str">
        <f>VLOOKUP(Projeção[[#This Row],[Código]],BD_Produto[#All],6,FALSE)</f>
        <v xml:space="preserve">Rapid, Grampeador Eletrico 5080E, 220v - PN: </v>
      </c>
      <c r="C1014" s="130">
        <v>0</v>
      </c>
      <c r="D1014" s="130">
        <v>0</v>
      </c>
      <c r="E1014" s="130">
        <v>0</v>
      </c>
      <c r="F1014" s="130">
        <v>0</v>
      </c>
      <c r="G1014" s="130">
        <v>0</v>
      </c>
      <c r="H1014" s="130">
        <v>0</v>
      </c>
      <c r="I1014" s="130">
        <v>0</v>
      </c>
      <c r="J1014" s="130">
        <v>0</v>
      </c>
      <c r="K1014" s="130">
        <v>0</v>
      </c>
      <c r="L1014" s="130">
        <v>0</v>
      </c>
      <c r="M1014" s="130">
        <v>0</v>
      </c>
      <c r="N1014" s="130">
        <v>0</v>
      </c>
      <c r="O10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15" spans="1:15" x14ac:dyDescent="0.25">
      <c r="A1015" s="15">
        <v>33060114488</v>
      </c>
      <c r="B1015" s="16" t="str">
        <f>VLOOKUP(Projeção[[#This Row],[Código]],BD_Produto[#All],6,FALSE)</f>
        <v>RAPID, GRAMPEADOR ELETRICO 90E (120V) - PN:5000252</v>
      </c>
      <c r="C1015" s="130">
        <v>2.5999999999999996</v>
      </c>
      <c r="D1015" s="130">
        <v>2.9333333333333331</v>
      </c>
      <c r="E1015" s="130">
        <v>3.8666666666666663</v>
      </c>
      <c r="F1015" s="130">
        <v>2.5666666666666664</v>
      </c>
      <c r="G1015" s="130">
        <v>1.9</v>
      </c>
      <c r="H1015" s="130">
        <v>0.83333333333333337</v>
      </c>
      <c r="I1015" s="130">
        <v>0.83333333333333337</v>
      </c>
      <c r="J1015" s="130">
        <v>0.86666666666666659</v>
      </c>
      <c r="K1015" s="130">
        <v>0.83333333333333337</v>
      </c>
      <c r="L1015" s="130">
        <v>1.1333333333333331</v>
      </c>
      <c r="M1015" s="130">
        <v>1.9333333333333336</v>
      </c>
      <c r="N1015" s="130">
        <v>6.2</v>
      </c>
      <c r="O10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4.1333333333333337</v>
      </c>
    </row>
    <row r="1016" spans="1:15" ht="15" customHeight="1" x14ac:dyDescent="0.25">
      <c r="A1016" s="15">
        <v>33060160287</v>
      </c>
      <c r="B1016" s="16" t="str">
        <f>VLOOKUP(Projeção[[#This Row],[Código]],BD_Produto[#All],6,FALSE)</f>
        <v>RAPID, GRAMPEADOR ELETRICO 90E (230V) - PN:</v>
      </c>
      <c r="C1016" s="130">
        <v>0.70000000000000007</v>
      </c>
      <c r="D1016" s="130">
        <v>0.96666666666666656</v>
      </c>
      <c r="E1016" s="130">
        <v>1.0666666666666667</v>
      </c>
      <c r="F1016" s="130">
        <v>0.6</v>
      </c>
      <c r="G1016" s="130">
        <v>1.5333333333333334</v>
      </c>
      <c r="H1016" s="130">
        <v>0.76666666666666661</v>
      </c>
      <c r="I1016" s="130">
        <v>0.76666666666666661</v>
      </c>
      <c r="J1016" s="130">
        <v>0.89999999999999991</v>
      </c>
      <c r="K1016" s="130">
        <v>0.76666666666666661</v>
      </c>
      <c r="L1016" s="130">
        <v>0.46666666666666667</v>
      </c>
      <c r="M1016" s="130">
        <v>0.76666666666666672</v>
      </c>
      <c r="N1016" s="130">
        <v>0.79999999999999993</v>
      </c>
      <c r="O10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0.66666666666666652</v>
      </c>
    </row>
    <row r="1017" spans="1:15" x14ac:dyDescent="0.25">
      <c r="A1017" s="15">
        <v>33060160520</v>
      </c>
      <c r="B1017" s="16" t="str">
        <f>VLOOKUP(Projeção[[#This Row],[Código]],BD_Produto[#All],6,FALSE)</f>
        <v>RAPID, GRAMPEADOR HD 110 PRETO - PN:</v>
      </c>
      <c r="C1017" s="130">
        <v>79.2</v>
      </c>
      <c r="D1017" s="130">
        <v>56.833333333333336</v>
      </c>
      <c r="E1017" s="130">
        <v>46.733333333333341</v>
      </c>
      <c r="F1017" s="130">
        <v>40.43333333333333</v>
      </c>
      <c r="G1017" s="130">
        <v>39.799999999999997</v>
      </c>
      <c r="H1017" s="130">
        <v>14.33333333333333</v>
      </c>
      <c r="I1017" s="130">
        <v>14.33333333333333</v>
      </c>
      <c r="J1017" s="130">
        <v>13.433333333333334</v>
      </c>
      <c r="K1017" s="130">
        <v>14.33333333333333</v>
      </c>
      <c r="L1017" s="130">
        <v>13.166666666666666</v>
      </c>
      <c r="M1017" s="130">
        <v>14.366666666666665</v>
      </c>
      <c r="N1017" s="130">
        <v>18.399999999999999</v>
      </c>
      <c r="O10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16.833333333333332</v>
      </c>
    </row>
    <row r="1018" spans="1:15" x14ac:dyDescent="0.25">
      <c r="A1018" s="15">
        <v>33060114130</v>
      </c>
      <c r="B1018" s="16" t="str">
        <f>VLOOKUP(Projeção[[#This Row],[Código]],BD_Produto[#All],6,FALSE)</f>
        <v>RAPID, GRAMPEADOR HD 49 - PN:</v>
      </c>
      <c r="C1018" s="130">
        <v>0</v>
      </c>
      <c r="D1018" s="130">
        <v>0</v>
      </c>
      <c r="E1018" s="130">
        <v>0</v>
      </c>
      <c r="F1018" s="130">
        <v>0</v>
      </c>
      <c r="G1018" s="130">
        <v>0</v>
      </c>
      <c r="H1018" s="130">
        <v>0</v>
      </c>
      <c r="I1018" s="130">
        <v>0</v>
      </c>
      <c r="J1018" s="130">
        <v>0</v>
      </c>
      <c r="K1018" s="130">
        <v>0</v>
      </c>
      <c r="L1018" s="130">
        <v>0</v>
      </c>
      <c r="M1018" s="130">
        <v>0</v>
      </c>
      <c r="N1018" s="130">
        <v>0</v>
      </c>
      <c r="O10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19" spans="1:15" x14ac:dyDescent="0.25">
      <c r="A1019" s="15">
        <v>33060114946</v>
      </c>
      <c r="B1019" s="16" t="str">
        <f>VLOOKUP(Projeção[[#This Row],[Código]],BD_Produto[#All],6,FALSE)</f>
        <v>RAPID, GRAMPEADOR HD 70 PRETO - PN:21281406</v>
      </c>
      <c r="C1019" s="130">
        <v>7.8333333333333339</v>
      </c>
      <c r="D1019" s="130">
        <v>11.166666666666668</v>
      </c>
      <c r="E1019" s="130">
        <v>7.8</v>
      </c>
      <c r="F1019" s="130">
        <v>9.5000000000000018</v>
      </c>
      <c r="G1019" s="130">
        <v>9.3333333333333321</v>
      </c>
      <c r="H1019" s="130">
        <v>6.3999999999999995</v>
      </c>
      <c r="I1019" s="130">
        <v>6.3999999999999995</v>
      </c>
      <c r="J1019" s="130">
        <v>5.1999999999999993</v>
      </c>
      <c r="K1019" s="130">
        <v>6.3999999999999995</v>
      </c>
      <c r="L1019" s="130">
        <v>3.4333333333333331</v>
      </c>
      <c r="M1019" s="130">
        <v>4.6333333333333329</v>
      </c>
      <c r="N1019" s="130">
        <v>5.4333333333333327</v>
      </c>
      <c r="O10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6.4666666666666659</v>
      </c>
    </row>
    <row r="1020" spans="1:15" x14ac:dyDescent="0.25">
      <c r="A1020" s="15">
        <v>33060114592</v>
      </c>
      <c r="B1020" s="16" t="str">
        <f>VLOOKUP(Projeção[[#This Row],[Código]],BD_Produto[#All],6,FALSE)</f>
        <v>RAPID, GRAMPEADOR HD 9 GELO - PN:10264021</v>
      </c>
      <c r="C1020" s="130">
        <v>0.76666666666666672</v>
      </c>
      <c r="D1020" s="130">
        <v>3.0333333333333332</v>
      </c>
      <c r="E1020" s="130">
        <v>1.4333333333333333</v>
      </c>
      <c r="F1020" s="130">
        <v>1.2666666666666666</v>
      </c>
      <c r="G1020" s="130">
        <v>0.73333333333333328</v>
      </c>
      <c r="H1020" s="130">
        <v>0.56666666666666665</v>
      </c>
      <c r="I1020" s="130">
        <v>0.56666666666666665</v>
      </c>
      <c r="J1020" s="130">
        <v>0.73333333333333328</v>
      </c>
      <c r="K1020" s="130">
        <v>0.56666666666666665</v>
      </c>
      <c r="L1020" s="130">
        <v>1.4666666666666666</v>
      </c>
      <c r="M1020" s="130">
        <v>1.8666666666666667</v>
      </c>
      <c r="N1020" s="130">
        <v>0.93333333333333313</v>
      </c>
      <c r="O10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4.6666666666666661</v>
      </c>
    </row>
    <row r="1021" spans="1:15" x14ac:dyDescent="0.25">
      <c r="A1021" s="15">
        <v>33060114591</v>
      </c>
      <c r="B1021" s="16" t="str">
        <f>VLOOKUP(Projeção[[#This Row],[Código]],BD_Produto[#All],6,FALSE)</f>
        <v>RAPID, GRAMPEADOR HD 9 PRETO - PN:10264031</v>
      </c>
      <c r="C1021" s="130">
        <v>84.133333333333312</v>
      </c>
      <c r="D1021" s="130">
        <v>60.9</v>
      </c>
      <c r="E1021" s="130">
        <v>46</v>
      </c>
      <c r="F1021" s="130">
        <v>58.466666666666669</v>
      </c>
      <c r="G1021" s="130">
        <v>58.5</v>
      </c>
      <c r="H1021" s="130">
        <v>40.699999999999996</v>
      </c>
      <c r="I1021" s="130">
        <v>40.5</v>
      </c>
      <c r="J1021" s="130">
        <v>41.233333333333334</v>
      </c>
      <c r="K1021" s="130">
        <v>40.699999999999996</v>
      </c>
      <c r="L1021" s="130">
        <v>44.933333333333337</v>
      </c>
      <c r="M1021" s="130">
        <v>58.566666666666656</v>
      </c>
      <c r="N1021" s="130">
        <v>49.266666666666659</v>
      </c>
      <c r="O10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71.466666666666669</v>
      </c>
    </row>
    <row r="1022" spans="1:15" x14ac:dyDescent="0.25">
      <c r="A1022" s="15">
        <v>33060114914</v>
      </c>
      <c r="B1022" s="16" t="str">
        <f>VLOOKUP(Projeção[[#This Row],[Código]],BD_Produto[#All],6,FALSE)</f>
        <v>RAPID, GRAMPEADOR HD DUAX - PN:</v>
      </c>
      <c r="C1022" s="130">
        <v>0.96666666666666656</v>
      </c>
      <c r="D1022" s="130">
        <v>2.1333333333333333</v>
      </c>
      <c r="E1022" s="130">
        <v>0.93333333333333313</v>
      </c>
      <c r="F1022" s="130">
        <v>1.333333333333333</v>
      </c>
      <c r="G1022" s="130">
        <v>0.53333333333333333</v>
      </c>
      <c r="H1022" s="130">
        <v>0.46666666666666667</v>
      </c>
      <c r="I1022" s="130">
        <v>0.3666666666666667</v>
      </c>
      <c r="J1022" s="130">
        <v>0.33333333333333331</v>
      </c>
      <c r="K1022" s="130">
        <v>0.46666666666666667</v>
      </c>
      <c r="L1022" s="130">
        <v>0.19999999999999998</v>
      </c>
      <c r="M1022" s="130">
        <v>0.19999999999999998</v>
      </c>
      <c r="N1022" s="130">
        <v>0.16666666666666666</v>
      </c>
      <c r="O10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1023" spans="1:15" x14ac:dyDescent="0.25">
      <c r="A1023" s="15">
        <v>33070144118</v>
      </c>
      <c r="B1023" s="16" t="str">
        <f>VLOOKUP(Projeção[[#This Row],[Código]],BD_Produto[#All],6,FALSE)</f>
        <v>RAPID, GRAMPEADOR MARTELO R11 - PN:</v>
      </c>
      <c r="C1023" s="130">
        <v>0</v>
      </c>
      <c r="D1023" s="130">
        <v>0</v>
      </c>
      <c r="E1023" s="130">
        <v>0</v>
      </c>
      <c r="F1023" s="130">
        <v>0</v>
      </c>
      <c r="G1023" s="130">
        <v>0</v>
      </c>
      <c r="H1023" s="130">
        <v>0</v>
      </c>
      <c r="I1023" s="130">
        <v>0</v>
      </c>
      <c r="J1023" s="130">
        <v>0</v>
      </c>
      <c r="K1023" s="130">
        <v>0</v>
      </c>
      <c r="L1023" s="130">
        <v>0</v>
      </c>
      <c r="M1023" s="130">
        <v>0</v>
      </c>
      <c r="N1023" s="130">
        <v>0</v>
      </c>
      <c r="O10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24" spans="1:15" x14ac:dyDescent="0.25">
      <c r="A1024" s="15">
        <v>33070154053</v>
      </c>
      <c r="B1024" s="16" t="str">
        <f>VLOOKUP(Projeção[[#This Row],[Código]],BD_Produto[#All],6,FALSE)</f>
        <v>RAPID, GRAMPEADOR MARTELO R19 - PN:20726001</v>
      </c>
      <c r="C1024" s="130">
        <v>1.6666666666666667</v>
      </c>
      <c r="D1024" s="130">
        <v>1.6666666666666667</v>
      </c>
      <c r="E1024" s="130">
        <v>1.6666666666666667</v>
      </c>
      <c r="F1024" s="130">
        <v>1.6666666666666667</v>
      </c>
      <c r="G1024" s="130">
        <v>13</v>
      </c>
      <c r="H1024" s="130">
        <v>3.3333333333333335</v>
      </c>
      <c r="I1024" s="130">
        <v>3.3333333333333335</v>
      </c>
      <c r="J1024" s="130">
        <v>3.3333333333333335</v>
      </c>
      <c r="K1024" s="130">
        <v>3.3333333333333335</v>
      </c>
      <c r="L1024" s="130">
        <v>4</v>
      </c>
      <c r="M1024" s="130">
        <v>6.666666666666667</v>
      </c>
      <c r="N1024" s="130">
        <v>2.6666666666666665</v>
      </c>
      <c r="O10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5.6333333333333337</v>
      </c>
    </row>
    <row r="1025" spans="1:15" x14ac:dyDescent="0.25">
      <c r="A1025" s="15">
        <v>33060161827</v>
      </c>
      <c r="B1025" s="16" t="str">
        <f>VLOOKUP(Projeção[[#This Row],[Código]],BD_Produto[#All],6,FALSE)</f>
        <v>RAPID, GRAMPEADOR PISTOLA ECO TACKER - PN:24821700</v>
      </c>
      <c r="C1025" s="130">
        <v>16.866666666666667</v>
      </c>
      <c r="D1025" s="130">
        <v>32.36666666666666</v>
      </c>
      <c r="E1025" s="130">
        <v>15.799999999999999</v>
      </c>
      <c r="F1025" s="130">
        <v>15.966666666666669</v>
      </c>
      <c r="G1025" s="130">
        <v>11.866666666666667</v>
      </c>
      <c r="H1025" s="130">
        <v>11.366666666666667</v>
      </c>
      <c r="I1025" s="130">
        <v>11.366666666666667</v>
      </c>
      <c r="J1025" s="130">
        <v>14.899999999999999</v>
      </c>
      <c r="K1025" s="130">
        <v>11.366666666666667</v>
      </c>
      <c r="L1025" s="130">
        <v>8.5666666666666664</v>
      </c>
      <c r="M1025" s="130">
        <v>8.8333333333333321</v>
      </c>
      <c r="N1025" s="130">
        <v>7.9666666666666659</v>
      </c>
      <c r="O10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9.5</v>
      </c>
    </row>
    <row r="1026" spans="1:15" x14ac:dyDescent="0.25">
      <c r="A1026" s="15">
        <v>33070160714</v>
      </c>
      <c r="B1026" s="16" t="str">
        <f>VLOOKUP(Projeção[[#This Row],[Código]],BD_Produto[#All],6,FALSE)</f>
        <v>RAPID, GRAMPEADOR PISTOLA M10Y - FUN TO FIX - PN:</v>
      </c>
      <c r="C1026" s="130">
        <v>9.6666666666666661</v>
      </c>
      <c r="D1026" s="130">
        <v>5.5666666666666655</v>
      </c>
      <c r="E1026" s="130">
        <v>5.1666666666666661</v>
      </c>
      <c r="F1026" s="130">
        <v>2.7666666666666671</v>
      </c>
      <c r="G1026" s="130">
        <v>2.7666666666666671</v>
      </c>
      <c r="H1026" s="130">
        <v>2.4333333333333331</v>
      </c>
      <c r="I1026" s="130">
        <v>2.4333333333333331</v>
      </c>
      <c r="J1026" s="130">
        <v>0.83333333333333337</v>
      </c>
      <c r="K1026" s="130">
        <v>2.4333333333333331</v>
      </c>
      <c r="L1026" s="130">
        <v>4.2666666666666666</v>
      </c>
      <c r="M1026" s="130">
        <v>5.666666666666667</v>
      </c>
      <c r="N1026" s="130">
        <v>5.2333333333333334</v>
      </c>
      <c r="O10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3.1666666666666665</v>
      </c>
    </row>
    <row r="1027" spans="1:15" x14ac:dyDescent="0.25">
      <c r="A1027" s="15">
        <v>33070114788</v>
      </c>
      <c r="B1027" s="16" t="str">
        <f>VLOOKUP(Projeção[[#This Row],[Código]],BD_Produto[#All],6,FALSE)</f>
        <v>RAPID, GRAMPEADOR PISTOLA R156 - PN:</v>
      </c>
      <c r="C1027" s="130">
        <v>279.5333333333333</v>
      </c>
      <c r="D1027" s="130">
        <v>194.5</v>
      </c>
      <c r="E1027" s="130">
        <v>98.9</v>
      </c>
      <c r="F1027" s="130">
        <v>81.133333333333312</v>
      </c>
      <c r="G1027" s="130">
        <v>72.833333333333314</v>
      </c>
      <c r="H1027" s="130">
        <v>61.766666666666666</v>
      </c>
      <c r="I1027" s="130">
        <v>61.36666666666666</v>
      </c>
      <c r="J1027" s="130">
        <v>77.333333333333329</v>
      </c>
      <c r="K1027" s="130">
        <v>61.766666666666666</v>
      </c>
      <c r="L1027" s="130">
        <v>74.599999999999994</v>
      </c>
      <c r="M1027" s="130">
        <v>81.399999999999991</v>
      </c>
      <c r="N1027" s="130">
        <v>70.099999999999994</v>
      </c>
      <c r="O10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35</v>
      </c>
    </row>
    <row r="1028" spans="1:15" x14ac:dyDescent="0.25">
      <c r="A1028" s="15">
        <v>33070114126</v>
      </c>
      <c r="B1028" s="16" t="str">
        <f>VLOOKUP(Projeção[[#This Row],[Código]],BD_Produto[#All],6,FALSE)</f>
        <v>RAPID, GRAMPEADOR PISTOLA R23 - PN:20510450</v>
      </c>
      <c r="C1028" s="130">
        <v>733.33333333333326</v>
      </c>
      <c r="D1028" s="130">
        <v>271.36666666666667</v>
      </c>
      <c r="E1028" s="130">
        <v>226.23333333333335</v>
      </c>
      <c r="F1028" s="130">
        <v>128.36666666666665</v>
      </c>
      <c r="G1028" s="130">
        <v>118.89999999999999</v>
      </c>
      <c r="H1028" s="130">
        <v>109.16666666666667</v>
      </c>
      <c r="I1028" s="130">
        <v>106.73333333333333</v>
      </c>
      <c r="J1028" s="130">
        <v>100.33333333333333</v>
      </c>
      <c r="K1028" s="130">
        <v>109.16666666666667</v>
      </c>
      <c r="L1028" s="130">
        <v>119.83333333333334</v>
      </c>
      <c r="M1028" s="130">
        <v>171.93333333333337</v>
      </c>
      <c r="N1028" s="130">
        <v>165.66666666666669</v>
      </c>
      <c r="O10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184.26666666666665</v>
      </c>
    </row>
    <row r="1029" spans="1:15" x14ac:dyDescent="0.25">
      <c r="A1029" s="15">
        <v>33070114631</v>
      </c>
      <c r="B1029" s="16" t="str">
        <f>VLOOKUP(Projeção[[#This Row],[Código]],BD_Produto[#All],6,FALSE)</f>
        <v>RAPID, GRAMPEADOR PISTOLA R28 - PN:</v>
      </c>
      <c r="C1029" s="130">
        <v>0</v>
      </c>
      <c r="D1029" s="130">
        <v>0</v>
      </c>
      <c r="E1029" s="130">
        <v>0</v>
      </c>
      <c r="F1029" s="130">
        <v>0</v>
      </c>
      <c r="G1029" s="130">
        <v>0</v>
      </c>
      <c r="H1029" s="130">
        <v>0</v>
      </c>
      <c r="I1029" s="130">
        <v>0</v>
      </c>
      <c r="J1029" s="130">
        <v>0</v>
      </c>
      <c r="K1029" s="130">
        <v>0</v>
      </c>
      <c r="L1029" s="130">
        <v>0</v>
      </c>
      <c r="M1029" s="130">
        <v>0</v>
      </c>
      <c r="N1029" s="130">
        <v>0</v>
      </c>
      <c r="O10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30" spans="1:15" x14ac:dyDescent="0.25">
      <c r="A1030" s="15">
        <v>33070144127</v>
      </c>
      <c r="B1030" s="16" t="str">
        <f>VLOOKUP(Projeção[[#This Row],[Código]],BD_Produto[#All],6,FALSE)</f>
        <v>RAPID, GRAMPEADOR PISTOLA R30 - PN:</v>
      </c>
      <c r="C1030" s="130">
        <v>0</v>
      </c>
      <c r="D1030" s="130">
        <v>0</v>
      </c>
      <c r="E1030" s="130">
        <v>0</v>
      </c>
      <c r="F1030" s="130">
        <v>0</v>
      </c>
      <c r="G1030" s="130">
        <v>0</v>
      </c>
      <c r="H1030" s="130">
        <v>0</v>
      </c>
      <c r="I1030" s="130">
        <v>0</v>
      </c>
      <c r="J1030" s="130">
        <v>0</v>
      </c>
      <c r="K1030" s="130">
        <v>0</v>
      </c>
      <c r="L1030" s="130">
        <v>0</v>
      </c>
      <c r="M1030" s="130">
        <v>0</v>
      </c>
      <c r="N1030" s="130">
        <v>0</v>
      </c>
      <c r="O10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31" spans="1:15" ht="15" customHeight="1" x14ac:dyDescent="0.25">
      <c r="A1031" s="15">
        <v>33070114933</v>
      </c>
      <c r="B1031" s="16" t="str">
        <f>VLOOKUP(Projeção[[#This Row],[Código]],BD_Produto[#All],6,FALSE)</f>
        <v>RAPID, GRAMPEADOR PISTOLA R33 - PN:20510650</v>
      </c>
      <c r="C1031" s="130">
        <v>3.3333333333333333E-2</v>
      </c>
      <c r="D1031" s="130">
        <v>3.3333333333333333E-2</v>
      </c>
      <c r="E1031" s="130">
        <v>2.8666666666666667</v>
      </c>
      <c r="F1031" s="130">
        <v>0.86666666666666681</v>
      </c>
      <c r="G1031" s="130">
        <v>0.86666666666666681</v>
      </c>
      <c r="H1031" s="130">
        <v>0.19999999999999998</v>
      </c>
      <c r="I1031" s="130">
        <v>0.19999999999999998</v>
      </c>
      <c r="J1031" s="130">
        <v>0.19999999999999998</v>
      </c>
      <c r="K1031" s="130">
        <v>0.19999999999999998</v>
      </c>
      <c r="L1031" s="130">
        <v>0.16666666666666666</v>
      </c>
      <c r="M1031" s="130">
        <v>0.16666666666666666</v>
      </c>
      <c r="N1031" s="130">
        <v>0.16666666666666666</v>
      </c>
      <c r="O10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32" spans="1:15" x14ac:dyDescent="0.25">
      <c r="A1032" s="15">
        <v>33070114128</v>
      </c>
      <c r="B1032" s="16" t="str">
        <f>VLOOKUP(Projeção[[#This Row],[Código]],BD_Produto[#All],6,FALSE)</f>
        <v>RAPID, GRAMPEADOR PISTOLA R34 - PN:20511550</v>
      </c>
      <c r="C1032" s="130">
        <v>2.8000000000000003</v>
      </c>
      <c r="D1032" s="130">
        <v>2.1</v>
      </c>
      <c r="E1032" s="130">
        <v>1.2333333333333334</v>
      </c>
      <c r="F1032" s="130">
        <v>4.0666666666666673</v>
      </c>
      <c r="G1032" s="130">
        <v>3.166666666666667</v>
      </c>
      <c r="H1032" s="130">
        <v>2.2999999999999998</v>
      </c>
      <c r="I1032" s="130">
        <v>2.2999999999999998</v>
      </c>
      <c r="J1032" s="130">
        <v>4.3</v>
      </c>
      <c r="K1032" s="130">
        <v>2.2999999999999998</v>
      </c>
      <c r="L1032" s="130">
        <v>3.8666666666666671</v>
      </c>
      <c r="M1032" s="130">
        <v>3.4333333333333327</v>
      </c>
      <c r="N1032" s="130">
        <v>3.2666666666666662</v>
      </c>
      <c r="O10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0.66666666666666652</v>
      </c>
    </row>
    <row r="1033" spans="1:15" x14ac:dyDescent="0.25">
      <c r="A1033" s="15">
        <v>33070114632</v>
      </c>
      <c r="B1033" s="16" t="str">
        <f>VLOOKUP(Projeção[[#This Row],[Código]],BD_Produto[#All],6,FALSE)</f>
        <v>RAPID, GRAMPEADOR PISTOLA R36 - PN:</v>
      </c>
      <c r="C1033" s="130">
        <v>0</v>
      </c>
      <c r="D1033" s="130">
        <v>0</v>
      </c>
      <c r="E1033" s="130">
        <v>0</v>
      </c>
      <c r="F1033" s="130">
        <v>0</v>
      </c>
      <c r="G1033" s="130">
        <v>0</v>
      </c>
      <c r="H1033" s="130">
        <v>0</v>
      </c>
      <c r="I1033" s="130">
        <v>0</v>
      </c>
      <c r="J1033" s="130">
        <v>0</v>
      </c>
      <c r="K1033" s="130">
        <v>0</v>
      </c>
      <c r="L1033" s="130">
        <v>0</v>
      </c>
      <c r="M1033" s="130">
        <v>0</v>
      </c>
      <c r="N1033" s="130">
        <v>0</v>
      </c>
      <c r="O10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34" spans="1:15" x14ac:dyDescent="0.25">
      <c r="A1034" s="15">
        <v>33070114769</v>
      </c>
      <c r="B1034" s="16" t="str">
        <f>VLOOKUP(Projeção[[#This Row],[Código]],BD_Produto[#All],6,FALSE)</f>
        <v>RAPID, GRAMPEADOR PISTOLA R83 - PN:20011502</v>
      </c>
      <c r="C1034" s="130">
        <v>41.833333333333329</v>
      </c>
      <c r="D1034" s="130">
        <v>20.2</v>
      </c>
      <c r="E1034" s="130">
        <v>18.5</v>
      </c>
      <c r="F1034" s="130">
        <v>10.566666666666666</v>
      </c>
      <c r="G1034" s="130">
        <v>7.133333333333332</v>
      </c>
      <c r="H1034" s="130">
        <v>6.7666666666666666</v>
      </c>
      <c r="I1034" s="130">
        <v>6.7666666666666666</v>
      </c>
      <c r="J1034" s="130">
        <v>6.666666666666667</v>
      </c>
      <c r="K1034" s="130">
        <v>6.7666666666666666</v>
      </c>
      <c r="L1034" s="130">
        <v>5.6000000000000005</v>
      </c>
      <c r="M1034" s="130">
        <v>10.066666666666665</v>
      </c>
      <c r="N1034" s="130">
        <v>9.3666666666666671</v>
      </c>
      <c r="O10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1.7999999999999998</v>
      </c>
    </row>
    <row r="1035" spans="1:15" x14ac:dyDescent="0.25">
      <c r="A1035" s="15">
        <v>33070114936</v>
      </c>
      <c r="B1035" s="16" t="str">
        <f>VLOOKUP(Projeção[[#This Row],[Código]],BD_Produto[#All],6,FALSE)</f>
        <v>RAPID, GRAMPEADOR ROCAFIX LIG 122 - PN:</v>
      </c>
      <c r="C1035" s="130">
        <v>0</v>
      </c>
      <c r="D1035" s="130">
        <v>0</v>
      </c>
      <c r="E1035" s="130">
        <v>0</v>
      </c>
      <c r="F1035" s="130">
        <v>0</v>
      </c>
      <c r="G1035" s="130">
        <v>0</v>
      </c>
      <c r="H1035" s="130">
        <v>0</v>
      </c>
      <c r="I1035" s="130">
        <v>0</v>
      </c>
      <c r="J1035" s="130">
        <v>0</v>
      </c>
      <c r="K1035" s="130">
        <v>0</v>
      </c>
      <c r="L1035" s="130">
        <v>0</v>
      </c>
      <c r="M1035" s="130">
        <v>0</v>
      </c>
      <c r="N1035" s="130">
        <v>0</v>
      </c>
      <c r="O10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36" spans="1:15" x14ac:dyDescent="0.25">
      <c r="A1036" s="15">
        <v>33060160516</v>
      </c>
      <c r="B1036" s="16" t="str">
        <f>VLOOKUP(Projeção[[#This Row],[Código]],BD_Produto[#All],6,FALSE)</f>
        <v>RAPID, GRAMPEAODR DE MESA E14 - PN:20597910</v>
      </c>
      <c r="C1036" s="130">
        <v>354.86666666666667</v>
      </c>
      <c r="D1036" s="130">
        <v>257.76666666666665</v>
      </c>
      <c r="E1036" s="130">
        <v>196.3</v>
      </c>
      <c r="F1036" s="130">
        <v>165.6</v>
      </c>
      <c r="G1036" s="130">
        <v>113.60000000000001</v>
      </c>
      <c r="H1036" s="130">
        <v>95.199999999999989</v>
      </c>
      <c r="I1036" s="130">
        <v>94.733333333333334</v>
      </c>
      <c r="J1036" s="130">
        <v>80.666666666666657</v>
      </c>
      <c r="K1036" s="130">
        <v>95.199999999999989</v>
      </c>
      <c r="L1036" s="130">
        <v>76.166666666666657</v>
      </c>
      <c r="M1036" s="130">
        <v>88.8</v>
      </c>
      <c r="N1036" s="130">
        <v>96.133333333333312</v>
      </c>
      <c r="O10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57.533333333333339</v>
      </c>
    </row>
    <row r="1037" spans="1:15" x14ac:dyDescent="0.25">
      <c r="A1037" s="15">
        <v>33060114824</v>
      </c>
      <c r="B1037" s="16" t="str">
        <f>VLOOKUP(Projeção[[#This Row],[Código]],BD_Produto[#All],6,FALSE)</f>
        <v>RAPID, GRAMPEAODR DE MESA E15 - PN:20598000</v>
      </c>
      <c r="C1037" s="130">
        <v>10.166666666666668</v>
      </c>
      <c r="D1037" s="130">
        <v>9.7666666666666639</v>
      </c>
      <c r="E1037" s="130">
        <v>8.7333333333333325</v>
      </c>
      <c r="F1037" s="130">
        <v>6.0666666666666655</v>
      </c>
      <c r="G1037" s="130">
        <v>5.1333333333333329</v>
      </c>
      <c r="H1037" s="130">
        <v>2.9666666666666668</v>
      </c>
      <c r="I1037" s="130">
        <v>2.9666666666666668</v>
      </c>
      <c r="J1037" s="130">
        <v>3</v>
      </c>
      <c r="K1037" s="130">
        <v>2.9666666666666668</v>
      </c>
      <c r="L1037" s="130">
        <v>2.2999999999999998</v>
      </c>
      <c r="M1037" s="130">
        <v>2.1</v>
      </c>
      <c r="N1037" s="130">
        <v>4.333333333333333</v>
      </c>
      <c r="O10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8.7999999999999989</v>
      </c>
    </row>
    <row r="1038" spans="1:15" x14ac:dyDescent="0.25">
      <c r="A1038" s="15">
        <v>33060114915</v>
      </c>
      <c r="B1038" s="16" t="str">
        <f>VLOOKUP(Projeção[[#This Row],[Código]],BD_Produto[#All],6,FALSE)</f>
        <v>RAPID, GRAMPEAODR DE MESA FM22 PRATA - PN:21820802</v>
      </c>
      <c r="C1038" s="130">
        <v>64.433333333333337</v>
      </c>
      <c r="D1038" s="130">
        <v>26.799999999999997</v>
      </c>
      <c r="E1038" s="130">
        <v>22.7</v>
      </c>
      <c r="F1038" s="130">
        <v>9.8333333333333339</v>
      </c>
      <c r="G1038" s="130">
        <v>9.1</v>
      </c>
      <c r="H1038" s="130">
        <v>8.7999999999999989</v>
      </c>
      <c r="I1038" s="130">
        <v>8.6333333333333329</v>
      </c>
      <c r="J1038" s="130">
        <v>9.4333333333333336</v>
      </c>
      <c r="K1038" s="130">
        <v>8.7999999999999989</v>
      </c>
      <c r="L1038" s="130">
        <v>5.0333333333333323</v>
      </c>
      <c r="M1038" s="130">
        <v>27.533333333333335</v>
      </c>
      <c r="N1038" s="130">
        <v>27.5</v>
      </c>
      <c r="O10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7.466666666666665</v>
      </c>
    </row>
    <row r="1039" spans="1:15" x14ac:dyDescent="0.25">
      <c r="A1039" s="15">
        <v>33060114994</v>
      </c>
      <c r="B1039" s="16" t="str">
        <f>VLOOKUP(Projeção[[#This Row],[Código]],BD_Produto[#All],6,FALSE)</f>
        <v>RAPID, GRAMPEAODR DE MESA FM22 PRETO - PN:21820801</v>
      </c>
      <c r="C1039" s="130">
        <v>179.63333333333335</v>
      </c>
      <c r="D1039" s="130">
        <v>135.53333333333333</v>
      </c>
      <c r="E1039" s="130">
        <v>119.83333333333334</v>
      </c>
      <c r="F1039" s="130">
        <v>127.5</v>
      </c>
      <c r="G1039" s="130">
        <v>69.833333333333343</v>
      </c>
      <c r="H1039" s="130">
        <v>67.066666666666663</v>
      </c>
      <c r="I1039" s="130">
        <v>63.566666666666663</v>
      </c>
      <c r="J1039" s="130">
        <v>57.7</v>
      </c>
      <c r="K1039" s="130">
        <v>67.066666666666663</v>
      </c>
      <c r="L1039" s="130">
        <v>70.266666666666652</v>
      </c>
      <c r="M1039" s="130">
        <v>88.23333333333332</v>
      </c>
      <c r="N1039" s="130">
        <v>95.766666666666666</v>
      </c>
      <c r="O10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172.99999999999997</v>
      </c>
    </row>
    <row r="1040" spans="1:15" x14ac:dyDescent="0.25">
      <c r="A1040" s="15">
        <v>33060160518</v>
      </c>
      <c r="B1040" s="16" t="str">
        <f>VLOOKUP(Projeção[[#This Row],[Código]],BD_Produto[#All],6,FALSE)</f>
        <v>RAPID, GRAMPEAODR DE MESA K45 PRETO - PN:23888200</v>
      </c>
      <c r="C1040" s="130">
        <v>41.599999999999994</v>
      </c>
      <c r="D1040" s="130">
        <v>21.2</v>
      </c>
      <c r="E1040" s="130">
        <v>15.333333333333334</v>
      </c>
      <c r="F1040" s="130">
        <v>7.833333333333333</v>
      </c>
      <c r="G1040" s="130">
        <v>24.5</v>
      </c>
      <c r="H1040" s="130">
        <v>18.899999999999999</v>
      </c>
      <c r="I1040" s="130">
        <v>18.899999999999999</v>
      </c>
      <c r="J1040" s="130">
        <v>20.066666666666666</v>
      </c>
      <c r="K1040" s="130">
        <v>18.899999999999999</v>
      </c>
      <c r="L1040" s="130">
        <v>16.06666666666667</v>
      </c>
      <c r="M1040" s="130">
        <v>28.666666666666661</v>
      </c>
      <c r="N1040" s="130">
        <v>20.233333333333331</v>
      </c>
      <c r="O10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14.133333333333331</v>
      </c>
    </row>
    <row r="1041" spans="1:15" x14ac:dyDescent="0.25">
      <c r="A1041" s="15">
        <v>32060534826</v>
      </c>
      <c r="B1041" s="16" t="str">
        <f>VLOOKUP(Projeção[[#This Row],[Código]],BD_Produto[#All],6,FALSE)</f>
        <v>RAPID, GRAMPO 106/6 - PN:</v>
      </c>
      <c r="C1041" s="130">
        <v>0</v>
      </c>
      <c r="D1041" s="130">
        <v>0</v>
      </c>
      <c r="E1041" s="130">
        <v>0</v>
      </c>
      <c r="F1041" s="130">
        <v>0</v>
      </c>
      <c r="G1041" s="130">
        <v>0</v>
      </c>
      <c r="H1041" s="130">
        <v>0</v>
      </c>
      <c r="I1041" s="130">
        <v>0</v>
      </c>
      <c r="J1041" s="130">
        <v>0</v>
      </c>
      <c r="K1041" s="130">
        <v>0</v>
      </c>
      <c r="L1041" s="130">
        <v>0</v>
      </c>
      <c r="M1041" s="130">
        <v>0</v>
      </c>
      <c r="N1041" s="130">
        <v>0</v>
      </c>
      <c r="O10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42" spans="1:15" ht="15" customHeight="1" x14ac:dyDescent="0.25">
      <c r="A1042" s="15">
        <v>33070561590</v>
      </c>
      <c r="B1042" s="16" t="str">
        <f>VLOOKUP(Projeção[[#This Row],[Código]],BD_Produto[#All],6,FALSE)</f>
        <v>RAPID, GRAMPO 11/10 COM 5.000 GRAMPOS - PN:24071301</v>
      </c>
      <c r="C1042" s="130">
        <v>1.833333333333333</v>
      </c>
      <c r="D1042" s="130">
        <v>0.36666666666666664</v>
      </c>
      <c r="E1042" s="130">
        <v>0.36666666666666664</v>
      </c>
      <c r="F1042" s="130">
        <v>0.36666666666666664</v>
      </c>
      <c r="G1042" s="130">
        <v>0.36666666666666664</v>
      </c>
      <c r="H1042" s="130">
        <v>0.36666666666666664</v>
      </c>
      <c r="I1042" s="130">
        <v>0.36666666666666664</v>
      </c>
      <c r="J1042" s="130">
        <v>0.36666666666666664</v>
      </c>
      <c r="K1042" s="130">
        <v>0.36666666666666664</v>
      </c>
      <c r="L1042" s="130">
        <v>0.36666666666666664</v>
      </c>
      <c r="M1042" s="130">
        <v>0.36666666666666664</v>
      </c>
      <c r="N1042" s="130">
        <v>0</v>
      </c>
      <c r="O10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</v>
      </c>
    </row>
    <row r="1043" spans="1:15" x14ac:dyDescent="0.25">
      <c r="A1043" s="15">
        <v>33070561588</v>
      </c>
      <c r="B1043" s="16" t="str">
        <f>VLOOKUP(Projeção[[#This Row],[Código]],BD_Produto[#All],6,FALSE)</f>
        <v>RAPID, GRAMPO 11/6 COM 5.000 GRAMPOS - PN:24071300</v>
      </c>
      <c r="C1043" s="130">
        <v>1.833333333333333</v>
      </c>
      <c r="D1043" s="130">
        <v>1.7</v>
      </c>
      <c r="E1043" s="130">
        <v>1.7</v>
      </c>
      <c r="F1043" s="130">
        <v>0.70000000000000007</v>
      </c>
      <c r="G1043" s="130">
        <v>0.70000000000000007</v>
      </c>
      <c r="H1043" s="130">
        <v>0.70000000000000007</v>
      </c>
      <c r="I1043" s="130">
        <v>0.70000000000000007</v>
      </c>
      <c r="J1043" s="130">
        <v>0.36666666666666664</v>
      </c>
      <c r="K1043" s="130">
        <v>0.70000000000000007</v>
      </c>
      <c r="L1043" s="130">
        <v>3.3333333333333333E-2</v>
      </c>
      <c r="M1043" s="130">
        <v>3.3333333333333333E-2</v>
      </c>
      <c r="N1043" s="130">
        <v>0</v>
      </c>
      <c r="O10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1044" spans="1:15" x14ac:dyDescent="0.25">
      <c r="A1044" s="15">
        <v>33070561589</v>
      </c>
      <c r="B1044" s="16" t="str">
        <f>VLOOKUP(Projeção[[#This Row],[Código]],BD_Produto[#All],6,FALSE)</f>
        <v>RAPID, GRAMPO 11/8 COM 5.000 GRMAPOS - PN:23520400</v>
      </c>
      <c r="C1044" s="130">
        <v>5.8666666666666663</v>
      </c>
      <c r="D1044" s="130">
        <v>2</v>
      </c>
      <c r="E1044" s="130">
        <v>2</v>
      </c>
      <c r="F1044" s="130">
        <v>1.3333333333333333</v>
      </c>
      <c r="G1044" s="130">
        <v>1.3333333333333333</v>
      </c>
      <c r="H1044" s="130">
        <v>1.3333333333333333</v>
      </c>
      <c r="I1044" s="130">
        <v>1.3333333333333333</v>
      </c>
      <c r="J1044" s="130">
        <v>1.3333333333333333</v>
      </c>
      <c r="K1044" s="130">
        <v>1.3333333333333333</v>
      </c>
      <c r="L1044" s="130">
        <v>0.53333333333333333</v>
      </c>
      <c r="M1044" s="130">
        <v>0.53333333333333333</v>
      </c>
      <c r="N1044" s="130">
        <v>0.16666666666666666</v>
      </c>
      <c r="O10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4.2</v>
      </c>
    </row>
    <row r="1045" spans="1:15" x14ac:dyDescent="0.25">
      <c r="A1045" s="15">
        <v>33070514949</v>
      </c>
      <c r="B1045" s="16" t="str">
        <f>VLOOKUP(Projeção[[#This Row],[Código]],BD_Produto[#All],6,FALSE)</f>
        <v>RAPID, GRAMPO 13/10 GALVANIZADO COM 2.500 GRAMPOS - PN:</v>
      </c>
      <c r="C1045" s="130">
        <v>0</v>
      </c>
      <c r="D1045" s="130">
        <v>0</v>
      </c>
      <c r="E1045" s="130">
        <v>0</v>
      </c>
      <c r="F1045" s="130">
        <v>0</v>
      </c>
      <c r="G1045" s="130">
        <v>0</v>
      </c>
      <c r="H1045" s="130">
        <v>0</v>
      </c>
      <c r="I1045" s="130">
        <v>0</v>
      </c>
      <c r="J1045" s="130">
        <v>0</v>
      </c>
      <c r="K1045" s="130">
        <v>0</v>
      </c>
      <c r="L1045" s="130">
        <v>0</v>
      </c>
      <c r="M1045" s="130">
        <v>0</v>
      </c>
      <c r="N1045" s="130">
        <v>0</v>
      </c>
      <c r="O10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46" spans="1:15" x14ac:dyDescent="0.25">
      <c r="A1046" s="15">
        <v>33070514780</v>
      </c>
      <c r="B1046" s="16" t="str">
        <f>VLOOKUP(Projeção[[#This Row],[Código]],BD_Produto[#All],6,FALSE)</f>
        <v>RAPID, GRAMPO 13/10 GALVANIZADO COM 5.000 GRAMPOS - PN:11840600</v>
      </c>
      <c r="C1046" s="130">
        <v>3.9666666666666668</v>
      </c>
      <c r="D1046" s="130">
        <v>1.2999999999999998</v>
      </c>
      <c r="E1046" s="130">
        <v>1.2999999999999998</v>
      </c>
      <c r="F1046" s="130">
        <v>1.2999999999999998</v>
      </c>
      <c r="G1046" s="130">
        <v>2.4333333333333331</v>
      </c>
      <c r="H1046" s="130">
        <v>2.2999999999999998</v>
      </c>
      <c r="I1046" s="130">
        <v>2.2999999999999998</v>
      </c>
      <c r="J1046" s="130">
        <v>1.9666666666666668</v>
      </c>
      <c r="K1046" s="130">
        <v>2.2999999999999998</v>
      </c>
      <c r="L1046" s="130">
        <v>1.9</v>
      </c>
      <c r="M1046" s="130">
        <v>2.7666666666666662</v>
      </c>
      <c r="N1046" s="130">
        <v>1.9666666666666663</v>
      </c>
      <c r="O10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</v>
      </c>
    </row>
    <row r="1047" spans="1:15" x14ac:dyDescent="0.25">
      <c r="A1047" s="15">
        <v>33070514948</v>
      </c>
      <c r="B1047" s="16" t="str">
        <f>VLOOKUP(Projeção[[#This Row],[Código]],BD_Produto[#All],6,FALSE)</f>
        <v>RAPID, GRAMPO 13/14 GALVANIZADO COM 2.500 GRAMPOS - PN:</v>
      </c>
      <c r="C1047" s="130">
        <v>0</v>
      </c>
      <c r="D1047" s="130">
        <v>0</v>
      </c>
      <c r="E1047" s="130">
        <v>0</v>
      </c>
      <c r="F1047" s="130">
        <v>0</v>
      </c>
      <c r="G1047" s="130">
        <v>0</v>
      </c>
      <c r="H1047" s="130">
        <v>0</v>
      </c>
      <c r="I1047" s="130">
        <v>0</v>
      </c>
      <c r="J1047" s="130">
        <v>0</v>
      </c>
      <c r="K1047" s="130">
        <v>0</v>
      </c>
      <c r="L1047" s="130">
        <v>0</v>
      </c>
      <c r="M1047" s="130">
        <v>0</v>
      </c>
      <c r="N1047" s="130">
        <v>0</v>
      </c>
      <c r="O10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48" spans="1:15" x14ac:dyDescent="0.25">
      <c r="A1048" s="15">
        <v>33070514779</v>
      </c>
      <c r="B1048" s="16" t="str">
        <f>VLOOKUP(Projeção[[#This Row],[Código]],BD_Produto[#All],6,FALSE)</f>
        <v>RAPID, GRAMPO 13/14 GALVANIZADO COM 5.000 GRAMPOS - PN:11850500</v>
      </c>
      <c r="C1048" s="130">
        <v>0.5</v>
      </c>
      <c r="D1048" s="130">
        <v>0.5</v>
      </c>
      <c r="E1048" s="130">
        <v>0.5</v>
      </c>
      <c r="F1048" s="130">
        <v>0.5</v>
      </c>
      <c r="G1048" s="130">
        <v>1.6333333333333331</v>
      </c>
      <c r="H1048" s="130">
        <v>1.1666666666666667</v>
      </c>
      <c r="I1048" s="130">
        <v>1.1666666666666667</v>
      </c>
      <c r="J1048" s="130">
        <v>1.1666666666666667</v>
      </c>
      <c r="K1048" s="130">
        <v>1.1666666666666667</v>
      </c>
      <c r="L1048" s="130">
        <v>1.0666666666666667</v>
      </c>
      <c r="M1048" s="130">
        <v>1.8666666666666667</v>
      </c>
      <c r="N1048" s="130">
        <v>1.7333333333333336</v>
      </c>
      <c r="O10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0.56666666666666654</v>
      </c>
    </row>
    <row r="1049" spans="1:15" x14ac:dyDescent="0.25">
      <c r="A1049" s="15">
        <v>33070514954</v>
      </c>
      <c r="B1049" s="16" t="str">
        <f>VLOOKUP(Projeção[[#This Row],[Código]],BD_Produto[#All],6,FALSE)</f>
        <v>RAPID, GRAMPO 140/10 COM 2.000 GRAMPOS - PN:</v>
      </c>
      <c r="C1049" s="130">
        <v>0</v>
      </c>
      <c r="D1049" s="130">
        <v>0</v>
      </c>
      <c r="E1049" s="130">
        <v>0</v>
      </c>
      <c r="F1049" s="130">
        <v>0</v>
      </c>
      <c r="G1049" s="130">
        <v>0</v>
      </c>
      <c r="H1049" s="130">
        <v>0</v>
      </c>
      <c r="I1049" s="130">
        <v>0</v>
      </c>
      <c r="J1049" s="130">
        <v>0</v>
      </c>
      <c r="K1049" s="130">
        <v>0</v>
      </c>
      <c r="L1049" s="130">
        <v>0</v>
      </c>
      <c r="M1049" s="130">
        <v>0</v>
      </c>
      <c r="N1049" s="130">
        <v>0</v>
      </c>
      <c r="O10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50" spans="1:15" ht="15" customHeight="1" x14ac:dyDescent="0.25">
      <c r="A1050" s="15">
        <v>33070514953</v>
      </c>
      <c r="B1050" s="16" t="str">
        <f>VLOOKUP(Projeção[[#This Row],[Código]],BD_Produto[#All],6,FALSE)</f>
        <v>RAPID, GRAMPO 140/14 COM 2.000 GRAMPOS - PN:</v>
      </c>
      <c r="C1050" s="130">
        <v>0</v>
      </c>
      <c r="D1050" s="130">
        <v>0</v>
      </c>
      <c r="E1050" s="130">
        <v>0</v>
      </c>
      <c r="F1050" s="130">
        <v>0</v>
      </c>
      <c r="G1050" s="130">
        <v>0</v>
      </c>
      <c r="H1050" s="130">
        <v>0</v>
      </c>
      <c r="I1050" s="130">
        <v>0</v>
      </c>
      <c r="J1050" s="130">
        <v>0</v>
      </c>
      <c r="K1050" s="130">
        <v>0</v>
      </c>
      <c r="L1050" s="130">
        <v>0</v>
      </c>
      <c r="M1050" s="130">
        <v>0</v>
      </c>
      <c r="N1050" s="130">
        <v>0</v>
      </c>
      <c r="O10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51" spans="1:15" ht="15" customHeight="1" x14ac:dyDescent="0.25">
      <c r="A1051" s="15">
        <v>33070561586</v>
      </c>
      <c r="B1051" s="16" t="str">
        <f>VLOOKUP(Projeção[[#This Row],[Código]],BD_Produto[#All],6,FALSE)</f>
        <v>RAPID, GRAMPO 19/6 COM 5.000 GRAMPOS - PN:23391400</v>
      </c>
      <c r="C1051" s="130">
        <v>72.3</v>
      </c>
      <c r="D1051" s="130">
        <v>1</v>
      </c>
      <c r="E1051" s="130">
        <v>1</v>
      </c>
      <c r="F1051" s="130">
        <v>1</v>
      </c>
      <c r="G1051" s="130">
        <v>1</v>
      </c>
      <c r="H1051" s="130">
        <v>1</v>
      </c>
      <c r="I1051" s="130">
        <v>0</v>
      </c>
      <c r="J1051" s="130">
        <v>11.666666666666666</v>
      </c>
      <c r="K1051" s="130">
        <v>1</v>
      </c>
      <c r="L1051" s="130">
        <v>11.666666666666666</v>
      </c>
      <c r="M1051" s="130">
        <v>6.9999999999999991</v>
      </c>
      <c r="N1051" s="130">
        <v>6.9999999999999991</v>
      </c>
      <c r="O10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52" spans="1:15" x14ac:dyDescent="0.25">
      <c r="A1052" s="15">
        <v>33070561587</v>
      </c>
      <c r="B1052" s="16" t="str">
        <f>VLOOKUP(Projeção[[#This Row],[Código]],BD_Produto[#All],6,FALSE)</f>
        <v>RAPID, GRAMPO 19/8 COM 5.000 GRAMPOS - PN:23391500</v>
      </c>
      <c r="C1052" s="130">
        <v>22.5</v>
      </c>
      <c r="D1052" s="130">
        <v>26.06666666666667</v>
      </c>
      <c r="E1052" s="130">
        <v>15.899999999999999</v>
      </c>
      <c r="F1052" s="130">
        <v>12.166666666666666</v>
      </c>
      <c r="G1052" s="130">
        <v>7.8999999999999995</v>
      </c>
      <c r="H1052" s="130">
        <v>6.1</v>
      </c>
      <c r="I1052" s="130">
        <v>6.1</v>
      </c>
      <c r="J1052" s="130">
        <v>5.4333333333333327</v>
      </c>
      <c r="K1052" s="130">
        <v>6.1</v>
      </c>
      <c r="L1052" s="130">
        <v>8.5</v>
      </c>
      <c r="M1052" s="130">
        <v>14.899999999999999</v>
      </c>
      <c r="N1052" s="130">
        <v>13.766666666666666</v>
      </c>
      <c r="O10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3.0333333333333337</v>
      </c>
    </row>
    <row r="1053" spans="1:15" x14ac:dyDescent="0.25">
      <c r="A1053" s="15">
        <v>33060560522</v>
      </c>
      <c r="B1053" s="16" t="str">
        <f>VLOOKUP(Projeção[[#This Row],[Código]],BD_Produto[#All],6,FALSE)</f>
        <v>RAPID, GRAMPO 23/10 COM 1.000 GRAMPOS - PN:</v>
      </c>
      <c r="C1053" s="130">
        <v>4.5999999999999996</v>
      </c>
      <c r="D1053" s="130">
        <v>4.5333333333333332</v>
      </c>
      <c r="E1053" s="130">
        <v>1.3666666666666665</v>
      </c>
      <c r="F1053" s="130">
        <v>1.3666666666666665</v>
      </c>
      <c r="G1053" s="130">
        <v>0.70000000000000007</v>
      </c>
      <c r="H1053" s="130">
        <v>0.70000000000000007</v>
      </c>
      <c r="I1053" s="130">
        <v>0.70000000000000007</v>
      </c>
      <c r="J1053" s="130">
        <v>0.70000000000000007</v>
      </c>
      <c r="K1053" s="130">
        <v>0.70000000000000007</v>
      </c>
      <c r="L1053" s="130">
        <v>0.66666666666666663</v>
      </c>
      <c r="M1053" s="130">
        <v>0.66666666666666663</v>
      </c>
      <c r="N1053" s="130">
        <v>14.666666666666664</v>
      </c>
      <c r="O10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6.333333333333333</v>
      </c>
    </row>
    <row r="1054" spans="1:15" x14ac:dyDescent="0.25">
      <c r="A1054" s="15">
        <v>33060560523</v>
      </c>
      <c r="B1054" s="16" t="str">
        <f>VLOOKUP(Projeção[[#This Row],[Código]],BD_Produto[#All],6,FALSE)</f>
        <v>RAPID, GRAMPO 23/15 COM 1.000 GRAMPOS - PN:</v>
      </c>
      <c r="C1054" s="130">
        <v>2.6999999999999997</v>
      </c>
      <c r="D1054" s="130">
        <v>2.3666666666666667</v>
      </c>
      <c r="E1054" s="130">
        <v>1.0333333333333334</v>
      </c>
      <c r="F1054" s="130">
        <v>1.0333333333333334</v>
      </c>
      <c r="G1054" s="130">
        <v>0.36666666666666664</v>
      </c>
      <c r="H1054" s="130">
        <v>0.36666666666666664</v>
      </c>
      <c r="I1054" s="130">
        <v>0.36666666666666664</v>
      </c>
      <c r="J1054" s="130">
        <v>0.36666666666666664</v>
      </c>
      <c r="K1054" s="130">
        <v>0.36666666666666664</v>
      </c>
      <c r="L1054" s="130">
        <v>1.1666666666666667</v>
      </c>
      <c r="M1054" s="130">
        <v>1.5</v>
      </c>
      <c r="N1054" s="130">
        <v>0.83333333333333337</v>
      </c>
      <c r="O10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3.4999999999999996</v>
      </c>
    </row>
    <row r="1055" spans="1:15" x14ac:dyDescent="0.25">
      <c r="A1055" s="15">
        <v>33060560521</v>
      </c>
      <c r="B1055" s="16" t="str">
        <f>VLOOKUP(Projeção[[#This Row],[Código]],BD_Produto[#All],6,FALSE)</f>
        <v>RAPID, GRAMPO 23/8 COM 1.000 GRAMPOS - PN:</v>
      </c>
      <c r="C1055" s="130">
        <v>3.3</v>
      </c>
      <c r="D1055" s="130">
        <v>2.5333333333333332</v>
      </c>
      <c r="E1055" s="130">
        <v>18.2</v>
      </c>
      <c r="F1055" s="130">
        <v>6.2</v>
      </c>
      <c r="G1055" s="130">
        <v>5.5333333333333341</v>
      </c>
      <c r="H1055" s="130">
        <v>1.5333333333333334</v>
      </c>
      <c r="I1055" s="130">
        <v>1.5333333333333334</v>
      </c>
      <c r="J1055" s="130">
        <v>1.5333333333333334</v>
      </c>
      <c r="K1055" s="130">
        <v>1.5333333333333334</v>
      </c>
      <c r="L1055" s="130">
        <v>1.3333333333333333</v>
      </c>
      <c r="M1055" s="130">
        <v>1.3333333333333333</v>
      </c>
      <c r="N1055" s="130">
        <v>29.333333333333329</v>
      </c>
      <c r="O10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12.466666666666665</v>
      </c>
    </row>
    <row r="1056" spans="1:15" x14ac:dyDescent="0.25">
      <c r="A1056" s="15">
        <v>33060514870</v>
      </c>
      <c r="B1056" s="16" t="str">
        <f>VLOOKUP(Projeção[[#This Row],[Código]],BD_Produto[#All],6,FALSE)</f>
        <v>RAPID, GRAMPO 24/6 COM 5.000 GRAMPOS - PN:</v>
      </c>
      <c r="C1056" s="130">
        <v>2.8666666666666667</v>
      </c>
      <c r="D1056" s="130">
        <v>1.5333333333333334</v>
      </c>
      <c r="E1056" s="130">
        <v>0.70000000000000007</v>
      </c>
      <c r="F1056" s="130">
        <v>0.70000000000000007</v>
      </c>
      <c r="G1056" s="130">
        <v>0.70000000000000007</v>
      </c>
      <c r="H1056" s="130">
        <v>1.5333333333333332</v>
      </c>
      <c r="I1056" s="130">
        <v>1.5333333333333332</v>
      </c>
      <c r="J1056" s="130">
        <v>1.5333333333333332</v>
      </c>
      <c r="K1056" s="130">
        <v>1.5333333333333332</v>
      </c>
      <c r="L1056" s="130">
        <v>0.16666666666666666</v>
      </c>
      <c r="M1056" s="130">
        <v>0.5</v>
      </c>
      <c r="N1056" s="130">
        <v>0.5</v>
      </c>
      <c r="O10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57" spans="1:15" x14ac:dyDescent="0.25">
      <c r="A1057" s="15">
        <v>33060514990</v>
      </c>
      <c r="B1057" s="16" t="str">
        <f>VLOOKUP(Projeção[[#This Row],[Código]],BD_Produto[#All],6,FALSE)</f>
        <v>RAPID, GRAMPO 26/6 - 20 CAIXAS COM 1.000 GRAMPOS CADA - PN:</v>
      </c>
      <c r="C1057" s="130">
        <v>51.533333333333339</v>
      </c>
      <c r="D1057" s="130">
        <v>36.799999999999997</v>
      </c>
      <c r="E1057" s="130">
        <v>29.166666666666664</v>
      </c>
      <c r="F1057" s="130">
        <v>23.3</v>
      </c>
      <c r="G1057" s="130">
        <v>21.866666666666664</v>
      </c>
      <c r="H1057" s="130">
        <v>23.7</v>
      </c>
      <c r="I1057" s="130">
        <v>23.6</v>
      </c>
      <c r="J1057" s="130">
        <v>123.26666666666667</v>
      </c>
      <c r="K1057" s="130">
        <v>23.7</v>
      </c>
      <c r="L1057" s="130">
        <v>248.46666666666667</v>
      </c>
      <c r="M1057" s="130">
        <v>267.36666666666662</v>
      </c>
      <c r="N1057" s="130">
        <v>376.1</v>
      </c>
      <c r="O10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101.9</v>
      </c>
    </row>
    <row r="1058" spans="1:15" x14ac:dyDescent="0.25">
      <c r="A1058" s="15">
        <v>33060514713</v>
      </c>
      <c r="B1058" s="16" t="str">
        <f>VLOOKUP(Projeção[[#This Row],[Código]],BD_Produto[#All],6,FALSE)</f>
        <v>RAPID, GRAMPO 26/6 COM 5.000 GRAMPOS - PN:</v>
      </c>
      <c r="C1058" s="130">
        <v>0</v>
      </c>
      <c r="D1058" s="130">
        <v>0</v>
      </c>
      <c r="E1058" s="130">
        <v>0</v>
      </c>
      <c r="F1058" s="130">
        <v>0</v>
      </c>
      <c r="G1058" s="130">
        <v>0</v>
      </c>
      <c r="H1058" s="130">
        <v>0</v>
      </c>
      <c r="I1058" s="130">
        <v>0</v>
      </c>
      <c r="J1058" s="130">
        <v>0</v>
      </c>
      <c r="K1058" s="130">
        <v>0</v>
      </c>
      <c r="L1058" s="130">
        <v>0</v>
      </c>
      <c r="M1058" s="130">
        <v>0</v>
      </c>
      <c r="N1058" s="130">
        <v>0</v>
      </c>
      <c r="O10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59" spans="1:15" x14ac:dyDescent="0.25">
      <c r="A1059" s="15">
        <v>33060560893</v>
      </c>
      <c r="B1059" s="16" t="str">
        <f>VLOOKUP(Projeção[[#This Row],[Código]],BD_Produto[#All],6,FALSE)</f>
        <v>RAPID, GRAMPO 26/6 COM 5.000 GRAMPOS - PN:</v>
      </c>
      <c r="C1059" s="130">
        <v>33596.699999999997</v>
      </c>
      <c r="D1059" s="130">
        <v>13525.866666666665</v>
      </c>
      <c r="E1059" s="130">
        <v>13873.6</v>
      </c>
      <c r="F1059" s="130">
        <v>6333.1333333333332</v>
      </c>
      <c r="G1059" s="130">
        <v>7764.0666666666657</v>
      </c>
      <c r="H1059" s="130">
        <v>23416.2</v>
      </c>
      <c r="I1059" s="130">
        <v>23194.2</v>
      </c>
      <c r="J1059" s="130">
        <v>23297.366666666665</v>
      </c>
      <c r="K1059" s="130">
        <v>23416.2</v>
      </c>
      <c r="L1059" s="130">
        <v>7168.2666666666664</v>
      </c>
      <c r="M1059" s="130">
        <v>14701.33333333333</v>
      </c>
      <c r="N1059" s="130">
        <v>13699.466666666665</v>
      </c>
      <c r="O10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101.43333333333334</v>
      </c>
    </row>
    <row r="1060" spans="1:15" x14ac:dyDescent="0.25">
      <c r="A1060" s="15">
        <v>33070514646</v>
      </c>
      <c r="B1060" s="16" t="str">
        <f>VLOOKUP(Projeção[[#This Row],[Código]],BD_Produto[#All],6,FALSE)</f>
        <v>RAPID, GRAMPO 28/10 COM 5.000 GRAMPOS - PN:</v>
      </c>
      <c r="C1060" s="130">
        <v>0</v>
      </c>
      <c r="D1060" s="130">
        <v>0</v>
      </c>
      <c r="E1060" s="130">
        <v>0</v>
      </c>
      <c r="F1060" s="130">
        <v>0</v>
      </c>
      <c r="G1060" s="130">
        <v>0</v>
      </c>
      <c r="H1060" s="130">
        <v>0</v>
      </c>
      <c r="I1060" s="130">
        <v>0</v>
      </c>
      <c r="J1060" s="130">
        <v>0</v>
      </c>
      <c r="K1060" s="130">
        <v>0</v>
      </c>
      <c r="L1060" s="130">
        <v>0</v>
      </c>
      <c r="M1060" s="130">
        <v>0</v>
      </c>
      <c r="N1060" s="130">
        <v>0</v>
      </c>
      <c r="O10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1" spans="1:15" x14ac:dyDescent="0.25">
      <c r="A1061" s="15">
        <v>33070514647</v>
      </c>
      <c r="B1061" s="16" t="str">
        <f>VLOOKUP(Projeção[[#This Row],[Código]],BD_Produto[#All],6,FALSE)</f>
        <v>RAPID, GRAMPO 28/8 COM 5.000 GRAMPOS - PN:</v>
      </c>
      <c r="C1061" s="130">
        <v>0</v>
      </c>
      <c r="D1061" s="130">
        <v>0</v>
      </c>
      <c r="E1061" s="130">
        <v>0</v>
      </c>
      <c r="F1061" s="130">
        <v>0</v>
      </c>
      <c r="G1061" s="130">
        <v>0</v>
      </c>
      <c r="H1061" s="130">
        <v>0</v>
      </c>
      <c r="I1061" s="130">
        <v>0</v>
      </c>
      <c r="J1061" s="130">
        <v>0</v>
      </c>
      <c r="K1061" s="130">
        <v>0</v>
      </c>
      <c r="L1061" s="130">
        <v>0</v>
      </c>
      <c r="M1061" s="130">
        <v>0</v>
      </c>
      <c r="N1061" s="130">
        <v>0</v>
      </c>
      <c r="O10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2" spans="1:15" x14ac:dyDescent="0.25">
      <c r="A1062" s="15">
        <v>33070514645</v>
      </c>
      <c r="B1062" s="16" t="str">
        <f>VLOOKUP(Projeção[[#This Row],[Código]],BD_Produto[#All],6,FALSE)</f>
        <v>RAPID, GRAMPO 36/10 COM 5.000 GRAMPOS - PN:</v>
      </c>
      <c r="C1062" s="130">
        <v>0</v>
      </c>
      <c r="D1062" s="130">
        <v>0</v>
      </c>
      <c r="E1062" s="130">
        <v>0</v>
      </c>
      <c r="F1062" s="130">
        <v>0</v>
      </c>
      <c r="G1062" s="130">
        <v>0</v>
      </c>
      <c r="H1062" s="130">
        <v>0</v>
      </c>
      <c r="I1062" s="130">
        <v>0</v>
      </c>
      <c r="J1062" s="130">
        <v>0</v>
      </c>
      <c r="K1062" s="130">
        <v>0</v>
      </c>
      <c r="L1062" s="130">
        <v>0</v>
      </c>
      <c r="M1062" s="130">
        <v>0</v>
      </c>
      <c r="N1062" s="130">
        <v>0</v>
      </c>
      <c r="O10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3" spans="1:15" x14ac:dyDescent="0.25">
      <c r="A1063" s="15">
        <v>33070514644</v>
      </c>
      <c r="B1063" s="16" t="str">
        <f>VLOOKUP(Projeção[[#This Row],[Código]],BD_Produto[#All],6,FALSE)</f>
        <v>RAPID, GRAMPO 36/14 COM 5.000 GRAMPOS - PN:</v>
      </c>
      <c r="C1063" s="130">
        <v>0</v>
      </c>
      <c r="D1063" s="130">
        <v>0</v>
      </c>
      <c r="E1063" s="130">
        <v>0</v>
      </c>
      <c r="F1063" s="130">
        <v>0</v>
      </c>
      <c r="G1063" s="130">
        <v>0</v>
      </c>
      <c r="H1063" s="130">
        <v>0</v>
      </c>
      <c r="I1063" s="130">
        <v>0</v>
      </c>
      <c r="J1063" s="130">
        <v>0</v>
      </c>
      <c r="K1063" s="130">
        <v>0</v>
      </c>
      <c r="L1063" s="130">
        <v>0</v>
      </c>
      <c r="M1063" s="130">
        <v>0</v>
      </c>
      <c r="N1063" s="130">
        <v>0</v>
      </c>
      <c r="O10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4" spans="1:15" x14ac:dyDescent="0.25">
      <c r="A1064" s="15">
        <v>33070514630</v>
      </c>
      <c r="B1064" s="16" t="str">
        <f>VLOOKUP(Projeção[[#This Row],[Código]],BD_Produto[#All],6,FALSE)</f>
        <v>RAPID, GRAMPO 43/8 TEXTIL COM 10.000 GRAMPOS - PN:11755600</v>
      </c>
      <c r="C1064" s="130">
        <v>28.033333333333335</v>
      </c>
      <c r="D1064" s="130">
        <v>35.13333333333334</v>
      </c>
      <c r="E1064" s="130">
        <v>12.333333333333334</v>
      </c>
      <c r="F1064" s="130">
        <v>10.999999999999998</v>
      </c>
      <c r="G1064" s="130">
        <v>26.3</v>
      </c>
      <c r="H1064" s="130">
        <v>13.1</v>
      </c>
      <c r="I1064" s="130">
        <v>13.1</v>
      </c>
      <c r="J1064" s="130">
        <v>11.766666666666666</v>
      </c>
      <c r="K1064" s="130">
        <v>13.1</v>
      </c>
      <c r="L1064" s="130">
        <v>5.7333333333333334</v>
      </c>
      <c r="M1064" s="130">
        <v>7.9333333333333336</v>
      </c>
      <c r="N1064" s="130">
        <v>5.7333333333333334</v>
      </c>
      <c r="O10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5" spans="1:15" x14ac:dyDescent="0.25">
      <c r="A1065" s="15">
        <v>33070514950</v>
      </c>
      <c r="B1065" s="16" t="str">
        <f>VLOOKUP(Projeção[[#This Row],[Código]],BD_Produto[#All],6,FALSE)</f>
        <v>RAPID, GRAMPO 606/18 COM 4.000 GRAMPOS - PN:</v>
      </c>
      <c r="C1065" s="130">
        <v>0</v>
      </c>
      <c r="D1065" s="130">
        <v>0</v>
      </c>
      <c r="E1065" s="130">
        <v>0</v>
      </c>
      <c r="F1065" s="130">
        <v>0</v>
      </c>
      <c r="G1065" s="130">
        <v>0</v>
      </c>
      <c r="H1065" s="130">
        <v>0</v>
      </c>
      <c r="I1065" s="130">
        <v>0</v>
      </c>
      <c r="J1065" s="130">
        <v>0</v>
      </c>
      <c r="K1065" s="130">
        <v>0</v>
      </c>
      <c r="L1065" s="130">
        <v>0</v>
      </c>
      <c r="M1065" s="130">
        <v>0</v>
      </c>
      <c r="N1065" s="130">
        <v>0</v>
      </c>
      <c r="O10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6" spans="1:15" x14ac:dyDescent="0.25">
      <c r="A1066" s="15">
        <v>33070514952</v>
      </c>
      <c r="B1066" s="16" t="str">
        <f>VLOOKUP(Projeção[[#This Row],[Código]],BD_Produto[#All],6,FALSE)</f>
        <v>RAPID, GRAMPO 606/25 COM 4.000 GRAMPOS - PN:</v>
      </c>
      <c r="C1066" s="130">
        <v>0</v>
      </c>
      <c r="D1066" s="130">
        <v>0</v>
      </c>
      <c r="E1066" s="130">
        <v>0</v>
      </c>
      <c r="F1066" s="130">
        <v>0</v>
      </c>
      <c r="G1066" s="130">
        <v>0</v>
      </c>
      <c r="H1066" s="130">
        <v>0</v>
      </c>
      <c r="I1066" s="130">
        <v>0</v>
      </c>
      <c r="J1066" s="130">
        <v>0</v>
      </c>
      <c r="K1066" s="130">
        <v>0</v>
      </c>
      <c r="L1066" s="130">
        <v>0</v>
      </c>
      <c r="M1066" s="130">
        <v>0</v>
      </c>
      <c r="N1066" s="130">
        <v>0</v>
      </c>
      <c r="O10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7" spans="1:15" ht="15" customHeight="1" x14ac:dyDescent="0.25">
      <c r="A1067" s="15">
        <v>33060563735</v>
      </c>
      <c r="B1067" s="16" t="str">
        <f>VLOOKUP(Projeção[[#This Row],[Código]],BD_Produto[#All],6,FALSE)</f>
        <v>RAPID, GRAMPO 66/6 COM 5.000 GRAMPOS - PN:</v>
      </c>
      <c r="C1067" s="130">
        <v>0</v>
      </c>
      <c r="D1067" s="130">
        <v>0</v>
      </c>
      <c r="E1067" s="130">
        <v>0</v>
      </c>
      <c r="F1067" s="130">
        <v>0</v>
      </c>
      <c r="G1067" s="130">
        <v>0</v>
      </c>
      <c r="H1067" s="130">
        <v>0</v>
      </c>
      <c r="I1067" s="130">
        <v>0</v>
      </c>
      <c r="J1067" s="130">
        <v>0</v>
      </c>
      <c r="K1067" s="130">
        <v>0</v>
      </c>
      <c r="L1067" s="130">
        <v>0</v>
      </c>
      <c r="M1067" s="130">
        <v>0</v>
      </c>
      <c r="N1067" s="130">
        <v>0</v>
      </c>
      <c r="O10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68" spans="1:15" x14ac:dyDescent="0.25">
      <c r="A1068" s="15">
        <v>33060514672</v>
      </c>
      <c r="B1068" s="16" t="str">
        <f>VLOOKUP(Projeção[[#This Row],[Código]],BD_Produto[#All],6,FALSE)</f>
        <v>RAPID, GRAMPO 66/6R COM 5.000 GRMAPOS - PN:</v>
      </c>
      <c r="C1068" s="130">
        <v>0.36666666666666664</v>
      </c>
      <c r="D1068" s="130">
        <v>0.36666666666666664</v>
      </c>
      <c r="E1068" s="130">
        <v>0.36666666666666664</v>
      </c>
      <c r="F1068" s="130">
        <v>0.36666666666666664</v>
      </c>
      <c r="G1068" s="130">
        <v>0.36666666666666664</v>
      </c>
      <c r="H1068" s="130">
        <v>0.36666666666666664</v>
      </c>
      <c r="I1068" s="130">
        <v>0.36666666666666664</v>
      </c>
      <c r="J1068" s="130">
        <v>0.36666666666666664</v>
      </c>
      <c r="K1068" s="130">
        <v>0.36666666666666664</v>
      </c>
      <c r="L1068" s="130">
        <v>3.5333333333333337</v>
      </c>
      <c r="M1068" s="130">
        <v>4.6666666666666661</v>
      </c>
      <c r="N1068" s="130">
        <v>2</v>
      </c>
      <c r="O10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0.66666666666666663</v>
      </c>
    </row>
    <row r="1069" spans="1:15" x14ac:dyDescent="0.25">
      <c r="A1069" s="15">
        <v>33060514811</v>
      </c>
      <c r="B1069" s="16" t="str">
        <f>VLOOKUP(Projeção[[#This Row],[Código]],BD_Produto[#All],6,FALSE)</f>
        <v>RAPID, GRAMPO 66/8 COM 5.000 GRAMPOS - PN:</v>
      </c>
      <c r="C1069" s="130">
        <v>1.2666666666666666</v>
      </c>
      <c r="D1069" s="130">
        <v>0.86666666666666659</v>
      </c>
      <c r="E1069" s="130">
        <v>0.19999999999999998</v>
      </c>
      <c r="F1069" s="130">
        <v>6.6666666666666666E-2</v>
      </c>
      <c r="G1069" s="130">
        <v>6.6666666666666666E-2</v>
      </c>
      <c r="H1069" s="130">
        <v>6.6666666666666666E-2</v>
      </c>
      <c r="I1069" s="130">
        <v>6.6666666666666666E-2</v>
      </c>
      <c r="J1069" s="130">
        <v>6.6666666666666666E-2</v>
      </c>
      <c r="K1069" s="130">
        <v>6.6666666666666666E-2</v>
      </c>
      <c r="L1069" s="130">
        <v>3.3666666666666667</v>
      </c>
      <c r="M1069" s="130">
        <v>4.6999999999999993</v>
      </c>
      <c r="N1069" s="130">
        <v>4.6999999999999993</v>
      </c>
      <c r="O10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3.0333333333333332</v>
      </c>
    </row>
    <row r="1070" spans="1:15" x14ac:dyDescent="0.25">
      <c r="A1070" s="15">
        <v>33060514699</v>
      </c>
      <c r="B1070" s="16" t="str">
        <f>VLOOKUP(Projeção[[#This Row],[Código]],BD_Produto[#All],6,FALSE)</f>
        <v>RAPID, GRAMPO 9/12 COM 1.000 GRAMPOS - PN:</v>
      </c>
      <c r="C1070" s="130">
        <v>2.9333333333333331</v>
      </c>
      <c r="D1070" s="130">
        <v>2.9333333333333331</v>
      </c>
      <c r="E1070" s="130">
        <v>2.4333333333333331</v>
      </c>
      <c r="F1070" s="130">
        <v>2.4333333333333331</v>
      </c>
      <c r="G1070" s="130">
        <v>2.4333333333333331</v>
      </c>
      <c r="H1070" s="130">
        <v>2.1</v>
      </c>
      <c r="I1070" s="130">
        <v>2.0666666666666669</v>
      </c>
      <c r="J1070" s="130">
        <v>2.1</v>
      </c>
      <c r="K1070" s="130">
        <v>3.3333333333333333E-2</v>
      </c>
      <c r="L1070" s="130">
        <v>0</v>
      </c>
      <c r="M1070" s="130">
        <v>0</v>
      </c>
      <c r="N1070" s="130">
        <v>0</v>
      </c>
      <c r="O10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</v>
      </c>
    </row>
    <row r="1071" spans="1:15" x14ac:dyDescent="0.25">
      <c r="A1071" s="15">
        <v>33060514137</v>
      </c>
      <c r="B1071" s="16" t="str">
        <f>VLOOKUP(Projeção[[#This Row],[Código]],BD_Produto[#All],6,FALSE)</f>
        <v>RAPID, GRAMPO 9/20 COM 1.000 GRAMPOS - PN:</v>
      </c>
      <c r="C1071" s="130">
        <v>0.53333333333333333</v>
      </c>
      <c r="D1071" s="130">
        <v>0.53333333333333333</v>
      </c>
      <c r="E1071" s="130">
        <v>3.3333333333333333E-2</v>
      </c>
      <c r="F1071" s="130">
        <v>3.3333333333333333E-2</v>
      </c>
      <c r="G1071" s="130">
        <v>3.3333333333333333E-2</v>
      </c>
      <c r="H1071" s="130">
        <v>3.3333333333333333E-2</v>
      </c>
      <c r="I1071" s="130">
        <v>3.3333333333333333E-2</v>
      </c>
      <c r="J1071" s="130">
        <v>3.3333333333333333E-2</v>
      </c>
      <c r="K1071" s="130">
        <v>3.3333333333333333E-2</v>
      </c>
      <c r="L1071" s="130">
        <v>0</v>
      </c>
      <c r="M1071" s="130">
        <v>0</v>
      </c>
      <c r="N1071" s="130">
        <v>0</v>
      </c>
      <c r="O10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</v>
      </c>
    </row>
    <row r="1072" spans="1:15" x14ac:dyDescent="0.25">
      <c r="A1072" s="15">
        <v>33060514932</v>
      </c>
      <c r="B1072" s="16" t="str">
        <f>VLOOKUP(Projeção[[#This Row],[Código]],BD_Produto[#All],6,FALSE)</f>
        <v>RAPID, GRAMPO C75 COM 6.000 GRMAPOS - PN:</v>
      </c>
      <c r="C1072" s="130">
        <v>0</v>
      </c>
      <c r="D1072" s="130">
        <v>0</v>
      </c>
      <c r="E1072" s="130">
        <v>0</v>
      </c>
      <c r="F1072" s="130">
        <v>0</v>
      </c>
      <c r="G1072" s="130">
        <v>0</v>
      </c>
      <c r="H1072" s="130">
        <v>0</v>
      </c>
      <c r="I1072" s="130">
        <v>0</v>
      </c>
      <c r="J1072" s="130">
        <v>0</v>
      </c>
      <c r="K1072" s="130">
        <v>0</v>
      </c>
      <c r="L1072" s="130">
        <v>0</v>
      </c>
      <c r="M1072" s="130">
        <v>0</v>
      </c>
      <c r="N1072" s="130">
        <v>0</v>
      </c>
      <c r="O10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3" spans="1:15" x14ac:dyDescent="0.25">
      <c r="A1073" s="15">
        <v>33060514920</v>
      </c>
      <c r="B1073" s="16" t="str">
        <f>VLOOKUP(Projeção[[#This Row],[Código]],BD_Produto[#All],6,FALSE)</f>
        <v>RAPID, GRAMPO DUAX COM 1.000 GRAMPOS - PN:</v>
      </c>
      <c r="C1073" s="130">
        <v>0.93333333333333313</v>
      </c>
      <c r="D1073" s="130">
        <v>0.53333333333333333</v>
      </c>
      <c r="E1073" s="130">
        <v>0.53333333333333333</v>
      </c>
      <c r="F1073" s="130">
        <v>0.39999999999999997</v>
      </c>
      <c r="G1073" s="130">
        <v>0.39999999999999997</v>
      </c>
      <c r="H1073" s="130">
        <v>6.6666666666666666E-2</v>
      </c>
      <c r="I1073" s="130">
        <v>6.6666666666666666E-2</v>
      </c>
      <c r="J1073" s="130">
        <v>6.6666666666666666E-2</v>
      </c>
      <c r="K1073" s="130">
        <v>6.6666666666666666E-2</v>
      </c>
      <c r="L1073" s="130">
        <v>3.3333333333333333E-2</v>
      </c>
      <c r="M1073" s="130">
        <v>3.3333333333333333E-2</v>
      </c>
      <c r="N1073" s="130">
        <v>3.3333333333333333E-2</v>
      </c>
      <c r="O10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4" spans="1:15" x14ac:dyDescent="0.25">
      <c r="A1074" s="15">
        <v>33060514939</v>
      </c>
      <c r="B1074" s="16" t="str">
        <f>VLOOKUP(Projeção[[#This Row],[Código]],BD_Produto[#All],6,FALSE)</f>
        <v>RAPID, GRAMPO Nº10 SOON COM 2.000 GRAMPOS - PN:</v>
      </c>
      <c r="C1074" s="130">
        <v>4.9666666666666659</v>
      </c>
      <c r="D1074" s="130">
        <v>4.9333333333333336</v>
      </c>
      <c r="E1074" s="130">
        <v>3.9333333333333336</v>
      </c>
      <c r="F1074" s="130">
        <v>3.3333333333333333E-2</v>
      </c>
      <c r="G1074" s="130">
        <v>3.3333333333333333E-2</v>
      </c>
      <c r="H1074" s="130">
        <v>0</v>
      </c>
      <c r="I1074" s="130">
        <v>0</v>
      </c>
      <c r="J1074" s="130">
        <v>0</v>
      </c>
      <c r="K1074" s="130">
        <v>0</v>
      </c>
      <c r="L1074" s="130">
        <v>0</v>
      </c>
      <c r="M1074" s="130">
        <v>0</v>
      </c>
      <c r="N1074" s="130">
        <v>0</v>
      </c>
      <c r="O10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5" spans="1:15" x14ac:dyDescent="0.25">
      <c r="A1075" s="15">
        <v>33060424256</v>
      </c>
      <c r="B1075" s="16" t="str">
        <f>VLOOKUP(Projeção[[#This Row],[Código]],BD_Produto[#All],6,FALSE)</f>
        <v xml:space="preserve">Rapid, HD9, Alavanca  (121509) </v>
      </c>
      <c r="C1075" s="130">
        <v>0.79999999999999993</v>
      </c>
      <c r="D1075" s="130">
        <v>3.0666666666666664</v>
      </c>
      <c r="E1075" s="130">
        <v>1.4666666666666668</v>
      </c>
      <c r="F1075" s="130">
        <v>1.4666666666666668</v>
      </c>
      <c r="G1075" s="130">
        <v>0.26666666666666666</v>
      </c>
      <c r="H1075" s="130">
        <v>0.13333333333333333</v>
      </c>
      <c r="I1075" s="130">
        <v>0.13333333333333333</v>
      </c>
      <c r="J1075" s="130">
        <v>0.13333333333333333</v>
      </c>
      <c r="K1075" s="130">
        <v>0.13333333333333333</v>
      </c>
      <c r="L1075" s="130">
        <v>0.13333333333333333</v>
      </c>
      <c r="M1075" s="130">
        <v>0.13333333333333333</v>
      </c>
      <c r="N1075" s="130">
        <v>0.13333333333333333</v>
      </c>
      <c r="O10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6" spans="1:15" x14ac:dyDescent="0.25">
      <c r="A1076" s="15">
        <v>33060424467</v>
      </c>
      <c r="B1076" s="16" t="str">
        <f>VLOOKUP(Projeção[[#This Row],[Código]],BD_Produto[#All],6,FALSE)</f>
        <v>Rapid, HD9, Alimentador  (147082)</v>
      </c>
      <c r="C1076" s="130">
        <v>2.4333333333333331</v>
      </c>
      <c r="D1076" s="130">
        <v>7.2999999999999989</v>
      </c>
      <c r="E1076" s="130">
        <v>3.3</v>
      </c>
      <c r="F1076" s="130">
        <v>3.0333333333333337</v>
      </c>
      <c r="G1076" s="130">
        <v>5.5666666666666655</v>
      </c>
      <c r="H1076" s="130">
        <v>2.2333333333333329</v>
      </c>
      <c r="I1076" s="130">
        <v>2.2333333333333329</v>
      </c>
      <c r="J1076" s="130">
        <v>2.0666666666666664</v>
      </c>
      <c r="K1076" s="130">
        <v>2.2333333333333329</v>
      </c>
      <c r="L1076" s="130">
        <v>3.6666666666666661</v>
      </c>
      <c r="M1076" s="130">
        <v>5.3999999999999986</v>
      </c>
      <c r="N1076" s="130">
        <v>4.5999999999999988</v>
      </c>
      <c r="O10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7.1999999999999993</v>
      </c>
    </row>
    <row r="1077" spans="1:15" x14ac:dyDescent="0.25">
      <c r="A1077" s="15">
        <v>33060424577</v>
      </c>
      <c r="B1077" s="16" t="str">
        <f>VLOOKUP(Projeção[[#This Row],[Código]],BD_Produto[#All],6,FALSE)</f>
        <v>Rapid, HD9, Arruela do Pistão  (155234)</v>
      </c>
      <c r="C1077" s="130">
        <v>0</v>
      </c>
      <c r="D1077" s="130">
        <v>0</v>
      </c>
      <c r="E1077" s="130">
        <v>0</v>
      </c>
      <c r="F1077" s="130">
        <v>0</v>
      </c>
      <c r="G1077" s="130">
        <v>0</v>
      </c>
      <c r="H1077" s="130">
        <v>0</v>
      </c>
      <c r="I1077" s="130">
        <v>0</v>
      </c>
      <c r="J1077" s="130">
        <v>0</v>
      </c>
      <c r="K1077" s="130">
        <v>0</v>
      </c>
      <c r="L1077" s="130">
        <v>0</v>
      </c>
      <c r="M1077" s="130">
        <v>0</v>
      </c>
      <c r="N1077" s="130">
        <v>0</v>
      </c>
      <c r="O10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8" spans="1:15" x14ac:dyDescent="0.25">
      <c r="A1078" s="15">
        <v>33060424359</v>
      </c>
      <c r="B1078" s="16" t="str">
        <f>VLOOKUP(Projeção[[#This Row],[Código]],BD_Produto[#All],6,FALSE)</f>
        <v>Rapid, HD9, Base preta  (12167305)</v>
      </c>
      <c r="C1078" s="130">
        <v>0</v>
      </c>
      <c r="D1078" s="130">
        <v>0</v>
      </c>
      <c r="E1078" s="130">
        <v>0</v>
      </c>
      <c r="F1078" s="130">
        <v>0</v>
      </c>
      <c r="G1078" s="130">
        <v>0</v>
      </c>
      <c r="H1078" s="130">
        <v>0</v>
      </c>
      <c r="I1078" s="130">
        <v>0</v>
      </c>
      <c r="J1078" s="130">
        <v>0</v>
      </c>
      <c r="K1078" s="130">
        <v>0</v>
      </c>
      <c r="L1078" s="130">
        <v>0</v>
      </c>
      <c r="M1078" s="130">
        <v>0</v>
      </c>
      <c r="N1078" s="130">
        <v>0</v>
      </c>
      <c r="O10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79" spans="1:15" x14ac:dyDescent="0.25">
      <c r="A1079" s="15">
        <v>33060424578</v>
      </c>
      <c r="B1079" s="16" t="str">
        <f>VLOOKUP(Projeção[[#This Row],[Código]],BD_Produto[#All],6,FALSE)</f>
        <v>Rapid, HD9, Bigorna  (175216)</v>
      </c>
      <c r="C1079" s="130">
        <v>0</v>
      </c>
      <c r="D1079" s="130">
        <v>0</v>
      </c>
      <c r="E1079" s="130">
        <v>0</v>
      </c>
      <c r="F1079" s="130">
        <v>0</v>
      </c>
      <c r="G1079" s="130">
        <v>0</v>
      </c>
      <c r="H1079" s="130">
        <v>0</v>
      </c>
      <c r="I1079" s="130">
        <v>0</v>
      </c>
      <c r="J1079" s="130">
        <v>0</v>
      </c>
      <c r="K1079" s="130">
        <v>0</v>
      </c>
      <c r="L1079" s="130">
        <v>0</v>
      </c>
      <c r="M1079" s="130">
        <v>0</v>
      </c>
      <c r="N1079" s="130">
        <v>0</v>
      </c>
      <c r="O10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80" spans="1:15" x14ac:dyDescent="0.25">
      <c r="A1080" s="15">
        <v>33060424580</v>
      </c>
      <c r="B1080" s="16" t="str">
        <f>VLOOKUP(Projeção[[#This Row],[Código]],BD_Produto[#All],6,FALSE)</f>
        <v>Rapid, HD9, Borboleta  (162305)</v>
      </c>
      <c r="C1080" s="130">
        <v>0</v>
      </c>
      <c r="D1080" s="130">
        <v>0</v>
      </c>
      <c r="E1080" s="130">
        <v>0</v>
      </c>
      <c r="F1080" s="130">
        <v>0</v>
      </c>
      <c r="G1080" s="130">
        <v>0</v>
      </c>
      <c r="H1080" s="130">
        <v>0</v>
      </c>
      <c r="I1080" s="130">
        <v>0</v>
      </c>
      <c r="J1080" s="130">
        <v>0</v>
      </c>
      <c r="K1080" s="130">
        <v>0</v>
      </c>
      <c r="L1080" s="130">
        <v>0</v>
      </c>
      <c r="M1080" s="130">
        <v>0</v>
      </c>
      <c r="N1080" s="130">
        <v>0</v>
      </c>
      <c r="O10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81" spans="1:15" x14ac:dyDescent="0.25">
      <c r="A1081" s="15">
        <v>33060424362</v>
      </c>
      <c r="B1081" s="16" t="str">
        <f>VLOOKUP(Projeção[[#This Row],[Código]],BD_Produto[#All],6,FALSE)</f>
        <v xml:space="preserve">Rapid, HD9, Capa (cor gelo) </v>
      </c>
      <c r="C1081" s="130">
        <v>0</v>
      </c>
      <c r="D1081" s="130">
        <v>0</v>
      </c>
      <c r="E1081" s="130">
        <v>0</v>
      </c>
      <c r="F1081" s="130">
        <v>0</v>
      </c>
      <c r="G1081" s="130">
        <v>0</v>
      </c>
      <c r="H1081" s="130">
        <v>0</v>
      </c>
      <c r="I1081" s="130">
        <v>0</v>
      </c>
      <c r="J1081" s="130">
        <v>0</v>
      </c>
      <c r="K1081" s="130">
        <v>0</v>
      </c>
      <c r="L1081" s="130">
        <v>0</v>
      </c>
      <c r="M1081" s="130">
        <v>0</v>
      </c>
      <c r="N1081" s="130">
        <v>0</v>
      </c>
      <c r="O10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82" spans="1:15" ht="15" customHeight="1" x14ac:dyDescent="0.2">
      <c r="A1082" s="15">
        <v>33060464898</v>
      </c>
      <c r="B1082" s="68" t="str">
        <f>VLOOKUP(Projeção[[#This Row],[Código]],BD_Produto[#All],6,FALSE)</f>
        <v>Rapid, HD9, Capa (cor preto) - A9 -31-2</v>
      </c>
      <c r="C1082" s="137"/>
      <c r="D1082" s="137"/>
      <c r="E1082" s="137"/>
      <c r="F1082" s="137"/>
      <c r="G1082" s="137"/>
      <c r="H1082" s="137">
        <v>0</v>
      </c>
      <c r="I1082" s="137">
        <v>0</v>
      </c>
      <c r="J1082" s="137">
        <v>0</v>
      </c>
      <c r="K1082" s="137">
        <v>0</v>
      </c>
      <c r="L1082" s="137">
        <v>0</v>
      </c>
      <c r="M1082" s="137">
        <v>0</v>
      </c>
      <c r="N1082" s="138">
        <v>0</v>
      </c>
      <c r="O1082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83" spans="1:15" x14ac:dyDescent="0.25">
      <c r="A1083" s="15">
        <v>33060424468</v>
      </c>
      <c r="B1083" s="16" t="str">
        <f>VLOOKUP(Projeção[[#This Row],[Código]],BD_Produto[#All],6,FALSE)</f>
        <v>Rapid, HD9, Chapa frontal  (147033)</v>
      </c>
      <c r="C1083" s="130">
        <v>0.6</v>
      </c>
      <c r="D1083" s="130">
        <v>0.6</v>
      </c>
      <c r="E1083" s="130">
        <v>0.6</v>
      </c>
      <c r="F1083" s="130">
        <v>0.6</v>
      </c>
      <c r="G1083" s="130">
        <v>9.9999999999999992E-2</v>
      </c>
      <c r="H1083" s="130">
        <v>0</v>
      </c>
      <c r="I1083" s="130">
        <v>0</v>
      </c>
      <c r="J1083" s="130">
        <v>0</v>
      </c>
      <c r="K1083" s="130">
        <v>0</v>
      </c>
      <c r="L1083" s="130">
        <v>0.33333333333333326</v>
      </c>
      <c r="M1083" s="130">
        <v>2.8000000000000003</v>
      </c>
      <c r="N1083" s="130">
        <v>2.5333333333333332</v>
      </c>
      <c r="O10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0.39999999999999997</v>
      </c>
    </row>
    <row r="1084" spans="1:15" x14ac:dyDescent="0.25">
      <c r="A1084" s="15">
        <v>33060424356</v>
      </c>
      <c r="B1084" s="16" t="str">
        <f>VLOOKUP(Projeção[[#This Row],[Código]],BD_Produto[#All],6,FALSE)</f>
        <v>Rapid, HD9, Encosto do papel  (121699)</v>
      </c>
      <c r="C1084" s="130">
        <v>0</v>
      </c>
      <c r="D1084" s="130">
        <v>0</v>
      </c>
      <c r="E1084" s="130">
        <v>0</v>
      </c>
      <c r="F1084" s="130">
        <v>0</v>
      </c>
      <c r="G1084" s="130">
        <v>0</v>
      </c>
      <c r="H1084" s="130">
        <v>0</v>
      </c>
      <c r="I1084" s="130">
        <v>0</v>
      </c>
      <c r="J1084" s="130">
        <v>0</v>
      </c>
      <c r="K1084" s="130">
        <v>0</v>
      </c>
      <c r="L1084" s="130">
        <v>0</v>
      </c>
      <c r="M1084" s="130">
        <v>0</v>
      </c>
      <c r="N1084" s="130">
        <v>0</v>
      </c>
      <c r="O10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85" spans="1:15" x14ac:dyDescent="0.25">
      <c r="A1085" s="15">
        <v>33060414355</v>
      </c>
      <c r="B1085" s="16" t="str">
        <f>VLOOKUP(Projeção[[#This Row],[Código]],BD_Produto[#All],6,FALSE)</f>
        <v>Rapid, HD9, Lâmina (faca)  (121590)</v>
      </c>
      <c r="C1085" s="130">
        <v>0.36666666666666664</v>
      </c>
      <c r="D1085" s="130">
        <v>2.6333333333333329</v>
      </c>
      <c r="E1085" s="130">
        <v>1.0333333333333332</v>
      </c>
      <c r="F1085" s="130">
        <v>1.0333333333333332</v>
      </c>
      <c r="G1085" s="130">
        <v>9</v>
      </c>
      <c r="H1085" s="130">
        <v>2.8333333333333335</v>
      </c>
      <c r="I1085" s="130">
        <v>2.8333333333333335</v>
      </c>
      <c r="J1085" s="130">
        <v>2.8333333333333335</v>
      </c>
      <c r="K1085" s="130">
        <v>2.8333333333333335</v>
      </c>
      <c r="L1085" s="130">
        <v>2.6333333333333333</v>
      </c>
      <c r="M1085" s="130">
        <v>4.4333333333333336</v>
      </c>
      <c r="N1085" s="130">
        <v>3.166666666666667</v>
      </c>
      <c r="O10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7.4</v>
      </c>
    </row>
    <row r="1086" spans="1:15" x14ac:dyDescent="0.25">
      <c r="A1086" s="15">
        <v>33060424363</v>
      </c>
      <c r="B1086" s="16" t="str">
        <f>VLOOKUP(Projeção[[#This Row],[Código]],BD_Produto[#All],6,FALSE)</f>
        <v>Rapid, HD9, Magazine  (147066)</v>
      </c>
      <c r="C1086" s="130">
        <v>0</v>
      </c>
      <c r="D1086" s="130">
        <v>0</v>
      </c>
      <c r="E1086" s="130">
        <v>0</v>
      </c>
      <c r="F1086" s="130">
        <v>0</v>
      </c>
      <c r="G1086" s="130">
        <v>0</v>
      </c>
      <c r="H1086" s="130">
        <v>0</v>
      </c>
      <c r="I1086" s="130">
        <v>0</v>
      </c>
      <c r="J1086" s="130">
        <v>0</v>
      </c>
      <c r="K1086" s="130">
        <v>0</v>
      </c>
      <c r="L1086" s="130">
        <v>0</v>
      </c>
      <c r="M1086" s="130">
        <v>0</v>
      </c>
      <c r="N1086" s="130">
        <v>0</v>
      </c>
      <c r="O10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87" spans="1:15" x14ac:dyDescent="0.25">
      <c r="A1087" s="15">
        <v>33060424360</v>
      </c>
      <c r="B1087" s="16" t="str">
        <f>VLOOKUP(Projeção[[#This Row],[Código]],BD_Produto[#All],6,FALSE)</f>
        <v>Rapid, HD9, Mancal c/ f. de molas  (121947)</v>
      </c>
      <c r="C1087" s="130">
        <v>0.19999999999999998</v>
      </c>
      <c r="D1087" s="130">
        <v>0.19999999999999998</v>
      </c>
      <c r="E1087" s="130">
        <v>0.19999999999999998</v>
      </c>
      <c r="F1087" s="130">
        <v>0.19999999999999998</v>
      </c>
      <c r="G1087" s="130">
        <v>0.19999999999999998</v>
      </c>
      <c r="H1087" s="130">
        <v>0.19999999999999998</v>
      </c>
      <c r="I1087" s="130">
        <v>0.19999999999999998</v>
      </c>
      <c r="J1087" s="130">
        <v>0.19999999999999998</v>
      </c>
      <c r="K1087" s="130">
        <v>0.19999999999999998</v>
      </c>
      <c r="L1087" s="130">
        <v>0</v>
      </c>
      <c r="M1087" s="130">
        <v>0</v>
      </c>
      <c r="N1087" s="130">
        <v>0</v>
      </c>
      <c r="O10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0.6</v>
      </c>
    </row>
    <row r="1088" spans="1:15" x14ac:dyDescent="0.25">
      <c r="A1088" s="15">
        <v>33060424258</v>
      </c>
      <c r="B1088" s="16" t="str">
        <f>VLOOKUP(Projeção[[#This Row],[Código]],BD_Produto[#All],6,FALSE)</f>
        <v>Rapid, HD9, Mola do pistão  (121798)</v>
      </c>
      <c r="C1088" s="130">
        <v>0.5</v>
      </c>
      <c r="D1088" s="130">
        <v>2.7666666666666662</v>
      </c>
      <c r="E1088" s="130">
        <v>1.1666666666666665</v>
      </c>
      <c r="F1088" s="130">
        <v>1.1666666666666665</v>
      </c>
      <c r="G1088" s="130">
        <v>0.3</v>
      </c>
      <c r="H1088" s="130">
        <v>0.13333333333333333</v>
      </c>
      <c r="I1088" s="130">
        <v>0.13333333333333333</v>
      </c>
      <c r="J1088" s="130">
        <v>0.13333333333333333</v>
      </c>
      <c r="K1088" s="130">
        <v>0.13333333333333333</v>
      </c>
      <c r="L1088" s="130">
        <v>0.13333333333333333</v>
      </c>
      <c r="M1088" s="130">
        <v>0.13333333333333333</v>
      </c>
      <c r="N1088" s="130">
        <v>0.13333333333333333</v>
      </c>
      <c r="O10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1.4000000000000001</v>
      </c>
    </row>
    <row r="1089" spans="1:15" x14ac:dyDescent="0.25">
      <c r="A1089" s="15">
        <v>33060424574</v>
      </c>
      <c r="B1089" s="16" t="str">
        <f>VLOOKUP(Projeção[[#This Row],[Código]],BD_Produto[#All],6,FALSE)</f>
        <v>Rapid, HD9, Parafuso da alavanca  (162388)</v>
      </c>
      <c r="C1089" s="130">
        <v>0</v>
      </c>
      <c r="D1089" s="130">
        <v>0</v>
      </c>
      <c r="E1089" s="130">
        <v>0</v>
      </c>
      <c r="F1089" s="130">
        <v>0</v>
      </c>
      <c r="G1089" s="130">
        <v>0</v>
      </c>
      <c r="H1089" s="130">
        <v>0</v>
      </c>
      <c r="I1089" s="130">
        <v>0</v>
      </c>
      <c r="J1089" s="130">
        <v>0</v>
      </c>
      <c r="K1089" s="130">
        <v>0</v>
      </c>
      <c r="L1089" s="130">
        <v>0</v>
      </c>
      <c r="M1089" s="130">
        <v>0</v>
      </c>
      <c r="N1089" s="130">
        <v>0</v>
      </c>
      <c r="O10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0" spans="1:15" x14ac:dyDescent="0.25">
      <c r="A1090" s="15">
        <v>33060424579</v>
      </c>
      <c r="B1090" s="16" t="str">
        <f>VLOOKUP(Projeção[[#This Row],[Código]],BD_Produto[#All],6,FALSE)</f>
        <v>Rapid, HD9, Parafuso da bigorna  (162362)</v>
      </c>
      <c r="C1090" s="130">
        <v>0</v>
      </c>
      <c r="D1090" s="130">
        <v>0</v>
      </c>
      <c r="E1090" s="130">
        <v>0</v>
      </c>
      <c r="F1090" s="130">
        <v>0</v>
      </c>
      <c r="G1090" s="130">
        <v>0</v>
      </c>
      <c r="H1090" s="130">
        <v>0</v>
      </c>
      <c r="I1090" s="130">
        <v>0</v>
      </c>
      <c r="J1090" s="130">
        <v>0</v>
      </c>
      <c r="K1090" s="130">
        <v>0</v>
      </c>
      <c r="L1090" s="130">
        <v>0</v>
      </c>
      <c r="M1090" s="130">
        <v>0</v>
      </c>
      <c r="N1090" s="130">
        <v>0</v>
      </c>
      <c r="O10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1" spans="1:15" x14ac:dyDescent="0.25">
      <c r="A1091" s="15">
        <v>33060424581</v>
      </c>
      <c r="B1091" s="16" t="str">
        <f>VLOOKUP(Projeção[[#This Row],[Código]],BD_Produto[#All],6,FALSE)</f>
        <v>Rapid, HD9, Parafuso do mancal  (219059)</v>
      </c>
      <c r="C1091" s="130">
        <v>0</v>
      </c>
      <c r="D1091" s="130">
        <v>0</v>
      </c>
      <c r="E1091" s="130">
        <v>0</v>
      </c>
      <c r="F1091" s="130">
        <v>0</v>
      </c>
      <c r="G1091" s="130">
        <v>0</v>
      </c>
      <c r="H1091" s="130">
        <v>0</v>
      </c>
      <c r="I1091" s="130">
        <v>0</v>
      </c>
      <c r="J1091" s="130">
        <v>0</v>
      </c>
      <c r="K1091" s="130">
        <v>0</v>
      </c>
      <c r="L1091" s="130">
        <v>0</v>
      </c>
      <c r="M1091" s="130">
        <v>0</v>
      </c>
      <c r="N1091" s="130">
        <v>0</v>
      </c>
      <c r="O10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2" spans="1:15" x14ac:dyDescent="0.25">
      <c r="A1092" s="15">
        <v>33060424576</v>
      </c>
      <c r="B1092" s="16" t="str">
        <f>VLOOKUP(Projeção[[#This Row],[Código]],BD_Produto[#All],6,FALSE)</f>
        <v xml:space="preserve">Rapid, HD9, Parafuso do pistão  (162412) </v>
      </c>
      <c r="C1092" s="130">
        <v>0</v>
      </c>
      <c r="D1092" s="130">
        <v>0</v>
      </c>
      <c r="E1092" s="130">
        <v>0</v>
      </c>
      <c r="F1092" s="130">
        <v>0</v>
      </c>
      <c r="G1092" s="130">
        <v>0</v>
      </c>
      <c r="H1092" s="130">
        <v>0</v>
      </c>
      <c r="I1092" s="130">
        <v>0</v>
      </c>
      <c r="J1092" s="130">
        <v>0</v>
      </c>
      <c r="K1092" s="130">
        <v>0</v>
      </c>
      <c r="L1092" s="130">
        <v>0</v>
      </c>
      <c r="M1092" s="130">
        <v>0</v>
      </c>
      <c r="N1092" s="130">
        <v>0</v>
      </c>
      <c r="O10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3" spans="1:15" x14ac:dyDescent="0.25">
      <c r="A1093" s="15">
        <v>33060424562</v>
      </c>
      <c r="B1093" s="16" t="str">
        <f>VLOOKUP(Projeção[[#This Row],[Código]],BD_Produto[#All],6,FALSE)</f>
        <v>Rapid, HD9, Pino da carcaça  (121939)</v>
      </c>
      <c r="C1093" s="130">
        <v>0</v>
      </c>
      <c r="D1093" s="130">
        <v>0</v>
      </c>
      <c r="E1093" s="130">
        <v>0</v>
      </c>
      <c r="F1093" s="130">
        <v>0</v>
      </c>
      <c r="G1093" s="130">
        <v>0</v>
      </c>
      <c r="H1093" s="130">
        <v>0</v>
      </c>
      <c r="I1093" s="130">
        <v>0</v>
      </c>
      <c r="J1093" s="130">
        <v>0</v>
      </c>
      <c r="K1093" s="130">
        <v>0</v>
      </c>
      <c r="L1093" s="130">
        <v>0</v>
      </c>
      <c r="M1093" s="130">
        <v>0</v>
      </c>
      <c r="N1093" s="130">
        <v>0</v>
      </c>
      <c r="O10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4" spans="1:15" x14ac:dyDescent="0.25">
      <c r="A1094" s="15">
        <v>33060424561</v>
      </c>
      <c r="B1094" s="16" t="str">
        <f>VLOOKUP(Projeção[[#This Row],[Código]],BD_Produto[#All],6,FALSE)</f>
        <v>Rapid, HD9, Pino do magazine  (121921)</v>
      </c>
      <c r="C1094" s="130">
        <v>0</v>
      </c>
      <c r="D1094" s="130">
        <v>0</v>
      </c>
      <c r="E1094" s="130">
        <v>0</v>
      </c>
      <c r="F1094" s="130">
        <v>0</v>
      </c>
      <c r="G1094" s="130">
        <v>0</v>
      </c>
      <c r="H1094" s="130">
        <v>0</v>
      </c>
      <c r="I1094" s="130">
        <v>0</v>
      </c>
      <c r="J1094" s="130">
        <v>0</v>
      </c>
      <c r="K1094" s="130">
        <v>0</v>
      </c>
      <c r="L1094" s="130">
        <v>0</v>
      </c>
      <c r="M1094" s="130">
        <v>0</v>
      </c>
      <c r="N1094" s="130">
        <v>0</v>
      </c>
      <c r="O10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5" spans="1:15" x14ac:dyDescent="0.25">
      <c r="A1095" s="15">
        <v>33060424257</v>
      </c>
      <c r="B1095" s="16" t="str">
        <f>VLOOKUP(Projeção[[#This Row],[Código]],BD_Produto[#All],6,FALSE)</f>
        <v>Rapid, HD9, Pistão  (147090)</v>
      </c>
      <c r="C1095" s="130">
        <v>0.6</v>
      </c>
      <c r="D1095" s="130">
        <v>0.6</v>
      </c>
      <c r="E1095" s="130">
        <v>0.6</v>
      </c>
      <c r="F1095" s="130">
        <v>0.6</v>
      </c>
      <c r="G1095" s="130">
        <v>9.9999999999999992E-2</v>
      </c>
      <c r="H1095" s="130">
        <v>0</v>
      </c>
      <c r="I1095" s="130">
        <v>0</v>
      </c>
      <c r="J1095" s="130">
        <v>0</v>
      </c>
      <c r="K1095" s="130">
        <v>0</v>
      </c>
      <c r="L1095" s="130">
        <v>0</v>
      </c>
      <c r="M1095" s="130">
        <v>0</v>
      </c>
      <c r="N1095" s="130">
        <v>0</v>
      </c>
      <c r="O10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6" spans="1:15" ht="15" customHeight="1" x14ac:dyDescent="0.25">
      <c r="A1096" s="15">
        <v>33060424575</v>
      </c>
      <c r="B1096" s="16" t="str">
        <f>VLOOKUP(Projeção[[#This Row],[Código]],BD_Produto[#All],6,FALSE)</f>
        <v>Rapid, HD9, Plástico da base  (121806)</v>
      </c>
      <c r="C1096" s="130">
        <v>0</v>
      </c>
      <c r="D1096" s="130">
        <v>0</v>
      </c>
      <c r="E1096" s="130">
        <v>0</v>
      </c>
      <c r="F1096" s="130">
        <v>0</v>
      </c>
      <c r="G1096" s="130">
        <v>0</v>
      </c>
      <c r="H1096" s="130">
        <v>0</v>
      </c>
      <c r="I1096" s="130">
        <v>0</v>
      </c>
      <c r="J1096" s="130">
        <v>0</v>
      </c>
      <c r="K1096" s="130">
        <v>0</v>
      </c>
      <c r="L1096" s="130">
        <v>0</v>
      </c>
      <c r="M1096" s="130">
        <v>0</v>
      </c>
      <c r="N1096" s="130">
        <v>0</v>
      </c>
      <c r="O10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7" spans="1:15" ht="15" customHeight="1" x14ac:dyDescent="0.25">
      <c r="A1097" s="15">
        <v>33060424582</v>
      </c>
      <c r="B1097" s="16" t="str">
        <f>VLOOKUP(Projeção[[#This Row],[Código]],BD_Produto[#All],6,FALSE)</f>
        <v>Rapid, HD9, Plug plástico  (156307)</v>
      </c>
      <c r="C1097" s="130">
        <v>0</v>
      </c>
      <c r="D1097" s="130">
        <v>0</v>
      </c>
      <c r="E1097" s="130">
        <v>0</v>
      </c>
      <c r="F1097" s="130">
        <v>0</v>
      </c>
      <c r="G1097" s="130">
        <v>0</v>
      </c>
      <c r="H1097" s="130">
        <v>0</v>
      </c>
      <c r="I1097" s="130">
        <v>0</v>
      </c>
      <c r="J1097" s="130">
        <v>0</v>
      </c>
      <c r="K1097" s="130">
        <v>0</v>
      </c>
      <c r="L1097" s="130">
        <v>0</v>
      </c>
      <c r="M1097" s="130">
        <v>0</v>
      </c>
      <c r="N1097" s="130">
        <v>0</v>
      </c>
      <c r="O10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8" spans="1:15" ht="15" customHeight="1" x14ac:dyDescent="0.25">
      <c r="A1098" s="15">
        <v>33060454026</v>
      </c>
      <c r="B1098" s="16" t="str">
        <f>VLOOKUP(Projeção[[#This Row],[Código]],BD_Produto[#All],6,FALSE)</f>
        <v>Rapid, HD9, Porta folha de acrílico  (174288)</v>
      </c>
      <c r="C1098" s="130">
        <v>0</v>
      </c>
      <c r="D1098" s="130">
        <v>0</v>
      </c>
      <c r="E1098" s="130">
        <v>0</v>
      </c>
      <c r="F1098" s="130">
        <v>0</v>
      </c>
      <c r="G1098" s="130">
        <v>0</v>
      </c>
      <c r="H1098" s="130">
        <v>0</v>
      </c>
      <c r="I1098" s="130">
        <v>0</v>
      </c>
      <c r="J1098" s="130">
        <v>0</v>
      </c>
      <c r="K1098" s="130">
        <v>0</v>
      </c>
      <c r="L1098" s="130">
        <v>0</v>
      </c>
      <c r="M1098" s="130">
        <v>0</v>
      </c>
      <c r="N1098" s="130">
        <v>0</v>
      </c>
      <c r="O10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099" spans="1:15" ht="15" customHeight="1" x14ac:dyDescent="0.25">
      <c r="A1099" s="15">
        <v>33060424357</v>
      </c>
      <c r="B1099" s="16" t="str">
        <f>VLOOKUP(Projeção[[#This Row],[Código]],BD_Produto[#All],6,FALSE)</f>
        <v xml:space="preserve">Rapid, HD9, Prendedor da vareta </v>
      </c>
      <c r="C1099" s="130">
        <v>0</v>
      </c>
      <c r="D1099" s="130">
        <v>0</v>
      </c>
      <c r="E1099" s="130">
        <v>0</v>
      </c>
      <c r="F1099" s="130">
        <v>0</v>
      </c>
      <c r="G1099" s="130">
        <v>0</v>
      </c>
      <c r="H1099" s="130">
        <v>0</v>
      </c>
      <c r="I1099" s="130">
        <v>0</v>
      </c>
      <c r="J1099" s="130">
        <v>0</v>
      </c>
      <c r="K1099" s="130">
        <v>0</v>
      </c>
      <c r="L1099" s="130">
        <v>0</v>
      </c>
      <c r="M1099" s="130">
        <v>0</v>
      </c>
      <c r="N1099" s="130">
        <v>0</v>
      </c>
      <c r="O10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0" spans="1:15" ht="15" customHeight="1" x14ac:dyDescent="0.25">
      <c r="A1100" s="15">
        <v>33060424372</v>
      </c>
      <c r="B1100" s="16" t="str">
        <f>VLOOKUP(Projeção[[#This Row],[Código]],BD_Produto[#All],6,FALSE)</f>
        <v>Rapid, HD9, Prendedor frontal  (147058)</v>
      </c>
      <c r="C1100" s="130">
        <v>0.83333333333333337</v>
      </c>
      <c r="D1100" s="130">
        <v>3.1</v>
      </c>
      <c r="E1100" s="130">
        <v>1.5</v>
      </c>
      <c r="F1100" s="130">
        <v>1.5</v>
      </c>
      <c r="G1100" s="130">
        <v>0.6333333333333333</v>
      </c>
      <c r="H1100" s="130">
        <v>0.13333333333333333</v>
      </c>
      <c r="I1100" s="130">
        <v>0.13333333333333333</v>
      </c>
      <c r="J1100" s="130">
        <v>0.13333333333333333</v>
      </c>
      <c r="K1100" s="130">
        <v>0.13333333333333333</v>
      </c>
      <c r="L1100" s="130">
        <v>0.13333333333333333</v>
      </c>
      <c r="M1100" s="130">
        <v>0.13333333333333333</v>
      </c>
      <c r="N1100" s="130">
        <v>0.13333333333333333</v>
      </c>
      <c r="O11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1" spans="1:15" ht="15" customHeight="1" x14ac:dyDescent="0.25">
      <c r="A1101" s="15">
        <v>33060424563</v>
      </c>
      <c r="B1101" s="16" t="str">
        <f>VLOOKUP(Projeção[[#This Row],[Código]],BD_Produto[#All],6,FALSE)</f>
        <v>Rapid, HD9, Presilha  (155432)</v>
      </c>
      <c r="C1101" s="130">
        <v>0</v>
      </c>
      <c r="D1101" s="130">
        <v>0</v>
      </c>
      <c r="E1101" s="130">
        <v>0</v>
      </c>
      <c r="F1101" s="130">
        <v>0</v>
      </c>
      <c r="G1101" s="130">
        <v>0</v>
      </c>
      <c r="H1101" s="130">
        <v>0</v>
      </c>
      <c r="I1101" s="130">
        <v>0</v>
      </c>
      <c r="J1101" s="130">
        <v>0</v>
      </c>
      <c r="K1101" s="130">
        <v>0</v>
      </c>
      <c r="L1101" s="130">
        <v>0</v>
      </c>
      <c r="M1101" s="130">
        <v>0</v>
      </c>
      <c r="N1101" s="130">
        <v>0</v>
      </c>
      <c r="O11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2" spans="1:15" ht="15" customHeight="1" x14ac:dyDescent="0.25">
      <c r="A1102" s="15">
        <v>33060424585</v>
      </c>
      <c r="B1102" s="16" t="str">
        <f>VLOOKUP(Projeção[[#This Row],[Código]],BD_Produto[#All],6,FALSE)</f>
        <v xml:space="preserve">Rapid, HD9, Rebite da capa traseira </v>
      </c>
      <c r="C1102" s="130">
        <v>0</v>
      </c>
      <c r="D1102" s="130">
        <v>0</v>
      </c>
      <c r="E1102" s="130">
        <v>0</v>
      </c>
      <c r="F1102" s="130">
        <v>0</v>
      </c>
      <c r="G1102" s="130">
        <v>0</v>
      </c>
      <c r="H1102" s="130">
        <v>0</v>
      </c>
      <c r="I1102" s="130">
        <v>0</v>
      </c>
      <c r="J1102" s="130">
        <v>0</v>
      </c>
      <c r="K1102" s="130">
        <v>0</v>
      </c>
      <c r="L1102" s="130">
        <v>0</v>
      </c>
      <c r="M1102" s="130">
        <v>0</v>
      </c>
      <c r="N1102" s="130">
        <v>0</v>
      </c>
      <c r="O11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3" spans="1:15" x14ac:dyDescent="0.25">
      <c r="A1103" s="15">
        <v>33060424583</v>
      </c>
      <c r="B1103" s="16" t="str">
        <f>VLOOKUP(Projeção[[#This Row],[Código]],BD_Produto[#All],6,FALSE)</f>
        <v xml:space="preserve">Rapid, HD9, Rebite do mancal </v>
      </c>
      <c r="C1103" s="130">
        <v>0</v>
      </c>
      <c r="D1103" s="130">
        <v>0</v>
      </c>
      <c r="E1103" s="130">
        <v>0</v>
      </c>
      <c r="F1103" s="130">
        <v>0</v>
      </c>
      <c r="G1103" s="130">
        <v>0</v>
      </c>
      <c r="H1103" s="130">
        <v>0</v>
      </c>
      <c r="I1103" s="130">
        <v>0</v>
      </c>
      <c r="J1103" s="130">
        <v>0</v>
      </c>
      <c r="K1103" s="130">
        <v>0</v>
      </c>
      <c r="L1103" s="130">
        <v>0</v>
      </c>
      <c r="M1103" s="130">
        <v>0</v>
      </c>
      <c r="N1103" s="130">
        <v>0</v>
      </c>
      <c r="O11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4" spans="1:15" x14ac:dyDescent="0.25">
      <c r="A1104" s="15">
        <v>33060424358</v>
      </c>
      <c r="B1104" s="16" t="str">
        <f>VLOOKUP(Projeção[[#This Row],[Código]],BD_Produto[#All],6,FALSE)</f>
        <v>Rapid, HD9, Vareta de limpeza  (121723)</v>
      </c>
      <c r="C1104" s="130">
        <v>0</v>
      </c>
      <c r="D1104" s="130">
        <v>0</v>
      </c>
      <c r="E1104" s="130">
        <v>0</v>
      </c>
      <c r="F1104" s="130">
        <v>0</v>
      </c>
      <c r="G1104" s="130">
        <v>0</v>
      </c>
      <c r="H1104" s="130">
        <v>0</v>
      </c>
      <c r="I1104" s="130">
        <v>0</v>
      </c>
      <c r="J1104" s="130">
        <v>0</v>
      </c>
      <c r="K1104" s="130">
        <v>0</v>
      </c>
      <c r="L1104" s="130">
        <v>0</v>
      </c>
      <c r="M1104" s="130">
        <v>0</v>
      </c>
      <c r="N1104" s="130">
        <v>0</v>
      </c>
      <c r="O11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5" spans="1:15" x14ac:dyDescent="0.25">
      <c r="A1105" s="15">
        <v>33060714942</v>
      </c>
      <c r="B1105" s="16" t="str">
        <f>VLOOKUP(Projeção[[#This Row],[Código]],BD_Produto[#All],6,FALSE)</f>
        <v>RAPID, PERFURADOR DE MESA SOON HP12 (CAIXA) - PN:</v>
      </c>
      <c r="C1105" s="130">
        <v>1.6333333333333331</v>
      </c>
      <c r="D1105" s="130">
        <v>1.6333333333333331</v>
      </c>
      <c r="E1105" s="130">
        <v>0.79999999999999993</v>
      </c>
      <c r="F1105" s="130">
        <v>0.79999999999999993</v>
      </c>
      <c r="G1105" s="130">
        <v>0</v>
      </c>
      <c r="H1105" s="130">
        <v>0</v>
      </c>
      <c r="I1105" s="130">
        <v>0</v>
      </c>
      <c r="J1105" s="130">
        <v>0</v>
      </c>
      <c r="K1105" s="130">
        <v>0</v>
      </c>
      <c r="L1105" s="130">
        <v>0</v>
      </c>
      <c r="M1105" s="130">
        <v>0</v>
      </c>
      <c r="N1105" s="130">
        <v>0</v>
      </c>
      <c r="O11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6" spans="1:15" x14ac:dyDescent="0.25">
      <c r="A1106" s="15">
        <v>33060754032</v>
      </c>
      <c r="B1106" s="16" t="str">
        <f>VLOOKUP(Projeção[[#This Row],[Código]],BD_Produto[#All],6,FALSE)</f>
        <v>RAPID, PERFURADOR DE MESA SOON HP12 (EMBLISTER) - PN:22687000</v>
      </c>
      <c r="C1106" s="130">
        <v>55.166666666666664</v>
      </c>
      <c r="D1106" s="130">
        <v>38.43333333333333</v>
      </c>
      <c r="E1106" s="130">
        <v>34.633333333333333</v>
      </c>
      <c r="F1106" s="130">
        <v>26.366666666666671</v>
      </c>
      <c r="G1106" s="130">
        <v>26.93333333333333</v>
      </c>
      <c r="H1106" s="130">
        <v>24.266666666666669</v>
      </c>
      <c r="I1106" s="130">
        <v>24.233333333333334</v>
      </c>
      <c r="J1106" s="130">
        <v>25.866666666666667</v>
      </c>
      <c r="K1106" s="130">
        <v>7.7</v>
      </c>
      <c r="L1106" s="130">
        <v>12.833333333333334</v>
      </c>
      <c r="M1106" s="130">
        <v>17.166666666666664</v>
      </c>
      <c r="N1106" s="130">
        <v>16.733333333333334</v>
      </c>
      <c r="O11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13.9</v>
      </c>
    </row>
    <row r="1107" spans="1:15" x14ac:dyDescent="0.25">
      <c r="A1107" s="15">
        <v>33060761825</v>
      </c>
      <c r="B1107" s="16" t="str">
        <f>VLOOKUP(Projeção[[#This Row],[Código]],BD_Produto[#All],6,FALSE)</f>
        <v>RAPID, PERFURADOR ECO HP20 - PN:24845300</v>
      </c>
      <c r="C1107" s="130">
        <v>8.0666666666666664</v>
      </c>
      <c r="D1107" s="130">
        <v>2.6999999999999997</v>
      </c>
      <c r="E1107" s="130">
        <v>2.6999999999999997</v>
      </c>
      <c r="F1107" s="130">
        <v>1.3666666666666665</v>
      </c>
      <c r="G1107" s="130">
        <v>1.3666666666666665</v>
      </c>
      <c r="H1107" s="130">
        <v>0.96666666666666656</v>
      </c>
      <c r="I1107" s="130">
        <v>0.96666666666666656</v>
      </c>
      <c r="J1107" s="130">
        <v>0.83333333333333337</v>
      </c>
      <c r="K1107" s="130">
        <v>0.96666666666666656</v>
      </c>
      <c r="L1107" s="130">
        <v>1.5</v>
      </c>
      <c r="M1107" s="130">
        <v>2.0666666666666664</v>
      </c>
      <c r="N1107" s="130">
        <v>1.7333333333333332</v>
      </c>
      <c r="O11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3.566666666666666</v>
      </c>
    </row>
    <row r="1108" spans="1:15" x14ac:dyDescent="0.25">
      <c r="A1108" s="15">
        <v>33060714916</v>
      </c>
      <c r="B1108" s="16" t="str">
        <f>VLOOKUP(Projeção[[#This Row],[Código]],BD_Produto[#All],6,FALSE)</f>
        <v>RAPID, PERFURADOR FMC10 - PN:21835302</v>
      </c>
      <c r="C1108" s="130">
        <v>0.6</v>
      </c>
      <c r="D1108" s="130">
        <v>0.56666666666666665</v>
      </c>
      <c r="E1108" s="130">
        <v>0.56666666666666665</v>
      </c>
      <c r="F1108" s="130">
        <v>0.56666666666666665</v>
      </c>
      <c r="G1108" s="130">
        <v>0.56666666666666665</v>
      </c>
      <c r="H1108" s="130">
        <v>0.56666666666666665</v>
      </c>
      <c r="I1108" s="130">
        <v>0.56666666666666665</v>
      </c>
      <c r="J1108" s="130">
        <v>0.53333333333333333</v>
      </c>
      <c r="K1108" s="130">
        <v>3.3333333333333333E-2</v>
      </c>
      <c r="L1108" s="130">
        <v>0</v>
      </c>
      <c r="M1108" s="130">
        <v>0</v>
      </c>
      <c r="N1108" s="130">
        <v>0</v>
      </c>
      <c r="O11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09" spans="1:15" x14ac:dyDescent="0.25">
      <c r="A1109" s="15">
        <v>33060714917</v>
      </c>
      <c r="B1109" s="16" t="str">
        <f>VLOOKUP(Projeção[[#This Row],[Código]],BD_Produto[#All],6,FALSE)</f>
        <v>RAPID, PERFURADOR FMC20 - PN:21835402</v>
      </c>
      <c r="C1109" s="130">
        <v>9.2999999999999989</v>
      </c>
      <c r="D1109" s="130">
        <v>9.1</v>
      </c>
      <c r="E1109" s="130">
        <v>3.3333333333333333E-2</v>
      </c>
      <c r="F1109" s="130">
        <v>3.3333333333333333E-2</v>
      </c>
      <c r="G1109" s="130">
        <v>0</v>
      </c>
      <c r="H1109" s="130">
        <v>0</v>
      </c>
      <c r="I1109" s="130">
        <v>0</v>
      </c>
      <c r="J1109" s="130">
        <v>0</v>
      </c>
      <c r="K1109" s="130">
        <v>0</v>
      </c>
      <c r="L1109" s="130">
        <v>0</v>
      </c>
      <c r="M1109" s="130">
        <v>0</v>
      </c>
      <c r="N1109" s="130">
        <v>0</v>
      </c>
      <c r="O11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10" spans="1:15" x14ac:dyDescent="0.25">
      <c r="A1110" s="15">
        <v>33060714919</v>
      </c>
      <c r="B1110" s="16" t="str">
        <f>VLOOKUP(Projeção[[#This Row],[Código]],BD_Produto[#All],6,FALSE)</f>
        <v>RAPID, PERFURADOR FMC40 - PN:21835602</v>
      </c>
      <c r="C1110" s="130">
        <v>20.7</v>
      </c>
      <c r="D1110" s="130">
        <v>13.466666666666665</v>
      </c>
      <c r="E1110" s="130">
        <v>10.166666666666668</v>
      </c>
      <c r="F1110" s="130">
        <v>9.5</v>
      </c>
      <c r="G1110" s="130">
        <v>12</v>
      </c>
      <c r="H1110" s="130">
        <v>9.6666666666666661</v>
      </c>
      <c r="I1110" s="130">
        <v>9.6666666666666661</v>
      </c>
      <c r="J1110" s="130">
        <v>42.033333333333331</v>
      </c>
      <c r="K1110" s="130">
        <v>7.1000000000000005</v>
      </c>
      <c r="L1110" s="130">
        <v>41.9</v>
      </c>
      <c r="M1110" s="130">
        <v>31.766666666666669</v>
      </c>
      <c r="N1110" s="130">
        <v>125.03333333333335</v>
      </c>
      <c r="O11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15.499999999999998</v>
      </c>
    </row>
    <row r="1111" spans="1:15" x14ac:dyDescent="0.25">
      <c r="A1111" s="15">
        <v>33060761591</v>
      </c>
      <c r="B1111" s="16" t="str">
        <f>VLOOKUP(Projeção[[#This Row],[Código]],BD_Produto[#All],6,FALSE)</f>
        <v>RAPID, PERFURADOR HDC150 - PN:23000600</v>
      </c>
      <c r="C1111" s="130">
        <v>10.733333333333333</v>
      </c>
      <c r="D1111" s="130">
        <v>10.199999999999999</v>
      </c>
      <c r="E1111" s="130">
        <v>2.7333333333333329</v>
      </c>
      <c r="F1111" s="130">
        <v>1.9333333333333331</v>
      </c>
      <c r="G1111" s="130">
        <v>1.9333333333333331</v>
      </c>
      <c r="H1111" s="130">
        <v>1.9333333333333331</v>
      </c>
      <c r="I1111" s="130">
        <v>1.9333333333333331</v>
      </c>
      <c r="J1111" s="130">
        <v>2.1</v>
      </c>
      <c r="K1111" s="130">
        <v>1.9333333333333331</v>
      </c>
      <c r="L1111" s="130">
        <v>2.2666666666666666</v>
      </c>
      <c r="M1111" s="130">
        <v>16.033333333333331</v>
      </c>
      <c r="N1111" s="130">
        <v>30</v>
      </c>
      <c r="O11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4.0333333333333332</v>
      </c>
    </row>
    <row r="1112" spans="1:15" x14ac:dyDescent="0.25">
      <c r="A1112" s="15">
        <v>33060763223</v>
      </c>
      <c r="B1112" s="16" t="str">
        <f>VLOOKUP(Projeção[[#This Row],[Código]],BD_Produto[#All],6,FALSE)</f>
        <v>RAPID, PERFURADOR HP20 PRETO - PN:5000196</v>
      </c>
      <c r="C1112" s="130">
        <v>35.766666666666666</v>
      </c>
      <c r="D1112" s="130">
        <v>23.833333333333332</v>
      </c>
      <c r="E1112" s="130">
        <v>17.93333333333333</v>
      </c>
      <c r="F1112" s="130">
        <v>18.466666666666669</v>
      </c>
      <c r="G1112" s="130">
        <v>11.933333333333334</v>
      </c>
      <c r="H1112" s="130">
        <v>18.766666666666666</v>
      </c>
      <c r="I1112" s="130">
        <v>18.766666666666666</v>
      </c>
      <c r="J1112" s="130">
        <v>20.2</v>
      </c>
      <c r="K1112" s="130">
        <v>18.766666666666666</v>
      </c>
      <c r="L1112" s="130">
        <v>31.133333333333329</v>
      </c>
      <c r="M1112" s="130">
        <v>56.266666666666673</v>
      </c>
      <c r="N1112" s="130">
        <v>44.866666666666667</v>
      </c>
      <c r="O11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30.099999999999998</v>
      </c>
    </row>
    <row r="1113" spans="1:15" x14ac:dyDescent="0.25">
      <c r="A1113" s="15">
        <v>33060763224</v>
      </c>
      <c r="B1113" s="16" t="str">
        <f>VLOOKUP(Projeção[[#This Row],[Código]],BD_Produto[#All],6,FALSE)</f>
        <v>RAPID, PERFURADOR HP30 PRETO - PN:5000189</v>
      </c>
      <c r="C1113" s="130">
        <v>35.133333333333326</v>
      </c>
      <c r="D1113" s="130">
        <v>16.3</v>
      </c>
      <c r="E1113" s="130">
        <v>13.5</v>
      </c>
      <c r="F1113" s="130">
        <v>6.3</v>
      </c>
      <c r="G1113" s="130">
        <v>5.6333333333333337</v>
      </c>
      <c r="H1113" s="130">
        <v>8.4333333333333336</v>
      </c>
      <c r="I1113" s="130">
        <v>8.4333333333333336</v>
      </c>
      <c r="J1113" s="130">
        <v>10.433333333333334</v>
      </c>
      <c r="K1113" s="130">
        <v>8.4333333333333336</v>
      </c>
      <c r="L1113" s="130">
        <v>13.666666666666664</v>
      </c>
      <c r="M1113" s="130">
        <v>21.933333333333334</v>
      </c>
      <c r="N1113" s="130">
        <v>21.133333333333333</v>
      </c>
      <c r="O11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38.1</v>
      </c>
    </row>
    <row r="1114" spans="1:15" x14ac:dyDescent="0.25">
      <c r="A1114" s="15">
        <v>33060763225</v>
      </c>
      <c r="B1114" s="16" t="str">
        <f>VLOOKUP(Projeção[[#This Row],[Código]],BD_Produto[#All],6,FALSE)</f>
        <v>RAPID, PERFURADOR HP40 PRETO - PN:5000190</v>
      </c>
      <c r="C1114" s="130">
        <v>269</v>
      </c>
      <c r="D1114" s="130">
        <v>84.933333333333323</v>
      </c>
      <c r="E1114" s="130">
        <v>80.266666666666666</v>
      </c>
      <c r="F1114" s="130">
        <v>21.033333333333328</v>
      </c>
      <c r="G1114" s="130">
        <v>19.166666666666664</v>
      </c>
      <c r="H1114" s="130">
        <v>25.833333333333329</v>
      </c>
      <c r="I1114" s="130">
        <v>25.833333333333329</v>
      </c>
      <c r="J1114" s="130">
        <v>26.2</v>
      </c>
      <c r="K1114" s="130">
        <v>25.833333333333329</v>
      </c>
      <c r="L1114" s="130">
        <v>29.633333333333329</v>
      </c>
      <c r="M1114" s="130">
        <v>41.266666666666659</v>
      </c>
      <c r="N1114" s="130">
        <v>36.466666666666661</v>
      </c>
      <c r="O11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5.1999999999999993</v>
      </c>
    </row>
    <row r="1115" spans="1:15" x14ac:dyDescent="0.25">
      <c r="A1115" s="15">
        <v>33060761115</v>
      </c>
      <c r="B1115" s="16" t="str">
        <f>VLOOKUP(Projeção[[#This Row],[Código]],BD_Produto[#All],6,FALSE)</f>
        <v>RAPID, PERFURADOR SP30 PRETO - PN:24127301</v>
      </c>
      <c r="C1115" s="130">
        <v>12.133333333333333</v>
      </c>
      <c r="D1115" s="130">
        <v>3.8</v>
      </c>
      <c r="E1115" s="130">
        <v>3.7</v>
      </c>
      <c r="F1115" s="130">
        <v>1.0333333333333334</v>
      </c>
      <c r="G1115" s="130">
        <v>0.86666666666666659</v>
      </c>
      <c r="H1115" s="130">
        <v>0.76666666666666672</v>
      </c>
      <c r="I1115" s="130">
        <v>0.76666666666666672</v>
      </c>
      <c r="J1115" s="130">
        <v>1.0999999999999999</v>
      </c>
      <c r="K1115" s="130">
        <v>0.76666666666666672</v>
      </c>
      <c r="L1115" s="130">
        <v>1.0999999999999999</v>
      </c>
      <c r="M1115" s="130">
        <v>0.93333333333333335</v>
      </c>
      <c r="N1115" s="130">
        <v>0.86666666666666659</v>
      </c>
      <c r="O11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1116" spans="1:15" x14ac:dyDescent="0.25">
      <c r="A1116" s="15">
        <v>33070514765</v>
      </c>
      <c r="B1116" s="16" t="str">
        <f>VLOOKUP(Projeção[[#This Row],[Código]],BD_Produto[#All],6,FALSE)</f>
        <v>RAPID, PREGO 300/16 - COM 880 PREGOS - PN:</v>
      </c>
      <c r="C1116" s="130">
        <v>8.5666666666666664</v>
      </c>
      <c r="D1116" s="130">
        <v>1.9</v>
      </c>
      <c r="E1116" s="130">
        <v>1.9</v>
      </c>
      <c r="F1116" s="130">
        <v>1.9</v>
      </c>
      <c r="G1116" s="130">
        <v>1.9</v>
      </c>
      <c r="H1116" s="130">
        <v>1.6666666666666667</v>
      </c>
      <c r="I1116" s="130">
        <v>1.6666666666666667</v>
      </c>
      <c r="J1116" s="130">
        <v>1.6666666666666667</v>
      </c>
      <c r="K1116" s="130">
        <v>1.6666666666666667</v>
      </c>
      <c r="L1116" s="130">
        <v>2.1666666666666665</v>
      </c>
      <c r="M1116" s="130">
        <v>2.3666666666666667</v>
      </c>
      <c r="N1116" s="130">
        <v>0.70000000000000007</v>
      </c>
      <c r="O11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0.26666666666666666</v>
      </c>
    </row>
    <row r="1117" spans="1:15" x14ac:dyDescent="0.25">
      <c r="A1117" s="15">
        <v>33060464982</v>
      </c>
      <c r="B1117" s="16" t="str">
        <f>VLOOKUP(Projeção[[#This Row],[Código]],BD_Produto[#All],6,FALSE)</f>
        <v>Rapid,105,106,Mola de Pistão ( 120907 )</v>
      </c>
      <c r="C1117" s="130">
        <v>0</v>
      </c>
      <c r="D1117" s="130">
        <v>0</v>
      </c>
      <c r="E1117" s="130">
        <v>0</v>
      </c>
      <c r="F1117" s="130">
        <v>0</v>
      </c>
      <c r="G1117" s="130">
        <v>0</v>
      </c>
      <c r="H1117" s="130">
        <v>0</v>
      </c>
      <c r="I1117" s="130">
        <v>0</v>
      </c>
      <c r="J1117" s="130">
        <v>0</v>
      </c>
      <c r="K1117" s="130">
        <v>0</v>
      </c>
      <c r="L1117" s="130">
        <v>0</v>
      </c>
      <c r="M1117" s="130">
        <v>0</v>
      </c>
      <c r="N1117" s="130">
        <v>0</v>
      </c>
      <c r="O11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18" spans="1:15" x14ac:dyDescent="0.25">
      <c r="A1118" s="15">
        <v>33062364497</v>
      </c>
      <c r="B1118" s="16" t="str">
        <f>VLOOKUP(Projeção[[#This Row],[Código]],BD_Produto[#All],6,FALSE)</f>
        <v>Refiladora Fellowes ATOM A3 - Rotativa - PN:5410701</v>
      </c>
      <c r="C1118" s="130">
        <v>0</v>
      </c>
      <c r="D1118" s="130">
        <v>0</v>
      </c>
      <c r="E1118" s="130">
        <v>0.56666666666666654</v>
      </c>
      <c r="F1118" s="130">
        <v>0.16666666666666663</v>
      </c>
      <c r="G1118" s="130">
        <v>0.16666666666666663</v>
      </c>
      <c r="H1118" s="130">
        <v>3.3333333333333333E-2</v>
      </c>
      <c r="I1118" s="130">
        <v>3.3333333333333333E-2</v>
      </c>
      <c r="J1118" s="130">
        <v>3.3333333333333333E-2</v>
      </c>
      <c r="K1118" s="130">
        <v>3.3333333333333333E-2</v>
      </c>
      <c r="L1118" s="130">
        <v>3.3333333333333333E-2</v>
      </c>
      <c r="M1118" s="130">
        <v>3.3333333333333333E-2</v>
      </c>
      <c r="N1118" s="130">
        <v>3.3333333333333333E-2</v>
      </c>
      <c r="O11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19" spans="1:15" x14ac:dyDescent="0.25">
      <c r="A1119" s="15">
        <v>33062364496</v>
      </c>
      <c r="B1119" s="16" t="str">
        <f>VLOOKUP(Projeção[[#This Row],[Código]],BD_Produto[#All],6,FALSE)</f>
        <v>Refiladora Fellowes ATOM A4 - Rotativa - PN:5410601</v>
      </c>
      <c r="C1119" s="130">
        <v>0</v>
      </c>
      <c r="D1119" s="130">
        <v>0.56666666666666654</v>
      </c>
      <c r="E1119" s="130">
        <v>0.16666666666666663</v>
      </c>
      <c r="F1119" s="130">
        <v>0.16666666666666663</v>
      </c>
      <c r="G1119" s="130">
        <v>3.3333333333333333E-2</v>
      </c>
      <c r="H1119" s="130">
        <v>0.19999999999999998</v>
      </c>
      <c r="I1119" s="130">
        <v>0.19999999999999998</v>
      </c>
      <c r="J1119" s="130">
        <v>0.19999999999999998</v>
      </c>
      <c r="K1119" s="130">
        <v>0.19999999999999998</v>
      </c>
      <c r="L1119" s="130">
        <v>6.6666666666666666E-2</v>
      </c>
      <c r="M1119" s="130">
        <v>0.13333333333333333</v>
      </c>
      <c r="N1119" s="130">
        <v>0.59999999999999987</v>
      </c>
      <c r="O11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0.3</v>
      </c>
    </row>
    <row r="1120" spans="1:15" x14ac:dyDescent="0.25">
      <c r="A1120" s="15">
        <v>33062362839</v>
      </c>
      <c r="B1120" s="16" t="str">
        <f>VLOOKUP(Projeção[[#This Row],[Código]],BD_Produto[#All],6,FALSE)</f>
        <v>Refiladora Fellowes ELECTRON A3 - Rotativa - PN:5410501</v>
      </c>
      <c r="C1120" s="130">
        <v>8.5666666666666664</v>
      </c>
      <c r="D1120" s="130">
        <v>9.0666666666666664</v>
      </c>
      <c r="E1120" s="130">
        <v>4.9333333333333336</v>
      </c>
      <c r="F1120" s="130">
        <v>3.1999999999999997</v>
      </c>
      <c r="G1120" s="130">
        <v>6.1666666666666661</v>
      </c>
      <c r="H1120" s="130">
        <v>2.7333333333333338</v>
      </c>
      <c r="I1120" s="130">
        <v>2.0333333333333332</v>
      </c>
      <c r="J1120" s="130">
        <v>2.4</v>
      </c>
      <c r="K1120" s="130">
        <v>2.7333333333333338</v>
      </c>
      <c r="L1120" s="130">
        <v>1.2666666666666666</v>
      </c>
      <c r="M1120" s="130">
        <v>2.333333333333333</v>
      </c>
      <c r="N1120" s="130">
        <v>1.7666666666666664</v>
      </c>
      <c r="O11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1.7666666666666668</v>
      </c>
    </row>
    <row r="1121" spans="1:15" x14ac:dyDescent="0.25">
      <c r="A1121" s="15">
        <v>33062362838</v>
      </c>
      <c r="B1121" s="16" t="str">
        <f>VLOOKUP(Projeção[[#This Row],[Código]],BD_Produto[#All],6,FALSE)</f>
        <v>Refiladora Fellowes ELECTRON A4- Rotativa - PN:5410401</v>
      </c>
      <c r="C1121" s="130">
        <v>2.9</v>
      </c>
      <c r="D1121" s="130">
        <v>4.3999999999999995</v>
      </c>
      <c r="E1121" s="130">
        <v>2.2666666666666662</v>
      </c>
      <c r="F1121" s="130">
        <v>1.833333333333333</v>
      </c>
      <c r="G1121" s="130">
        <v>3.8</v>
      </c>
      <c r="H1121" s="130">
        <v>2.2333333333333329</v>
      </c>
      <c r="I1121" s="130">
        <v>2.1999999999999997</v>
      </c>
      <c r="J1121" s="130">
        <v>2.2333333333333334</v>
      </c>
      <c r="K1121" s="130">
        <v>2.2333333333333329</v>
      </c>
      <c r="L1121" s="130">
        <v>0.83333333333333337</v>
      </c>
      <c r="M1121" s="130">
        <v>1.7</v>
      </c>
      <c r="N1121" s="130">
        <v>1.333333333333333</v>
      </c>
      <c r="O11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1.2</v>
      </c>
    </row>
    <row r="1122" spans="1:15" x14ac:dyDescent="0.25">
      <c r="A1122" s="15">
        <v>33062364498</v>
      </c>
      <c r="B1122" s="16" t="str">
        <f>VLOOKUP(Projeção[[#This Row],[Código]],BD_Produto[#All],6,FALSE)</f>
        <v>Refiladora Fellowes NEUTRINO A5 - PN:5412701</v>
      </c>
      <c r="C1122" s="130">
        <v>7.1333333333333346</v>
      </c>
      <c r="D1122" s="130">
        <v>10.799999999999999</v>
      </c>
      <c r="E1122" s="130">
        <v>4.3999999999999995</v>
      </c>
      <c r="F1122" s="130">
        <v>13.766666666666667</v>
      </c>
      <c r="G1122" s="130">
        <v>11.466666666666667</v>
      </c>
      <c r="H1122" s="130">
        <v>6.6333333333333329</v>
      </c>
      <c r="I1122" s="130">
        <v>4.8</v>
      </c>
      <c r="J1122" s="130">
        <v>4.2333333333333334</v>
      </c>
      <c r="K1122" s="130">
        <v>6.6333333333333329</v>
      </c>
      <c r="L1122" s="130">
        <v>2.333333333333333</v>
      </c>
      <c r="M1122" s="130">
        <v>2.8000000000000003</v>
      </c>
      <c r="N1122" s="130">
        <v>2.0666666666666669</v>
      </c>
      <c r="O11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</v>
      </c>
    </row>
    <row r="1123" spans="1:15" x14ac:dyDescent="0.25">
      <c r="A1123" s="15">
        <v>33062364495</v>
      </c>
      <c r="B1123" s="16" t="str">
        <f>VLOOKUP(Projeção[[#This Row],[Código]],BD_Produto[#All],6,FALSE)</f>
        <v>Refiladora Fellowes NEUTRON A4/12 - Rotativa - PN:5410001</v>
      </c>
      <c r="C1123" s="130">
        <v>0</v>
      </c>
      <c r="D1123" s="130">
        <v>0</v>
      </c>
      <c r="E1123" s="130">
        <v>0</v>
      </c>
      <c r="F1123" s="130">
        <v>0</v>
      </c>
      <c r="G1123" s="130">
        <v>0</v>
      </c>
      <c r="H1123" s="130">
        <v>0</v>
      </c>
      <c r="I1123" s="130">
        <v>0</v>
      </c>
      <c r="J1123" s="130">
        <v>0</v>
      </c>
      <c r="K1123" s="130">
        <v>0</v>
      </c>
      <c r="L1123" s="130">
        <v>0</v>
      </c>
      <c r="M1123" s="130">
        <v>0</v>
      </c>
      <c r="N1123" s="130">
        <v>0</v>
      </c>
      <c r="O11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24" spans="1:15" x14ac:dyDescent="0.25">
      <c r="A1124" s="15">
        <v>33062362837</v>
      </c>
      <c r="B1124" s="16" t="str">
        <f>VLOOKUP(Projeção[[#This Row],[Código]],BD_Produto[#All],6,FALSE)</f>
        <v>Refiladora Fellowes NEUTRON PLUS A4- Rotativa - PN:5410101</v>
      </c>
      <c r="C1124" s="130">
        <v>2.6999999999999997</v>
      </c>
      <c r="D1124" s="130">
        <v>1.5666666666666667</v>
      </c>
      <c r="E1124" s="130">
        <v>1.5999999999999999</v>
      </c>
      <c r="F1124" s="130">
        <v>1.5</v>
      </c>
      <c r="G1124" s="130">
        <v>0.93333333333333335</v>
      </c>
      <c r="H1124" s="130">
        <v>0.73333333333333328</v>
      </c>
      <c r="I1124" s="130">
        <v>0.70000000000000007</v>
      </c>
      <c r="J1124" s="130">
        <v>0.39999999999999997</v>
      </c>
      <c r="K1124" s="130">
        <v>0.73333333333333328</v>
      </c>
      <c r="L1124" s="130">
        <v>0.66666666666666652</v>
      </c>
      <c r="M1124" s="130">
        <v>0.79999999999999993</v>
      </c>
      <c r="N1124" s="130">
        <v>0.73333333333333339</v>
      </c>
      <c r="O11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2.5</v>
      </c>
    </row>
    <row r="1125" spans="1:15" x14ac:dyDescent="0.25">
      <c r="A1125" s="15">
        <v>32060144116</v>
      </c>
      <c r="B1125" s="16" t="str">
        <f>VLOOKUP(Projeção[[#This Row],[Código]],BD_Produto[#All],6,FALSE)</f>
        <v>Rexel, GRAMPEADOR DE MESA REXEL MATADOR - PN:</v>
      </c>
      <c r="C1125" s="130">
        <v>0.79999999999999993</v>
      </c>
      <c r="D1125" s="130">
        <v>0.79999999999999993</v>
      </c>
      <c r="E1125" s="130">
        <v>0.79999999999999993</v>
      </c>
      <c r="F1125" s="130">
        <v>7.6</v>
      </c>
      <c r="G1125" s="130">
        <v>2.8000000000000003</v>
      </c>
      <c r="H1125" s="130">
        <v>2.8000000000000003</v>
      </c>
      <c r="I1125" s="130">
        <v>2.8000000000000003</v>
      </c>
      <c r="J1125" s="130">
        <v>3.7</v>
      </c>
      <c r="K1125" s="130">
        <v>2.8000000000000003</v>
      </c>
      <c r="L1125" s="130">
        <v>2.9</v>
      </c>
      <c r="M1125" s="130">
        <v>1.9</v>
      </c>
      <c r="N1125" s="130">
        <v>1.9</v>
      </c>
      <c r="O11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26" spans="1:15" x14ac:dyDescent="0.25">
      <c r="A1126" s="15">
        <v>32060144115</v>
      </c>
      <c r="B1126" s="16" t="str">
        <f>VLOOKUP(Projeção[[#This Row],[Código]],BD_Produto[#All],6,FALSE)</f>
        <v>REXEL, GRAMPEADOR DE MESA REXEL METEOR - PN:</v>
      </c>
      <c r="C1126" s="130">
        <v>0.79999999999999993</v>
      </c>
      <c r="D1126" s="130">
        <v>0.79999999999999993</v>
      </c>
      <c r="E1126" s="130">
        <v>0.79999999999999993</v>
      </c>
      <c r="F1126" s="130">
        <v>0.79999999999999993</v>
      </c>
      <c r="G1126" s="130">
        <v>0.79999999999999993</v>
      </c>
      <c r="H1126" s="130">
        <v>6.8</v>
      </c>
      <c r="I1126" s="130">
        <v>6.8</v>
      </c>
      <c r="J1126" s="130">
        <v>9.2999999999999989</v>
      </c>
      <c r="K1126" s="130">
        <v>6.8</v>
      </c>
      <c r="L1126" s="130">
        <v>3.7</v>
      </c>
      <c r="M1126" s="130">
        <v>5.0999999999999996</v>
      </c>
      <c r="N1126" s="130">
        <v>5.0999999999999996</v>
      </c>
      <c r="O11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15</v>
      </c>
    </row>
    <row r="1127" spans="1:15" x14ac:dyDescent="0.25">
      <c r="A1127" s="15">
        <v>33070114938</v>
      </c>
      <c r="B1127" s="16" t="str">
        <f>VLOOKUP(Projeção[[#This Row],[Código]],BD_Produto[#All],6,FALSE)</f>
        <v xml:space="preserve">SOPRADOR TERMICO RAPID 2000 DIGITAL . </v>
      </c>
      <c r="C1127" s="130">
        <v>0</v>
      </c>
      <c r="D1127" s="130">
        <v>0</v>
      </c>
      <c r="E1127" s="130">
        <v>0</v>
      </c>
      <c r="F1127" s="130">
        <v>0</v>
      </c>
      <c r="G1127" s="130">
        <v>0</v>
      </c>
      <c r="H1127" s="130">
        <v>0</v>
      </c>
      <c r="I1127" s="130">
        <v>0</v>
      </c>
      <c r="J1127" s="130">
        <v>0</v>
      </c>
      <c r="K1127" s="130">
        <v>0</v>
      </c>
      <c r="L1127" s="130">
        <v>0</v>
      </c>
      <c r="M1127" s="130">
        <v>0</v>
      </c>
      <c r="N1127" s="130">
        <v>0</v>
      </c>
      <c r="O11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28" spans="1:15" x14ac:dyDescent="0.25">
      <c r="A1128" s="15">
        <v>33070114955</v>
      </c>
      <c r="B1128" s="16" t="str">
        <f>VLOOKUP(Projeção[[#This Row],[Código]],BD_Produto[#All],6,FALSE)</f>
        <v xml:space="preserve">SOPRADOR TERMICO RAPID REGULADOR 2000 . </v>
      </c>
      <c r="C1128" s="130">
        <v>0</v>
      </c>
      <c r="D1128" s="130">
        <v>0</v>
      </c>
      <c r="E1128" s="130">
        <v>0</v>
      </c>
      <c r="F1128" s="130">
        <v>0</v>
      </c>
      <c r="G1128" s="130">
        <v>0</v>
      </c>
      <c r="H1128" s="130">
        <v>0</v>
      </c>
      <c r="I1128" s="130">
        <v>0</v>
      </c>
      <c r="J1128" s="130">
        <v>0</v>
      </c>
      <c r="K1128" s="130">
        <v>0</v>
      </c>
      <c r="L1128" s="130">
        <v>0</v>
      </c>
      <c r="M1128" s="130">
        <v>0</v>
      </c>
      <c r="N1128" s="130">
        <v>0</v>
      </c>
      <c r="O11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29" spans="1:15" x14ac:dyDescent="0.25">
      <c r="A1129" s="15">
        <v>33070754110</v>
      </c>
      <c r="B1129" s="16" t="str">
        <f>VLOOKUP(Projeção[[#This Row],[Código]],BD_Produto[#All],6,FALSE)</f>
        <v>TARIFOLD T-DISPLAY, BASE PARA SUPORTE DE MESA INDUSTRIAL A4 (30) - PN:220000</v>
      </c>
      <c r="C1129" s="130">
        <v>0</v>
      </c>
      <c r="D1129" s="130">
        <v>0</v>
      </c>
      <c r="E1129" s="130">
        <v>0</v>
      </c>
      <c r="F1129" s="130">
        <v>0</v>
      </c>
      <c r="G1129" s="130">
        <v>0</v>
      </c>
      <c r="H1129" s="130">
        <v>0</v>
      </c>
      <c r="I1129" s="130">
        <v>0</v>
      </c>
      <c r="J1129" s="130">
        <v>0</v>
      </c>
      <c r="K1129" s="130">
        <v>0</v>
      </c>
      <c r="L1129" s="130">
        <v>0</v>
      </c>
      <c r="M1129" s="130">
        <v>0</v>
      </c>
      <c r="N1129" s="130">
        <v>0</v>
      </c>
      <c r="O11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0" spans="1:15" x14ac:dyDescent="0.25">
      <c r="A1130" s="15">
        <v>33070754121</v>
      </c>
      <c r="B1130" s="16" t="str">
        <f>VLOOKUP(Projeção[[#This Row],[Código]],BD_Produto[#All],6,FALSE)</f>
        <v>TARIFOLD T-DISPLAY, BASE PARA SUPORTE DE MESA INDUSTRIAL A4 (30) EM AÇO INOX - PN:220003</v>
      </c>
      <c r="C1130" s="130">
        <v>0</v>
      </c>
      <c r="D1130" s="130">
        <v>0</v>
      </c>
      <c r="E1130" s="130">
        <v>0</v>
      </c>
      <c r="F1130" s="130">
        <v>0</v>
      </c>
      <c r="G1130" s="130">
        <v>0</v>
      </c>
      <c r="H1130" s="130">
        <v>0</v>
      </c>
      <c r="I1130" s="130">
        <v>0</v>
      </c>
      <c r="J1130" s="130">
        <v>0</v>
      </c>
      <c r="K1130" s="130">
        <v>0</v>
      </c>
      <c r="L1130" s="130">
        <v>0</v>
      </c>
      <c r="M1130" s="130">
        <v>0</v>
      </c>
      <c r="N1130" s="130">
        <v>0</v>
      </c>
      <c r="O11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1" spans="1:15" x14ac:dyDescent="0.25">
      <c r="A1131" s="15">
        <v>33070754111</v>
      </c>
      <c r="B1131" s="16" t="str">
        <f>VLOOKUP(Projeção[[#This Row],[Código]],BD_Produto[#All],6,FALSE)</f>
        <v>TARIFOLD T-DISPLAY, BASE PARA SUPORTE DE MESA INDUSTRIAL A4 (60) - PN:220100</v>
      </c>
      <c r="C1131" s="130">
        <v>0</v>
      </c>
      <c r="D1131" s="130">
        <v>0</v>
      </c>
      <c r="E1131" s="130">
        <v>0</v>
      </c>
      <c r="F1131" s="130">
        <v>0</v>
      </c>
      <c r="G1131" s="130">
        <v>0</v>
      </c>
      <c r="H1131" s="130">
        <v>0</v>
      </c>
      <c r="I1131" s="130">
        <v>0</v>
      </c>
      <c r="J1131" s="130">
        <v>0</v>
      </c>
      <c r="K1131" s="130">
        <v>0</v>
      </c>
      <c r="L1131" s="130">
        <v>0</v>
      </c>
      <c r="M1131" s="130">
        <v>0</v>
      </c>
      <c r="N1131" s="130">
        <v>0</v>
      </c>
      <c r="O11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2" spans="1:15" x14ac:dyDescent="0.25">
      <c r="A1132" s="15">
        <v>33070754072</v>
      </c>
      <c r="B1132" s="16" t="str">
        <f>VLOOKUP(Projeção[[#This Row],[Código]],BD_Produto[#All],6,FALSE)</f>
        <v>TARIFOLD T-DISPLAY, BRAÇO ARTICULADO - PN:580101</v>
      </c>
      <c r="C1132" s="130">
        <v>0</v>
      </c>
      <c r="D1132" s="130">
        <v>0</v>
      </c>
      <c r="E1132" s="130">
        <v>0</v>
      </c>
      <c r="F1132" s="130">
        <v>0</v>
      </c>
      <c r="G1132" s="130">
        <v>0</v>
      </c>
      <c r="H1132" s="130">
        <v>0</v>
      </c>
      <c r="I1132" s="130">
        <v>0</v>
      </c>
      <c r="J1132" s="130">
        <v>0</v>
      </c>
      <c r="K1132" s="130">
        <v>0</v>
      </c>
      <c r="L1132" s="130">
        <v>0</v>
      </c>
      <c r="M1132" s="130">
        <v>0</v>
      </c>
      <c r="N1132" s="130">
        <v>0</v>
      </c>
      <c r="O11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3" spans="1:15" x14ac:dyDescent="0.25">
      <c r="A1133" s="15">
        <v>33070754114</v>
      </c>
      <c r="B1133" s="16" t="str">
        <f>VLOOKUP(Projeção[[#This Row],[Código]],BD_Produto[#All],6,FALSE)</f>
        <v>TARIFOLD T-DISPLAY, COLUNA TELESCÓPICA - PN:560100</v>
      </c>
      <c r="C1133" s="130">
        <v>0</v>
      </c>
      <c r="D1133" s="130">
        <v>0</v>
      </c>
      <c r="E1133" s="130">
        <v>0</v>
      </c>
      <c r="F1133" s="130">
        <v>0</v>
      </c>
      <c r="G1133" s="130">
        <v>0</v>
      </c>
      <c r="H1133" s="130">
        <v>0</v>
      </c>
      <c r="I1133" s="130">
        <v>0</v>
      </c>
      <c r="J1133" s="130">
        <v>0</v>
      </c>
      <c r="K1133" s="130">
        <v>0</v>
      </c>
      <c r="L1133" s="130">
        <v>0</v>
      </c>
      <c r="M1133" s="130">
        <v>0</v>
      </c>
      <c r="N1133" s="130">
        <v>0</v>
      </c>
      <c r="O11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4" spans="1:15" x14ac:dyDescent="0.25">
      <c r="A1134" s="15">
        <v>33070754127</v>
      </c>
      <c r="B1134" s="16" t="str">
        <f>VLOOKUP(Projeção[[#This Row],[Código]],BD_Produto[#All],6,FALSE)</f>
        <v>TARIFOLD T-DISPLAY, EXTENÇÃO PARA SUPORTE DE MESA OFFICE + 10 PASTAS A4, AZUL - PN:734351</v>
      </c>
      <c r="C1134" s="130">
        <v>6.6666666666666666E-2</v>
      </c>
      <c r="D1134" s="130">
        <v>6.6666666666666666E-2</v>
      </c>
      <c r="E1134" s="130">
        <v>6.6666666666666666E-2</v>
      </c>
      <c r="F1134" s="130">
        <v>6.6666666666666666E-2</v>
      </c>
      <c r="G1134" s="130">
        <v>6.6666666666666666E-2</v>
      </c>
      <c r="H1134" s="130">
        <v>6.6666666666666666E-2</v>
      </c>
      <c r="I1134" s="130">
        <v>6.6666666666666666E-2</v>
      </c>
      <c r="J1134" s="130">
        <v>0</v>
      </c>
      <c r="K1134" s="130">
        <v>6.6666666666666666E-2</v>
      </c>
      <c r="L1134" s="130">
        <v>0</v>
      </c>
      <c r="M1134" s="130">
        <v>0</v>
      </c>
      <c r="N1134" s="130">
        <v>0</v>
      </c>
      <c r="O11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5" spans="1:15" x14ac:dyDescent="0.25">
      <c r="A1135" s="15">
        <v>33070754068</v>
      </c>
      <c r="B1135" s="16" t="str">
        <f>VLOOKUP(Projeção[[#This Row],[Código]],BD_Produto[#All],6,FALSE)</f>
        <v>TARIFOLD T-DISPLAY, EXTENÇÃO PARA SUPORTE DE MESA OFFICE + 10 PASTAS A4, CINZAS - PN:734350</v>
      </c>
      <c r="C1135" s="130">
        <v>1</v>
      </c>
      <c r="D1135" s="130">
        <v>1</v>
      </c>
      <c r="E1135" s="130">
        <v>0.19999999999999998</v>
      </c>
      <c r="F1135" s="130">
        <v>0.19999999999999998</v>
      </c>
      <c r="G1135" s="130">
        <v>0.19999999999999998</v>
      </c>
      <c r="H1135" s="130">
        <v>0.19999999999999998</v>
      </c>
      <c r="I1135" s="130">
        <v>0.19999999999999998</v>
      </c>
      <c r="J1135" s="130">
        <v>0.19999999999999998</v>
      </c>
      <c r="K1135" s="130">
        <v>0.19999999999999998</v>
      </c>
      <c r="L1135" s="130">
        <v>0.19999999999999998</v>
      </c>
      <c r="M1135" s="130">
        <v>0.19999999999999998</v>
      </c>
      <c r="N1135" s="130">
        <v>0.19999999999999998</v>
      </c>
      <c r="O11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6" spans="1:15" x14ac:dyDescent="0.25">
      <c r="A1136" s="15">
        <v>33070754073</v>
      </c>
      <c r="B1136" s="16" t="str">
        <f>VLOOKUP(Projeção[[#This Row],[Código]],BD_Produto[#All],6,FALSE)</f>
        <v>TARIFOLD T-DISPLAY, INFOSTAND, BASE PEDESTAL - PN:550000</v>
      </c>
      <c r="C1136" s="130">
        <v>0</v>
      </c>
      <c r="D1136" s="130">
        <v>0</v>
      </c>
      <c r="E1136" s="130">
        <v>0</v>
      </c>
      <c r="F1136" s="130">
        <v>0</v>
      </c>
      <c r="G1136" s="130">
        <v>0</v>
      </c>
      <c r="H1136" s="130">
        <v>0</v>
      </c>
      <c r="I1136" s="130">
        <v>0</v>
      </c>
      <c r="J1136" s="130">
        <v>0</v>
      </c>
      <c r="K1136" s="130">
        <v>0</v>
      </c>
      <c r="L1136" s="130">
        <v>0</v>
      </c>
      <c r="M1136" s="130">
        <v>0</v>
      </c>
      <c r="N1136" s="130">
        <v>0</v>
      </c>
      <c r="O11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7" spans="1:15" x14ac:dyDescent="0.25">
      <c r="A1137" s="15">
        <v>33070754090</v>
      </c>
      <c r="B1137" s="16" t="str">
        <f>VLOOKUP(Projeção[[#This Row],[Código]],BD_Produto[#All],6,FALSE)</f>
        <v>TARIFOLD T-DISPLAY, MARCADORES DE PAGINA 25 MM - KIT COM 10 - PN:302100</v>
      </c>
      <c r="C1137" s="130">
        <v>0</v>
      </c>
      <c r="D1137" s="130">
        <v>0</v>
      </c>
      <c r="E1137" s="130">
        <v>0</v>
      </c>
      <c r="F1137" s="130">
        <v>0</v>
      </c>
      <c r="G1137" s="130">
        <v>0</v>
      </c>
      <c r="H1137" s="130">
        <v>0</v>
      </c>
      <c r="I1137" s="130">
        <v>0</v>
      </c>
      <c r="J1137" s="130">
        <v>0</v>
      </c>
      <c r="K1137" s="130">
        <v>0</v>
      </c>
      <c r="L1137" s="130">
        <v>0</v>
      </c>
      <c r="M1137" s="130">
        <v>0</v>
      </c>
      <c r="N1137" s="130">
        <v>0</v>
      </c>
      <c r="O11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8" spans="1:15" x14ac:dyDescent="0.25">
      <c r="A1138" s="15">
        <v>33070754091</v>
      </c>
      <c r="B1138" s="16" t="str">
        <f>VLOOKUP(Projeção[[#This Row],[Código]],BD_Produto[#All],6,FALSE)</f>
        <v>TARIFOLD T-DISPLAY, MARCADORES DE PAGINA 50 MM - KIT COM 10 - PN:305100</v>
      </c>
      <c r="C1138" s="130">
        <v>0</v>
      </c>
      <c r="D1138" s="130">
        <v>0</v>
      </c>
      <c r="E1138" s="130">
        <v>0</v>
      </c>
      <c r="F1138" s="130">
        <v>0</v>
      </c>
      <c r="G1138" s="130">
        <v>0</v>
      </c>
      <c r="H1138" s="130">
        <v>0</v>
      </c>
      <c r="I1138" s="130">
        <v>0</v>
      </c>
      <c r="J1138" s="130">
        <v>0</v>
      </c>
      <c r="K1138" s="130">
        <v>0</v>
      </c>
      <c r="L1138" s="130">
        <v>0</v>
      </c>
      <c r="M1138" s="130">
        <v>0</v>
      </c>
      <c r="N1138" s="130">
        <v>0</v>
      </c>
      <c r="O11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39" spans="1:15" x14ac:dyDescent="0.25">
      <c r="A1139" s="15">
        <v>33070754123</v>
      </c>
      <c r="B1139" s="16" t="str">
        <f>VLOOKUP(Projeção[[#This Row],[Código]],BD_Produto[#All],6,FALSE)</f>
        <v>TARIFOLD T-DISPLAY, PASTA A3 FOLD UP, COM PINO, AZUL, RETRATO - KIT COM 5 - PN:194301</v>
      </c>
      <c r="C1139" s="130">
        <v>0</v>
      </c>
      <c r="D1139" s="130">
        <v>0</v>
      </c>
      <c r="E1139" s="130">
        <v>0</v>
      </c>
      <c r="F1139" s="130">
        <v>0</v>
      </c>
      <c r="G1139" s="130">
        <v>0</v>
      </c>
      <c r="H1139" s="130">
        <v>0</v>
      </c>
      <c r="I1139" s="130">
        <v>0</v>
      </c>
      <c r="J1139" s="130">
        <v>0</v>
      </c>
      <c r="K1139" s="130">
        <v>0</v>
      </c>
      <c r="L1139" s="130">
        <v>0</v>
      </c>
      <c r="M1139" s="130">
        <v>0</v>
      </c>
      <c r="N1139" s="130">
        <v>0</v>
      </c>
      <c r="O11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0" spans="1:15" x14ac:dyDescent="0.25">
      <c r="A1140" s="15">
        <v>33070754082</v>
      </c>
      <c r="B1140" s="16" t="str">
        <f>VLOOKUP(Projeção[[#This Row],[Código]],BD_Produto[#All],6,FALSE)</f>
        <v>TARIFOLD T-DISPLAY, PASTA A3, COM PINO, AZUL, PAISAGEM - KIT COM 10 - PN:113001</v>
      </c>
      <c r="C1140" s="130">
        <v>0</v>
      </c>
      <c r="D1140" s="130">
        <v>0</v>
      </c>
      <c r="E1140" s="130">
        <v>0</v>
      </c>
      <c r="F1140" s="130">
        <v>0</v>
      </c>
      <c r="G1140" s="130">
        <v>0</v>
      </c>
      <c r="H1140" s="130">
        <v>0</v>
      </c>
      <c r="I1140" s="130">
        <v>0</v>
      </c>
      <c r="J1140" s="130">
        <v>0</v>
      </c>
      <c r="K1140" s="130">
        <v>0</v>
      </c>
      <c r="L1140" s="130">
        <v>0</v>
      </c>
      <c r="M1140" s="130">
        <v>0</v>
      </c>
      <c r="N1140" s="130">
        <v>0</v>
      </c>
      <c r="O11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1" spans="1:15" x14ac:dyDescent="0.25">
      <c r="A1141" s="15">
        <v>33070754089</v>
      </c>
      <c r="B1141" s="16" t="str">
        <f>VLOOKUP(Projeção[[#This Row],[Código]],BD_Produto[#All],6,FALSE)</f>
        <v>TARIFOLD T-DISPLAY, PASTA A3, COM PINO, AZUL, PAISAGEM - KIT COM 10 - PN:118001</v>
      </c>
      <c r="C1141" s="130">
        <v>0</v>
      </c>
      <c r="D1141" s="130">
        <v>0</v>
      </c>
      <c r="E1141" s="130">
        <v>0</v>
      </c>
      <c r="F1141" s="130">
        <v>0</v>
      </c>
      <c r="G1141" s="130">
        <v>0</v>
      </c>
      <c r="H1141" s="130">
        <v>0</v>
      </c>
      <c r="I1141" s="130">
        <v>0</v>
      </c>
      <c r="J1141" s="130">
        <v>0</v>
      </c>
      <c r="K1141" s="130">
        <v>0</v>
      </c>
      <c r="L1141" s="130">
        <v>0</v>
      </c>
      <c r="M1141" s="130">
        <v>0</v>
      </c>
      <c r="N1141" s="130">
        <v>0</v>
      </c>
      <c r="O11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2" spans="1:15" x14ac:dyDescent="0.25">
      <c r="A1142" s="15">
        <v>33070754081</v>
      </c>
      <c r="B1142" s="16" t="str">
        <f>VLOOKUP(Projeção[[#This Row],[Código]],BD_Produto[#All],6,FALSE)</f>
        <v>TARIFOLD T-DISPLAY, PASTA A3, COM PINO, CORES SORTIRAS, RETRATO - KIT COM 10 - PN:113009</v>
      </c>
      <c r="C1142" s="130">
        <v>3.3333333333333333E-2</v>
      </c>
      <c r="D1142" s="130">
        <v>3.3333333333333333E-2</v>
      </c>
      <c r="E1142" s="130">
        <v>3.3333333333333333E-2</v>
      </c>
      <c r="F1142" s="130">
        <v>3.3333333333333333E-2</v>
      </c>
      <c r="G1142" s="130">
        <v>0</v>
      </c>
      <c r="H1142" s="130">
        <v>0</v>
      </c>
      <c r="I1142" s="130">
        <v>0</v>
      </c>
      <c r="J1142" s="130">
        <v>0</v>
      </c>
      <c r="K1142" s="130">
        <v>0</v>
      </c>
      <c r="L1142" s="130">
        <v>0</v>
      </c>
      <c r="M1142" s="130">
        <v>0</v>
      </c>
      <c r="N1142" s="130">
        <v>0</v>
      </c>
      <c r="O11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3" spans="1:15" x14ac:dyDescent="0.25">
      <c r="A1143" s="15">
        <v>33070760270</v>
      </c>
      <c r="B1143" s="16" t="str">
        <f>VLOOKUP(Projeção[[#This Row],[Código]],BD_Produto[#All],6,FALSE)</f>
        <v>TARIFOLD T-DISPLAY, PASTA A4 ANTI-MICROBIAIS, COM PINO, PRETA - KIT COM 10 - PN:114507</v>
      </c>
      <c r="C1143" s="130">
        <v>6.6666666666666666E-2</v>
      </c>
      <c r="D1143" s="130">
        <v>0</v>
      </c>
      <c r="E1143" s="130">
        <v>0</v>
      </c>
      <c r="F1143" s="130">
        <v>0</v>
      </c>
      <c r="G1143" s="130">
        <v>0</v>
      </c>
      <c r="H1143" s="130">
        <v>0</v>
      </c>
      <c r="I1143" s="130">
        <v>0</v>
      </c>
      <c r="J1143" s="130">
        <v>0</v>
      </c>
      <c r="K1143" s="130">
        <v>0</v>
      </c>
      <c r="L1143" s="130">
        <v>0</v>
      </c>
      <c r="M1143" s="130">
        <v>0</v>
      </c>
      <c r="N1143" s="130">
        <v>0</v>
      </c>
      <c r="O11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4" spans="1:15" x14ac:dyDescent="0.25">
      <c r="A1144" s="15">
        <v>33070754131</v>
      </c>
      <c r="B1144" s="16" t="str">
        <f>VLOOKUP(Projeção[[#This Row],[Código]],BD_Produto[#All],6,FALSE)</f>
        <v>TARIFOLD T-DISPLAY, PASTA A4 CANDY LINE, COM PINO, SORTIDAS, RETRATO - KIT COM 40 - PN:114600</v>
      </c>
      <c r="C1144" s="130">
        <v>0</v>
      </c>
      <c r="D1144" s="130">
        <v>0</v>
      </c>
      <c r="E1144" s="130">
        <v>0</v>
      </c>
      <c r="F1144" s="130">
        <v>0</v>
      </c>
      <c r="G1144" s="130">
        <v>0</v>
      </c>
      <c r="H1144" s="130">
        <v>0</v>
      </c>
      <c r="I1144" s="130">
        <v>0</v>
      </c>
      <c r="J1144" s="130">
        <v>0</v>
      </c>
      <c r="K1144" s="130">
        <v>0</v>
      </c>
      <c r="L1144" s="130">
        <v>0</v>
      </c>
      <c r="M1144" s="130">
        <v>0</v>
      </c>
      <c r="N1144" s="130">
        <v>0</v>
      </c>
      <c r="O11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5" spans="1:15" x14ac:dyDescent="0.25">
      <c r="A1145" s="15">
        <v>33070754118</v>
      </c>
      <c r="B1145" s="16" t="str">
        <f>VLOOKUP(Projeção[[#This Row],[Código]],BD_Produto[#All],6,FALSE)</f>
        <v>TARIFOLD T-DISPLAY, PASTA A4 DE INOX, COM PINO, ABERTURA LATERAL, CORES SORTIDAS, RETRATO - KIT COM 10 - PN:114129</v>
      </c>
      <c r="C1145" s="130">
        <v>0</v>
      </c>
      <c r="D1145" s="130">
        <v>0</v>
      </c>
      <c r="E1145" s="130">
        <v>0</v>
      </c>
      <c r="F1145" s="130">
        <v>0</v>
      </c>
      <c r="G1145" s="130">
        <v>0</v>
      </c>
      <c r="H1145" s="130">
        <v>0</v>
      </c>
      <c r="I1145" s="130">
        <v>0</v>
      </c>
      <c r="J1145" s="130">
        <v>0</v>
      </c>
      <c r="K1145" s="130">
        <v>0</v>
      </c>
      <c r="L1145" s="130">
        <v>0</v>
      </c>
      <c r="M1145" s="130">
        <v>0</v>
      </c>
      <c r="N1145" s="130">
        <v>0</v>
      </c>
      <c r="O11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6" spans="1:15" x14ac:dyDescent="0.25">
      <c r="A1146" s="15">
        <v>33070754117</v>
      </c>
      <c r="B1146" s="16" t="str">
        <f>VLOOKUP(Projeção[[#This Row],[Código]],BD_Produto[#All],6,FALSE)</f>
        <v>TARIFOLD T-DISPLAY, PASTA A4 DE INOX, COM PINO, ABERTURA LATERAL, VERMELHA, RETRATO - KIT COM 10 - PN:114123</v>
      </c>
      <c r="C1146" s="130">
        <v>0</v>
      </c>
      <c r="D1146" s="130">
        <v>0</v>
      </c>
      <c r="E1146" s="130">
        <v>0</v>
      </c>
      <c r="F1146" s="130">
        <v>0</v>
      </c>
      <c r="G1146" s="130">
        <v>0</v>
      </c>
      <c r="H1146" s="130">
        <v>0</v>
      </c>
      <c r="I1146" s="130">
        <v>0</v>
      </c>
      <c r="J1146" s="130">
        <v>0</v>
      </c>
      <c r="K1146" s="130">
        <v>0</v>
      </c>
      <c r="L1146" s="130">
        <v>0</v>
      </c>
      <c r="M1146" s="130">
        <v>0</v>
      </c>
      <c r="N1146" s="130">
        <v>0</v>
      </c>
      <c r="O11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7" spans="1:15" x14ac:dyDescent="0.25">
      <c r="A1147" s="15">
        <v>33070754122</v>
      </c>
      <c r="B1147" s="16" t="str">
        <f>VLOOKUP(Projeção[[#This Row],[Código]],BD_Produto[#All],6,FALSE)</f>
        <v>TARIFOLD T-DISPLAY, PASTA A4 FOLD UP, COM PINO, AZUL, RETRATO - KIT COM 5 - PN:194201</v>
      </c>
      <c r="C1147" s="130">
        <v>0</v>
      </c>
      <c r="D1147" s="130">
        <v>0</v>
      </c>
      <c r="E1147" s="130">
        <v>0</v>
      </c>
      <c r="F1147" s="130">
        <v>0</v>
      </c>
      <c r="G1147" s="130">
        <v>0</v>
      </c>
      <c r="H1147" s="130">
        <v>0</v>
      </c>
      <c r="I1147" s="130">
        <v>0</v>
      </c>
      <c r="J1147" s="130">
        <v>0</v>
      </c>
      <c r="K1147" s="130">
        <v>0</v>
      </c>
      <c r="L1147" s="130">
        <v>0</v>
      </c>
      <c r="M1147" s="130">
        <v>0</v>
      </c>
      <c r="N1147" s="130">
        <v>0</v>
      </c>
      <c r="O11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8" spans="1:15" x14ac:dyDescent="0.25">
      <c r="A1148" s="15">
        <v>33070760109</v>
      </c>
      <c r="B1148" s="16" t="str">
        <f>VLOOKUP(Projeção[[#This Row],[Código]],BD_Produto[#All],6,FALSE)</f>
        <v>TARIFOLD T-DISPLAY, PASTA A4 FOLDFIVE, COM PINO, AMARELA, RETRATO - KIT COM 5 - PN:194104</v>
      </c>
      <c r="C1148" s="130">
        <v>0</v>
      </c>
      <c r="D1148" s="130">
        <v>0</v>
      </c>
      <c r="E1148" s="130">
        <v>0</v>
      </c>
      <c r="F1148" s="130">
        <v>0</v>
      </c>
      <c r="G1148" s="130">
        <v>0</v>
      </c>
      <c r="H1148" s="130">
        <v>0</v>
      </c>
      <c r="I1148" s="130">
        <v>0</v>
      </c>
      <c r="J1148" s="130">
        <v>0</v>
      </c>
      <c r="K1148" s="130">
        <v>0</v>
      </c>
      <c r="L1148" s="130">
        <v>0</v>
      </c>
      <c r="M1148" s="130">
        <v>0</v>
      </c>
      <c r="N1148" s="130">
        <v>0</v>
      </c>
      <c r="O11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49" spans="1:15" x14ac:dyDescent="0.25">
      <c r="A1149" s="15">
        <v>33070754070</v>
      </c>
      <c r="B1149" s="16" t="str">
        <f>VLOOKUP(Projeção[[#This Row],[Código]],BD_Produto[#All],6,FALSE)</f>
        <v>TARIFOLD T-DISPLAY, PASTA A4 OFFICE, AZUL - PN:704301</v>
      </c>
      <c r="C1149" s="130">
        <v>0</v>
      </c>
      <c r="D1149" s="130">
        <v>0</v>
      </c>
      <c r="E1149" s="130">
        <v>0</v>
      </c>
      <c r="F1149" s="130">
        <v>0</v>
      </c>
      <c r="G1149" s="130">
        <v>0</v>
      </c>
      <c r="H1149" s="130">
        <v>0</v>
      </c>
      <c r="I1149" s="130">
        <v>0</v>
      </c>
      <c r="J1149" s="130">
        <v>0</v>
      </c>
      <c r="K1149" s="130">
        <v>0</v>
      </c>
      <c r="L1149" s="130">
        <v>0</v>
      </c>
      <c r="M1149" s="130">
        <v>0</v>
      </c>
      <c r="N1149" s="130">
        <v>0</v>
      </c>
      <c r="O11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0" spans="1:15" x14ac:dyDescent="0.25">
      <c r="A1150" s="15">
        <v>33070754069</v>
      </c>
      <c r="B1150" s="16" t="str">
        <f>VLOOKUP(Projeção[[#This Row],[Código]],BD_Produto[#All],6,FALSE)</f>
        <v>TARIFOLD T-DISPLAY, PASTA A4 OFFICE, CINZA - PN:704300</v>
      </c>
      <c r="C1150" s="130">
        <v>0</v>
      </c>
      <c r="D1150" s="130">
        <v>0</v>
      </c>
      <c r="E1150" s="130">
        <v>0</v>
      </c>
      <c r="F1150" s="130">
        <v>0</v>
      </c>
      <c r="G1150" s="130">
        <v>0</v>
      </c>
      <c r="H1150" s="130">
        <v>0</v>
      </c>
      <c r="I1150" s="130">
        <v>0</v>
      </c>
      <c r="J1150" s="130">
        <v>0</v>
      </c>
      <c r="K1150" s="130">
        <v>0</v>
      </c>
      <c r="L1150" s="130">
        <v>0</v>
      </c>
      <c r="M1150" s="130">
        <v>0</v>
      </c>
      <c r="N1150" s="130">
        <v>0</v>
      </c>
      <c r="O11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1" spans="1:15" x14ac:dyDescent="0.25">
      <c r="A1151" s="15">
        <v>33070754086</v>
      </c>
      <c r="B1151" s="16" t="str">
        <f>VLOOKUP(Projeção[[#This Row],[Código]],BD_Produto[#All],6,FALSE)</f>
        <v>TARIFOLD T-DISPLAY, PASTA A4, COM PINO, AMARELA, PAISAGEM - KIT COM 10 - PN:117004</v>
      </c>
      <c r="C1151" s="130">
        <v>0</v>
      </c>
      <c r="D1151" s="130">
        <v>0</v>
      </c>
      <c r="E1151" s="130">
        <v>0</v>
      </c>
      <c r="F1151" s="130">
        <v>0</v>
      </c>
      <c r="G1151" s="130">
        <v>0</v>
      </c>
      <c r="H1151" s="130">
        <v>0</v>
      </c>
      <c r="I1151" s="130">
        <v>0</v>
      </c>
      <c r="J1151" s="130">
        <v>0</v>
      </c>
      <c r="K1151" s="130">
        <v>0</v>
      </c>
      <c r="L1151" s="130">
        <v>0</v>
      </c>
      <c r="M1151" s="130">
        <v>0</v>
      </c>
      <c r="N1151" s="130">
        <v>0</v>
      </c>
      <c r="O11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2" spans="1:15" x14ac:dyDescent="0.25">
      <c r="A1152" s="15">
        <v>33070754077</v>
      </c>
      <c r="B1152" s="16" t="str">
        <f>VLOOKUP(Projeção[[#This Row],[Código]],BD_Produto[#All],6,FALSE)</f>
        <v>TARIFOLD T-DISPLAY, PASTA A4, COM PINO, AMARELA, RETRATO - KIT COM 10 - PN:114004</v>
      </c>
      <c r="C1152" s="130">
        <v>0</v>
      </c>
      <c r="D1152" s="130">
        <v>0</v>
      </c>
      <c r="E1152" s="130">
        <v>0</v>
      </c>
      <c r="F1152" s="130">
        <v>0</v>
      </c>
      <c r="G1152" s="130">
        <v>0</v>
      </c>
      <c r="H1152" s="130">
        <v>0</v>
      </c>
      <c r="I1152" s="130">
        <v>0</v>
      </c>
      <c r="J1152" s="130">
        <v>0</v>
      </c>
      <c r="K1152" s="130">
        <v>0</v>
      </c>
      <c r="L1152" s="130">
        <v>0</v>
      </c>
      <c r="M1152" s="130">
        <v>0</v>
      </c>
      <c r="N1152" s="130">
        <v>0</v>
      </c>
      <c r="O11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3" spans="1:15" x14ac:dyDescent="0.25">
      <c r="A1153" s="15">
        <v>33070754084</v>
      </c>
      <c r="B1153" s="16" t="str">
        <f>VLOOKUP(Projeção[[#This Row],[Código]],BD_Produto[#All],6,FALSE)</f>
        <v>TARIFOLD T-DISPLAY, PASTA A4, COM PINO, AZUL, PAISAGEM - KIT COM 10 - PN:117001</v>
      </c>
      <c r="C1153" s="130">
        <v>0</v>
      </c>
      <c r="D1153" s="130">
        <v>0</v>
      </c>
      <c r="E1153" s="130">
        <v>0</v>
      </c>
      <c r="F1153" s="130">
        <v>0</v>
      </c>
      <c r="G1153" s="130">
        <v>0</v>
      </c>
      <c r="H1153" s="130">
        <v>0</v>
      </c>
      <c r="I1153" s="130">
        <v>0</v>
      </c>
      <c r="J1153" s="130">
        <v>0</v>
      </c>
      <c r="K1153" s="130">
        <v>0</v>
      </c>
      <c r="L1153" s="130">
        <v>0</v>
      </c>
      <c r="M1153" s="130">
        <v>0</v>
      </c>
      <c r="N1153" s="130">
        <v>0</v>
      </c>
      <c r="O11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4" spans="1:15" x14ac:dyDescent="0.25">
      <c r="A1154" s="15">
        <v>33070754075</v>
      </c>
      <c r="B1154" s="16" t="str">
        <f>VLOOKUP(Projeção[[#This Row],[Código]],BD_Produto[#All],6,FALSE)</f>
        <v>TARIFOLD T-DISPLAY, PASTA A4, COM PINO, AZUL, RETRATO - KIT COM 10 - PN:114001</v>
      </c>
      <c r="C1154" s="130">
        <v>0</v>
      </c>
      <c r="D1154" s="130">
        <v>0</v>
      </c>
      <c r="E1154" s="130">
        <v>0</v>
      </c>
      <c r="F1154" s="130">
        <v>0</v>
      </c>
      <c r="G1154" s="130">
        <v>0</v>
      </c>
      <c r="H1154" s="130">
        <v>0</v>
      </c>
      <c r="I1154" s="130">
        <v>0</v>
      </c>
      <c r="J1154" s="130">
        <v>0</v>
      </c>
      <c r="K1154" s="130">
        <v>0</v>
      </c>
      <c r="L1154" s="130">
        <v>0</v>
      </c>
      <c r="M1154" s="130">
        <v>0</v>
      </c>
      <c r="N1154" s="130">
        <v>0</v>
      </c>
      <c r="O11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5" spans="1:15" x14ac:dyDescent="0.25">
      <c r="A1155" s="15">
        <v>33070754083</v>
      </c>
      <c r="B1155" s="16" t="str">
        <f>VLOOKUP(Projeção[[#This Row],[Código]],BD_Produto[#All],6,FALSE)</f>
        <v>TARIFOLD T-DISPLAY, PASTA A4, COM PINO, CORES SORTIDAS, PAISAGEM - KIT COM 10 - PN:117009</v>
      </c>
      <c r="C1155" s="130">
        <v>0</v>
      </c>
      <c r="D1155" s="130">
        <v>0</v>
      </c>
      <c r="E1155" s="130">
        <v>0</v>
      </c>
      <c r="F1155" s="130">
        <v>0</v>
      </c>
      <c r="G1155" s="130">
        <v>0</v>
      </c>
      <c r="H1155" s="130">
        <v>0</v>
      </c>
      <c r="I1155" s="130">
        <v>0</v>
      </c>
      <c r="J1155" s="130">
        <v>0</v>
      </c>
      <c r="K1155" s="130">
        <v>0</v>
      </c>
      <c r="L1155" s="130">
        <v>0</v>
      </c>
      <c r="M1155" s="130">
        <v>0</v>
      </c>
      <c r="N1155" s="130">
        <v>0</v>
      </c>
      <c r="O11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6" spans="1:15" x14ac:dyDescent="0.25">
      <c r="A1156" s="15">
        <v>33070754074</v>
      </c>
      <c r="B1156" s="16" t="str">
        <f>VLOOKUP(Projeção[[#This Row],[Código]],BD_Produto[#All],6,FALSE)</f>
        <v>TARIFOLD T-DISPLAY, PASTA A4, COM PINO, CORES SORTIDAS, RETRATO - KIT COM 10 - PN:114009</v>
      </c>
      <c r="C1156" s="130">
        <v>1.4333333333333333</v>
      </c>
      <c r="D1156" s="130">
        <v>1.4333333333333333</v>
      </c>
      <c r="E1156" s="130">
        <v>0.86666666666666659</v>
      </c>
      <c r="F1156" s="130">
        <v>0.86666666666666659</v>
      </c>
      <c r="G1156" s="130">
        <v>0.86666666666666659</v>
      </c>
      <c r="H1156" s="130">
        <v>0</v>
      </c>
      <c r="I1156" s="130">
        <v>0</v>
      </c>
      <c r="J1156" s="130">
        <v>0</v>
      </c>
      <c r="K1156" s="130">
        <v>0</v>
      </c>
      <c r="L1156" s="130">
        <v>0</v>
      </c>
      <c r="M1156" s="130">
        <v>0</v>
      </c>
      <c r="N1156" s="130">
        <v>0</v>
      </c>
      <c r="O11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7" spans="1:15" x14ac:dyDescent="0.25">
      <c r="A1157" s="15">
        <v>33070754088</v>
      </c>
      <c r="B1157" s="16" t="str">
        <f>VLOOKUP(Projeção[[#This Row],[Código]],BD_Produto[#All],6,FALSE)</f>
        <v>TARIFOLD T-DISPLAY, PASTA A4, COM PINO, PRETA, PAISAGEM - KIT COM 10 - PN:117007</v>
      </c>
      <c r="C1157" s="130">
        <v>0</v>
      </c>
      <c r="D1157" s="130">
        <v>0</v>
      </c>
      <c r="E1157" s="130">
        <v>0</v>
      </c>
      <c r="F1157" s="130">
        <v>0</v>
      </c>
      <c r="G1157" s="130">
        <v>0</v>
      </c>
      <c r="H1157" s="130">
        <v>0</v>
      </c>
      <c r="I1157" s="130">
        <v>0</v>
      </c>
      <c r="J1157" s="130">
        <v>0</v>
      </c>
      <c r="K1157" s="130">
        <v>0</v>
      </c>
      <c r="L1157" s="130">
        <v>0</v>
      </c>
      <c r="M1157" s="130">
        <v>0</v>
      </c>
      <c r="N1157" s="130">
        <v>0</v>
      </c>
      <c r="O115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8" spans="1:15" x14ac:dyDescent="0.25">
      <c r="A1158" s="15">
        <v>33070754079</v>
      </c>
      <c r="B1158" s="16" t="str">
        <f>VLOOKUP(Projeção[[#This Row],[Código]],BD_Produto[#All],6,FALSE)</f>
        <v>TARIFOLD T-DISPLAY, PASTA A4, COM PINO, PRETA, RETRATO - KIT COM 10 - PN:114007</v>
      </c>
      <c r="C1158" s="130">
        <v>0</v>
      </c>
      <c r="D1158" s="130">
        <v>0</v>
      </c>
      <c r="E1158" s="130">
        <v>0</v>
      </c>
      <c r="F1158" s="130">
        <v>0</v>
      </c>
      <c r="G1158" s="130">
        <v>0</v>
      </c>
      <c r="H1158" s="130">
        <v>0</v>
      </c>
      <c r="I1158" s="130">
        <v>0</v>
      </c>
      <c r="J1158" s="130">
        <v>0</v>
      </c>
      <c r="K1158" s="130">
        <v>0</v>
      </c>
      <c r="L1158" s="130">
        <v>0</v>
      </c>
      <c r="M1158" s="130">
        <v>0</v>
      </c>
      <c r="N1158" s="130">
        <v>0</v>
      </c>
      <c r="O11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59" spans="1:15" x14ac:dyDescent="0.25">
      <c r="A1159" s="15">
        <v>33070754087</v>
      </c>
      <c r="B1159" s="16" t="str">
        <f>VLOOKUP(Projeção[[#This Row],[Código]],BD_Produto[#All],6,FALSE)</f>
        <v>TARIFOLD T-DISPLAY, PASTA A4, COM PINO, VERDE, PAISAGEM - KIT COM 10 - PN:117005</v>
      </c>
      <c r="C1159" s="130">
        <v>0</v>
      </c>
      <c r="D1159" s="130">
        <v>0</v>
      </c>
      <c r="E1159" s="130">
        <v>0</v>
      </c>
      <c r="F1159" s="130">
        <v>0</v>
      </c>
      <c r="G1159" s="130">
        <v>0</v>
      </c>
      <c r="H1159" s="130">
        <v>0</v>
      </c>
      <c r="I1159" s="130">
        <v>0</v>
      </c>
      <c r="J1159" s="130">
        <v>0</v>
      </c>
      <c r="K1159" s="130">
        <v>0</v>
      </c>
      <c r="L1159" s="130">
        <v>0</v>
      </c>
      <c r="M1159" s="130">
        <v>0.23333333333333334</v>
      </c>
      <c r="N1159" s="130">
        <v>0.23333333333333334</v>
      </c>
      <c r="O11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160" spans="1:15" x14ac:dyDescent="0.25">
      <c r="A1160" s="15">
        <v>33070754078</v>
      </c>
      <c r="B1160" s="16" t="str">
        <f>VLOOKUP(Projeção[[#This Row],[Código]],BD_Produto[#All],6,FALSE)</f>
        <v>TARIFOLD T-DISPLAY, PASTA A4, COM PINO, VERDE, RETRATO - KIT COM 10 - PN:114005</v>
      </c>
      <c r="C1160" s="130">
        <v>3.3333333333333333E-2</v>
      </c>
      <c r="D1160" s="130">
        <v>3.3333333333333333E-2</v>
      </c>
      <c r="E1160" s="130">
        <v>3.3333333333333333E-2</v>
      </c>
      <c r="F1160" s="130">
        <v>3.3333333333333333E-2</v>
      </c>
      <c r="G1160" s="130">
        <v>0</v>
      </c>
      <c r="H1160" s="130">
        <v>0</v>
      </c>
      <c r="I1160" s="130">
        <v>0</v>
      </c>
      <c r="J1160" s="130">
        <v>0</v>
      </c>
      <c r="K1160" s="130">
        <v>0</v>
      </c>
      <c r="L1160" s="130">
        <v>0</v>
      </c>
      <c r="M1160" s="130">
        <v>0</v>
      </c>
      <c r="N1160" s="130">
        <v>0</v>
      </c>
      <c r="O11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1" spans="1:15" x14ac:dyDescent="0.25">
      <c r="A1161" s="15">
        <v>33070754085</v>
      </c>
      <c r="B1161" s="16" t="str">
        <f>VLOOKUP(Projeção[[#This Row],[Código]],BD_Produto[#All],6,FALSE)</f>
        <v>TARIFOLD T-DISPLAY, PASTA A4, COM PINO, VERMELHA, PAISAGEM - KIT COM 10 - PN:117003</v>
      </c>
      <c r="C1161" s="130">
        <v>0</v>
      </c>
      <c r="D1161" s="130">
        <v>0</v>
      </c>
      <c r="E1161" s="130">
        <v>0</v>
      </c>
      <c r="F1161" s="130">
        <v>0</v>
      </c>
      <c r="G1161" s="130">
        <v>0</v>
      </c>
      <c r="H1161" s="130">
        <v>0</v>
      </c>
      <c r="I1161" s="130">
        <v>0</v>
      </c>
      <c r="J1161" s="130">
        <v>0</v>
      </c>
      <c r="K1161" s="130">
        <v>0</v>
      </c>
      <c r="L1161" s="130">
        <v>0</v>
      </c>
      <c r="M1161" s="130">
        <v>0</v>
      </c>
      <c r="N1161" s="130">
        <v>0</v>
      </c>
      <c r="O11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2" spans="1:15" x14ac:dyDescent="0.25">
      <c r="A1162" s="15">
        <v>33070754076</v>
      </c>
      <c r="B1162" s="16" t="str">
        <f>VLOOKUP(Projeção[[#This Row],[Código]],BD_Produto[#All],6,FALSE)</f>
        <v>TARIFOLD T-DISPLAY, PASTA A4, COM PINO, VERMELHA, RETRATO - KIT COM 10 - PN:114003</v>
      </c>
      <c r="C1162" s="130">
        <v>0</v>
      </c>
      <c r="D1162" s="130">
        <v>0</v>
      </c>
      <c r="E1162" s="130">
        <v>0</v>
      </c>
      <c r="F1162" s="130">
        <v>0</v>
      </c>
      <c r="G1162" s="130">
        <v>0</v>
      </c>
      <c r="H1162" s="130">
        <v>0</v>
      </c>
      <c r="I1162" s="130">
        <v>0</v>
      </c>
      <c r="J1162" s="130">
        <v>0</v>
      </c>
      <c r="K1162" s="130">
        <v>0</v>
      </c>
      <c r="L1162" s="130">
        <v>0</v>
      </c>
      <c r="M1162" s="130">
        <v>0</v>
      </c>
      <c r="N1162" s="130">
        <v>0</v>
      </c>
      <c r="O11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3" spans="1:15" x14ac:dyDescent="0.25">
      <c r="A1163" s="15">
        <v>33070754080</v>
      </c>
      <c r="B1163" s="16" t="str">
        <f>VLOOKUP(Projeção[[#This Row],[Código]],BD_Produto[#All],6,FALSE)</f>
        <v>TARIFOLD T-DISPLAY, PASTA A5, COM PINO, CORES SORTIDAS, RETRATO - KIT COM 10 - PN:115009</v>
      </c>
      <c r="C1163" s="130">
        <v>0</v>
      </c>
      <c r="D1163" s="130">
        <v>0</v>
      </c>
      <c r="E1163" s="130">
        <v>0</v>
      </c>
      <c r="F1163" s="130">
        <v>0</v>
      </c>
      <c r="G1163" s="130">
        <v>0</v>
      </c>
      <c r="H1163" s="130">
        <v>0</v>
      </c>
      <c r="I1163" s="130">
        <v>0</v>
      </c>
      <c r="J1163" s="130">
        <v>0</v>
      </c>
      <c r="K1163" s="130">
        <v>0</v>
      </c>
      <c r="L1163" s="130">
        <v>0</v>
      </c>
      <c r="M1163" s="130">
        <v>0</v>
      </c>
      <c r="N1163" s="130">
        <v>0</v>
      </c>
      <c r="O11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4" spans="1:15" x14ac:dyDescent="0.25">
      <c r="A1164" s="15">
        <v>33070754115</v>
      </c>
      <c r="B1164" s="16" t="str">
        <f>VLOOKUP(Projeção[[#This Row],[Código]],BD_Produto[#All],6,FALSE)</f>
        <v>TARIFOLD T-DISPLAY, PIVORACK, SUPORTE PARA ESTANTERIA - PN:604850</v>
      </c>
      <c r="C1164" s="130">
        <v>0</v>
      </c>
      <c r="D1164" s="130">
        <v>0</v>
      </c>
      <c r="E1164" s="130">
        <v>0</v>
      </c>
      <c r="F1164" s="130">
        <v>0</v>
      </c>
      <c r="G1164" s="130">
        <v>0</v>
      </c>
      <c r="H1164" s="130">
        <v>0</v>
      </c>
      <c r="I1164" s="130">
        <v>0</v>
      </c>
      <c r="J1164" s="130">
        <v>0</v>
      </c>
      <c r="K1164" s="130">
        <v>0</v>
      </c>
      <c r="L1164" s="130">
        <v>0</v>
      </c>
      <c r="M1164" s="130">
        <v>0</v>
      </c>
      <c r="N1164" s="130">
        <v>0</v>
      </c>
      <c r="O11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5" spans="1:15" x14ac:dyDescent="0.25">
      <c r="A1165" s="15">
        <v>33070754092</v>
      </c>
      <c r="B1165" s="16" t="str">
        <f>VLOOKUP(Projeção[[#This Row],[Código]],BD_Produto[#All],6,FALSE)</f>
        <v>TARIFOLD T-DISPLAY, PLUG CINZA - KIT COM 4 - PN:200000</v>
      </c>
      <c r="C1165" s="130">
        <v>0</v>
      </c>
      <c r="D1165" s="130">
        <v>0</v>
      </c>
      <c r="E1165" s="130">
        <v>0</v>
      </c>
      <c r="F1165" s="130">
        <v>0</v>
      </c>
      <c r="G1165" s="130">
        <v>0</v>
      </c>
      <c r="H1165" s="130">
        <v>0</v>
      </c>
      <c r="I1165" s="130">
        <v>0</v>
      </c>
      <c r="J1165" s="130">
        <v>0</v>
      </c>
      <c r="K1165" s="130">
        <v>0</v>
      </c>
      <c r="L1165" s="130">
        <v>0</v>
      </c>
      <c r="M1165" s="130">
        <v>0</v>
      </c>
      <c r="N1165" s="130">
        <v>0</v>
      </c>
      <c r="O11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6" spans="1:15" x14ac:dyDescent="0.25">
      <c r="A1166" s="15">
        <v>33070754108</v>
      </c>
      <c r="B1166" s="16" t="str">
        <f>VLOOKUP(Projeção[[#This Row],[Código]],BD_Produto[#All],6,FALSE)</f>
        <v>TARIFOLD T-DISPLAY, SUPORTE DE MESA INDUSTRIAL A3 (30) PARA 10 PASTAS - PN:223100</v>
      </c>
      <c r="C1166" s="130">
        <v>0</v>
      </c>
      <c r="D1166" s="130">
        <v>0</v>
      </c>
      <c r="E1166" s="130">
        <v>0</v>
      </c>
      <c r="F1166" s="130">
        <v>0</v>
      </c>
      <c r="G1166" s="130">
        <v>0</v>
      </c>
      <c r="H1166" s="130">
        <v>0</v>
      </c>
      <c r="I1166" s="130">
        <v>0</v>
      </c>
      <c r="J1166" s="130">
        <v>0</v>
      </c>
      <c r="K1166" s="130">
        <v>0</v>
      </c>
      <c r="L1166" s="130">
        <v>0</v>
      </c>
      <c r="M1166" s="130">
        <v>0</v>
      </c>
      <c r="N1166" s="130">
        <v>0</v>
      </c>
      <c r="O11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7" spans="1:15" x14ac:dyDescent="0.25">
      <c r="A1167" s="15">
        <v>33070754109</v>
      </c>
      <c r="B1167" s="16" t="str">
        <f>VLOOKUP(Projeção[[#This Row],[Código]],BD_Produto[#All],6,FALSE)</f>
        <v>TARIFOLD T-DISPLAY, SUPORTE DE MESA INDUSTRIAL A3 (30) PARA 30 PASTAS - PN:223300</v>
      </c>
      <c r="C1167" s="130">
        <v>0</v>
      </c>
      <c r="D1167" s="130">
        <v>0</v>
      </c>
      <c r="E1167" s="130">
        <v>0</v>
      </c>
      <c r="F1167" s="130">
        <v>0</v>
      </c>
      <c r="G1167" s="130">
        <v>0</v>
      </c>
      <c r="H1167" s="130">
        <v>0</v>
      </c>
      <c r="I1167" s="130">
        <v>0</v>
      </c>
      <c r="J1167" s="130">
        <v>0</v>
      </c>
      <c r="K1167" s="130">
        <v>0</v>
      </c>
      <c r="L1167" s="130">
        <v>0</v>
      </c>
      <c r="M1167" s="130">
        <v>0</v>
      </c>
      <c r="N1167" s="130">
        <v>0</v>
      </c>
      <c r="O11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68" spans="1:15" x14ac:dyDescent="0.25">
      <c r="A1168" s="15">
        <v>33070760267</v>
      </c>
      <c r="B1168" s="16" t="str">
        <f>VLOOKUP(Projeção[[#This Row],[Código]],BD_Produto[#All],6,FALSE)</f>
        <v>TARIFOLD T-DISPLAY, SUPORTE DE MESA INDUSTRIAL A4 (30) + 10 PASTAS ANTI-MICROBIAIS PRETAS - PN:434157</v>
      </c>
      <c r="C1168" s="130">
        <v>0.19999999999999998</v>
      </c>
      <c r="D1168" s="130">
        <v>3.3333333333333333E-2</v>
      </c>
      <c r="E1168" s="130">
        <v>3.3333333333333333E-2</v>
      </c>
      <c r="F1168" s="130">
        <v>3.3333333333333333E-2</v>
      </c>
      <c r="G1168" s="130">
        <v>3.3333333333333333E-2</v>
      </c>
      <c r="H1168" s="130">
        <v>3.3333333333333333E-2</v>
      </c>
      <c r="I1168" s="130">
        <v>3.3333333333333333E-2</v>
      </c>
      <c r="J1168" s="130">
        <v>3.3333333333333333E-2</v>
      </c>
      <c r="K1168" s="130">
        <v>3.3333333333333333E-2</v>
      </c>
      <c r="L1168" s="130">
        <v>3.3333333333333333E-2</v>
      </c>
      <c r="M1168" s="130">
        <v>3.3333333333333333E-2</v>
      </c>
      <c r="N1168" s="130">
        <v>0</v>
      </c>
      <c r="O11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1169" spans="1:15" x14ac:dyDescent="0.25">
      <c r="A1169" s="15">
        <v>33070754097</v>
      </c>
      <c r="B1169" s="16" t="str">
        <f>VLOOKUP(Projeção[[#This Row],[Código]],BD_Produto[#All],6,FALSE)</f>
        <v>TARIFOLD T-DISPLAY, SUPORTE DE MESA INDUSTRIAL A4 (30) PARA 10 PASTAS - PN:224100</v>
      </c>
      <c r="C1169" s="130">
        <v>0</v>
      </c>
      <c r="D1169" s="130">
        <v>0</v>
      </c>
      <c r="E1169" s="130">
        <v>0</v>
      </c>
      <c r="F1169" s="130">
        <v>0</v>
      </c>
      <c r="G1169" s="130">
        <v>0</v>
      </c>
      <c r="H1169" s="130">
        <v>0</v>
      </c>
      <c r="I1169" s="130">
        <v>0</v>
      </c>
      <c r="J1169" s="130">
        <v>0</v>
      </c>
      <c r="K1169" s="130">
        <v>0</v>
      </c>
      <c r="L1169" s="130">
        <v>0</v>
      </c>
      <c r="M1169" s="130">
        <v>0</v>
      </c>
      <c r="N1169" s="130">
        <v>0</v>
      </c>
      <c r="O11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0" spans="1:15" x14ac:dyDescent="0.25">
      <c r="A1170" s="15">
        <v>33070754098</v>
      </c>
      <c r="B1170" s="16" t="str">
        <f>VLOOKUP(Projeção[[#This Row],[Código]],BD_Produto[#All],6,FALSE)</f>
        <v>TARIFOLD T-DISPLAY, SUPORTE DE MESA INDUSTRIAL A4 (30) PARA 20 PASTAS - PN:224200</v>
      </c>
      <c r="C1170" s="130">
        <v>0</v>
      </c>
      <c r="D1170" s="130">
        <v>0</v>
      </c>
      <c r="E1170" s="130">
        <v>0</v>
      </c>
      <c r="F1170" s="130">
        <v>0</v>
      </c>
      <c r="G1170" s="130">
        <v>0</v>
      </c>
      <c r="H1170" s="130">
        <v>0</v>
      </c>
      <c r="I1170" s="130">
        <v>0</v>
      </c>
      <c r="J1170" s="130">
        <v>0</v>
      </c>
      <c r="K1170" s="130">
        <v>0</v>
      </c>
      <c r="L1170" s="130">
        <v>0</v>
      </c>
      <c r="M1170" s="130">
        <v>0</v>
      </c>
      <c r="N1170" s="130">
        <v>0</v>
      </c>
      <c r="O11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1" spans="1:15" x14ac:dyDescent="0.25">
      <c r="A1171" s="15">
        <v>33070754099</v>
      </c>
      <c r="B1171" s="16" t="str">
        <f>VLOOKUP(Projeção[[#This Row],[Código]],BD_Produto[#All],6,FALSE)</f>
        <v>TARIFOLD T-DISPLAY, SUPORTE DE MESA INDUSTRIAL A4 (30) PARA 30 PASTAS - PN:224300</v>
      </c>
      <c r="C1171" s="130">
        <v>0</v>
      </c>
      <c r="D1171" s="130">
        <v>0</v>
      </c>
      <c r="E1171" s="130">
        <v>0</v>
      </c>
      <c r="F1171" s="130">
        <v>0</v>
      </c>
      <c r="G1171" s="130">
        <v>0</v>
      </c>
      <c r="H1171" s="130">
        <v>0</v>
      </c>
      <c r="I1171" s="130">
        <v>0</v>
      </c>
      <c r="J1171" s="130">
        <v>0</v>
      </c>
      <c r="K1171" s="130">
        <v>0</v>
      </c>
      <c r="L1171" s="130">
        <v>0</v>
      </c>
      <c r="M1171" s="130">
        <v>0</v>
      </c>
      <c r="N1171" s="130">
        <v>0</v>
      </c>
      <c r="O11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2" spans="1:15" x14ac:dyDescent="0.25">
      <c r="A1172" s="15">
        <v>33070754100</v>
      </c>
      <c r="B1172" s="16" t="str">
        <f>VLOOKUP(Projeção[[#This Row],[Código]],BD_Produto[#All],6,FALSE)</f>
        <v>TARIFOLD T-DISPLAY, SUPORTE DE MESA INDUSTRIAL A4 (60) PARA 40 PASTAS - PN:224400</v>
      </c>
      <c r="C1172" s="130">
        <v>0</v>
      </c>
      <c r="D1172" s="130">
        <v>0</v>
      </c>
      <c r="E1172" s="130">
        <v>0</v>
      </c>
      <c r="F1172" s="130">
        <v>0</v>
      </c>
      <c r="G1172" s="130">
        <v>0</v>
      </c>
      <c r="H1172" s="130">
        <v>0</v>
      </c>
      <c r="I1172" s="130">
        <v>0</v>
      </c>
      <c r="J1172" s="130">
        <v>0</v>
      </c>
      <c r="K1172" s="130">
        <v>0</v>
      </c>
      <c r="L1172" s="130">
        <v>0</v>
      </c>
      <c r="M1172" s="130">
        <v>0</v>
      </c>
      <c r="N1172" s="130">
        <v>0</v>
      </c>
      <c r="O11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3" spans="1:15" ht="15" customHeight="1" x14ac:dyDescent="0.25">
      <c r="A1173" s="15">
        <v>33070754101</v>
      </c>
      <c r="B1173" s="16" t="str">
        <f>VLOOKUP(Projeção[[#This Row],[Código]],BD_Produto[#All],6,FALSE)</f>
        <v>TARIFOLD T-DISPLAY, SUPORTE DE MESA INDUSTRIAL A4 (60) PARA 50 PASTAS - PN:224500</v>
      </c>
      <c r="C1173" s="130">
        <v>0</v>
      </c>
      <c r="D1173" s="130">
        <v>0</v>
      </c>
      <c r="E1173" s="130">
        <v>0</v>
      </c>
      <c r="F1173" s="130">
        <v>0</v>
      </c>
      <c r="G1173" s="130">
        <v>0</v>
      </c>
      <c r="H1173" s="130">
        <v>0</v>
      </c>
      <c r="I1173" s="130">
        <v>0</v>
      </c>
      <c r="J1173" s="130">
        <v>0</v>
      </c>
      <c r="K1173" s="130">
        <v>0</v>
      </c>
      <c r="L1173" s="130">
        <v>0</v>
      </c>
      <c r="M1173" s="130">
        <v>0</v>
      </c>
      <c r="N1173" s="130">
        <v>0</v>
      </c>
      <c r="O11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4" spans="1:15" ht="15" customHeight="1" x14ac:dyDescent="0.25">
      <c r="A1174" s="15">
        <v>33070754102</v>
      </c>
      <c r="B1174" s="16" t="str">
        <f>VLOOKUP(Projeção[[#This Row],[Código]],BD_Produto[#All],6,FALSE)</f>
        <v>TARIFOLD T-DISPLAY, SUPORTE DE MESA INDUSTRIAL A4 (60) PARA 60 PASTAS - PN:224600</v>
      </c>
      <c r="C1174" s="130">
        <v>0</v>
      </c>
      <c r="D1174" s="130">
        <v>0</v>
      </c>
      <c r="E1174" s="130">
        <v>0</v>
      </c>
      <c r="F1174" s="130">
        <v>0</v>
      </c>
      <c r="G1174" s="130">
        <v>0</v>
      </c>
      <c r="H1174" s="130">
        <v>0</v>
      </c>
      <c r="I1174" s="130">
        <v>0</v>
      </c>
      <c r="J1174" s="130">
        <v>0</v>
      </c>
      <c r="K1174" s="130">
        <v>0</v>
      </c>
      <c r="L1174" s="130">
        <v>0</v>
      </c>
      <c r="M1174" s="130">
        <v>0</v>
      </c>
      <c r="N1174" s="130">
        <v>0</v>
      </c>
      <c r="O11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5" spans="1:15" ht="15" customHeight="1" x14ac:dyDescent="0.25">
      <c r="A1175" s="15">
        <v>33070754103</v>
      </c>
      <c r="B1175" s="16" t="str">
        <f>VLOOKUP(Projeção[[#This Row],[Código]],BD_Produto[#All],6,FALSE)</f>
        <v>TARIFOLD T-DISPLAY, SUPORTE DE MESA INDUSTRIAL A5 (30) PARA 10 PASTAS - PN:225100</v>
      </c>
      <c r="C1175" s="130">
        <v>0</v>
      </c>
      <c r="D1175" s="130">
        <v>0</v>
      </c>
      <c r="E1175" s="130">
        <v>0</v>
      </c>
      <c r="F1175" s="130">
        <v>0</v>
      </c>
      <c r="G1175" s="130">
        <v>0</v>
      </c>
      <c r="H1175" s="130">
        <v>0</v>
      </c>
      <c r="I1175" s="130">
        <v>0</v>
      </c>
      <c r="J1175" s="130">
        <v>0</v>
      </c>
      <c r="K1175" s="130">
        <v>0</v>
      </c>
      <c r="L1175" s="130">
        <v>0</v>
      </c>
      <c r="M1175" s="130">
        <v>0</v>
      </c>
      <c r="N1175" s="130">
        <v>0</v>
      </c>
      <c r="O11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6" spans="1:15" ht="15" customHeight="1" x14ac:dyDescent="0.25">
      <c r="A1176" s="15">
        <v>33070754104</v>
      </c>
      <c r="B1176" s="16" t="str">
        <f>VLOOKUP(Projeção[[#This Row],[Código]],BD_Produto[#All],6,FALSE)</f>
        <v>TARIFOLD T-DISPLAY, SUPORTE DE MESA INDUSTRIAL A5 (30) PARA 20 PASTAS - PN:225200</v>
      </c>
      <c r="C1176" s="130">
        <v>0</v>
      </c>
      <c r="D1176" s="130">
        <v>0</v>
      </c>
      <c r="E1176" s="130">
        <v>0</v>
      </c>
      <c r="F1176" s="130">
        <v>0</v>
      </c>
      <c r="G1176" s="130">
        <v>0</v>
      </c>
      <c r="H1176" s="130">
        <v>0</v>
      </c>
      <c r="I1176" s="130">
        <v>0</v>
      </c>
      <c r="J1176" s="130">
        <v>0</v>
      </c>
      <c r="K1176" s="130">
        <v>0</v>
      </c>
      <c r="L1176" s="130">
        <v>0</v>
      </c>
      <c r="M1176" s="130">
        <v>0</v>
      </c>
      <c r="N1176" s="130">
        <v>0</v>
      </c>
      <c r="O11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7" spans="1:15" ht="12.75" customHeight="1" x14ac:dyDescent="0.25">
      <c r="A1177" s="15">
        <v>33070754105</v>
      </c>
      <c r="B1177" s="16" t="str">
        <f>VLOOKUP(Projeção[[#This Row],[Código]],BD_Produto[#All],6,FALSE)</f>
        <v>TARIFOLD T-DISPLAY, SUPORTE DE MESA INDUSTRIAL A5 (30) PARA 30 PASTAS - PN:225300</v>
      </c>
      <c r="C1177" s="130">
        <v>0</v>
      </c>
      <c r="D1177" s="130">
        <v>0</v>
      </c>
      <c r="E1177" s="130">
        <v>0</v>
      </c>
      <c r="F1177" s="130">
        <v>0</v>
      </c>
      <c r="G1177" s="130">
        <v>0</v>
      </c>
      <c r="H1177" s="130">
        <v>0</v>
      </c>
      <c r="I1177" s="130">
        <v>0</v>
      </c>
      <c r="J1177" s="130">
        <v>0</v>
      </c>
      <c r="K1177" s="130">
        <v>0</v>
      </c>
      <c r="L1177" s="130">
        <v>0</v>
      </c>
      <c r="M1177" s="130">
        <v>0</v>
      </c>
      <c r="N1177" s="130">
        <v>0</v>
      </c>
      <c r="O11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8" spans="1:15" ht="12.75" customHeight="1" x14ac:dyDescent="0.25">
      <c r="A1178" s="15">
        <v>33070754106</v>
      </c>
      <c r="B1178" s="16" t="str">
        <f>VLOOKUP(Projeção[[#This Row],[Código]],BD_Produto[#All],6,FALSE)</f>
        <v>TARIFOLD T-DISPLAY, SUPORTE DE MESA INDUSTRIAL A5 (60) PARA 50 PASTAS - PN:225500</v>
      </c>
      <c r="C1178" s="130">
        <v>0</v>
      </c>
      <c r="D1178" s="130">
        <v>0</v>
      </c>
      <c r="E1178" s="130">
        <v>0</v>
      </c>
      <c r="F1178" s="130">
        <v>0</v>
      </c>
      <c r="G1178" s="130">
        <v>0</v>
      </c>
      <c r="H1178" s="130">
        <v>0</v>
      </c>
      <c r="I1178" s="130">
        <v>0</v>
      </c>
      <c r="J1178" s="130">
        <v>0</v>
      </c>
      <c r="K1178" s="130">
        <v>0</v>
      </c>
      <c r="L1178" s="130">
        <v>0</v>
      </c>
      <c r="M1178" s="130">
        <v>0</v>
      </c>
      <c r="N1178" s="130">
        <v>0</v>
      </c>
      <c r="O11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79" spans="1:15" ht="12.75" customHeight="1" x14ac:dyDescent="0.25">
      <c r="A1179" s="15">
        <v>33070754107</v>
      </c>
      <c r="B1179" s="16" t="str">
        <f>VLOOKUP(Projeção[[#This Row],[Código]],BD_Produto[#All],6,FALSE)</f>
        <v>TARIFOLD T-DISPLAY, SUPORTE DE MESA INDUSTRIAL A5 (60) PARA 60 PASTAS - PN:225600</v>
      </c>
      <c r="C1179" s="130">
        <v>0</v>
      </c>
      <c r="D1179" s="130">
        <v>0</v>
      </c>
      <c r="E1179" s="130">
        <v>0</v>
      </c>
      <c r="F1179" s="130">
        <v>0</v>
      </c>
      <c r="G1179" s="130">
        <v>0</v>
      </c>
      <c r="H1179" s="130">
        <v>0</v>
      </c>
      <c r="I1179" s="130">
        <v>0</v>
      </c>
      <c r="J1179" s="130">
        <v>0</v>
      </c>
      <c r="K1179" s="130">
        <v>0</v>
      </c>
      <c r="L1179" s="130">
        <v>0</v>
      </c>
      <c r="M1179" s="130">
        <v>0</v>
      </c>
      <c r="N1179" s="130">
        <v>0</v>
      </c>
      <c r="O11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0" spans="1:15" ht="12.75" customHeight="1" x14ac:dyDescent="0.25">
      <c r="A1180" s="15">
        <v>33070754116</v>
      </c>
      <c r="B1180" s="16" t="str">
        <f>VLOOKUP(Projeção[[#This Row],[Código]],BD_Produto[#All],6,FALSE)</f>
        <v>TARIFOLD T-DISPLAY, SUPORTE DE MESA MINISTAND, A5, COM 10 PASTAS, AZUIS - PN:479101</v>
      </c>
      <c r="C1180" s="130">
        <v>0</v>
      </c>
      <c r="D1180" s="130">
        <v>0</v>
      </c>
      <c r="E1180" s="130">
        <v>0</v>
      </c>
      <c r="F1180" s="130">
        <v>0</v>
      </c>
      <c r="G1180" s="130">
        <v>0</v>
      </c>
      <c r="H1180" s="130">
        <v>0</v>
      </c>
      <c r="I1180" s="130">
        <v>0</v>
      </c>
      <c r="J1180" s="130">
        <v>0</v>
      </c>
      <c r="K1180" s="130">
        <v>0</v>
      </c>
      <c r="L1180" s="130">
        <v>0</v>
      </c>
      <c r="M1180" s="130">
        <v>0</v>
      </c>
      <c r="N1180" s="130">
        <v>0</v>
      </c>
      <c r="O11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1" spans="1:15" ht="12.75" customHeight="1" x14ac:dyDescent="0.25">
      <c r="A1181" s="15">
        <v>33070754060</v>
      </c>
      <c r="B1181" s="16" t="str">
        <f>VLOOKUP(Projeção[[#This Row],[Código]],BD_Produto[#All],6,FALSE)</f>
        <v>TARIFOLD T-DISPLAY, SUPORTE DE MESA OFFICE A4 + 10 PASTAS AZUIS - PN:734301</v>
      </c>
      <c r="C1181" s="130">
        <v>9.9999999999999992E-2</v>
      </c>
      <c r="D1181" s="130">
        <v>9.9999999999999992E-2</v>
      </c>
      <c r="E1181" s="130">
        <v>9.9999999999999992E-2</v>
      </c>
      <c r="F1181" s="130">
        <v>9.9999999999999992E-2</v>
      </c>
      <c r="G1181" s="130">
        <v>9.9999999999999992E-2</v>
      </c>
      <c r="H1181" s="130">
        <v>9.9999999999999992E-2</v>
      </c>
      <c r="I1181" s="130">
        <v>9.9999999999999992E-2</v>
      </c>
      <c r="J1181" s="130">
        <v>0</v>
      </c>
      <c r="K1181" s="130">
        <v>9.9999999999999992E-2</v>
      </c>
      <c r="L1181" s="130">
        <v>0</v>
      </c>
      <c r="M1181" s="130">
        <v>0</v>
      </c>
      <c r="N1181" s="130">
        <v>0</v>
      </c>
      <c r="O11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2" spans="1:15" ht="12.75" customHeight="1" x14ac:dyDescent="0.25">
      <c r="A1182" s="15">
        <v>33070754067</v>
      </c>
      <c r="B1182" s="16" t="str">
        <f>VLOOKUP(Projeção[[#This Row],[Código]],BD_Produto[#All],6,FALSE)</f>
        <v>TARIFOLD T-DISPLAY, SUPORTE DE MESA OFFICE A4 + 10 PASTAS CINZAS - PN:734300</v>
      </c>
      <c r="C1182" s="130">
        <v>0</v>
      </c>
      <c r="D1182" s="130">
        <v>0</v>
      </c>
      <c r="E1182" s="130">
        <v>0</v>
      </c>
      <c r="F1182" s="130">
        <v>0</v>
      </c>
      <c r="G1182" s="130">
        <v>0</v>
      </c>
      <c r="H1182" s="130">
        <v>0</v>
      </c>
      <c r="I1182" s="130">
        <v>0</v>
      </c>
      <c r="J1182" s="130">
        <v>0</v>
      </c>
      <c r="K1182" s="130">
        <v>0</v>
      </c>
      <c r="L1182" s="130">
        <v>0</v>
      </c>
      <c r="M1182" s="130">
        <v>0</v>
      </c>
      <c r="N1182" s="130">
        <v>0</v>
      </c>
      <c r="O11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3" spans="1:15" ht="12.75" customHeight="1" x14ac:dyDescent="0.25">
      <c r="A1183" s="15">
        <v>33070754071</v>
      </c>
      <c r="B1183" s="16" t="str">
        <f>VLOOKUP(Projeção[[#This Row],[Código]],BD_Produto[#All],6,FALSE)</f>
        <v>TARIFOLD T-DISPLAY, SUPORTE DE MESA ORBITAL A4 + 10 PASTAS - PN:734710</v>
      </c>
      <c r="C1183" s="130">
        <v>0</v>
      </c>
      <c r="D1183" s="130">
        <v>0</v>
      </c>
      <c r="E1183" s="130">
        <v>0</v>
      </c>
      <c r="F1183" s="130">
        <v>0</v>
      </c>
      <c r="G1183" s="130">
        <v>0</v>
      </c>
      <c r="H1183" s="130">
        <v>0</v>
      </c>
      <c r="I1183" s="130">
        <v>0</v>
      </c>
      <c r="J1183" s="130">
        <v>0</v>
      </c>
      <c r="K1183" s="130">
        <v>0</v>
      </c>
      <c r="L1183" s="130">
        <v>0</v>
      </c>
      <c r="M1183" s="130">
        <v>0</v>
      </c>
      <c r="N1183" s="130">
        <v>0</v>
      </c>
      <c r="O11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4" spans="1:15" ht="12.75" customHeight="1" x14ac:dyDescent="0.25">
      <c r="A1184" s="15">
        <v>33070754130</v>
      </c>
      <c r="B1184" s="16" t="str">
        <f>VLOOKUP(Projeção[[#This Row],[Código]],BD_Produto[#All],6,FALSE)</f>
        <v>TARIFOLD T-DISPLAY, SUPORTE DE MESA ORBITAL A4 + 10 PASTAS A4 LILAS - PN:734708</v>
      </c>
      <c r="C1184" s="130">
        <v>0</v>
      </c>
      <c r="D1184" s="130">
        <v>0</v>
      </c>
      <c r="E1184" s="130">
        <v>0</v>
      </c>
      <c r="F1184" s="130">
        <v>0</v>
      </c>
      <c r="G1184" s="130">
        <v>0</v>
      </c>
      <c r="H1184" s="130">
        <v>0</v>
      </c>
      <c r="I1184" s="130">
        <v>0</v>
      </c>
      <c r="J1184" s="130">
        <v>0</v>
      </c>
      <c r="K1184" s="130">
        <v>0</v>
      </c>
      <c r="L1184" s="130">
        <v>0</v>
      </c>
      <c r="M1184" s="130">
        <v>0</v>
      </c>
      <c r="N1184" s="130">
        <v>0</v>
      </c>
      <c r="O11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5" spans="1:15" ht="12.75" customHeight="1" x14ac:dyDescent="0.25">
      <c r="A1185" s="15">
        <v>33070754112</v>
      </c>
      <c r="B1185" s="16" t="str">
        <f>VLOOKUP(Projeção[[#This Row],[Código]],BD_Produto[#All],6,FALSE)</f>
        <v>TARIFOLD T-DISPLAY, SUPORTE DE MESA ROTARIVO A4 PARA ATÉ 50 PASTAS - PN:234000</v>
      </c>
      <c r="C1185" s="130">
        <v>0</v>
      </c>
      <c r="D1185" s="130">
        <v>0</v>
      </c>
      <c r="E1185" s="130">
        <v>0</v>
      </c>
      <c r="F1185" s="130">
        <v>0</v>
      </c>
      <c r="G1185" s="130">
        <v>0</v>
      </c>
      <c r="H1185" s="130">
        <v>0</v>
      </c>
      <c r="I1185" s="130">
        <v>0</v>
      </c>
      <c r="J1185" s="130">
        <v>0</v>
      </c>
      <c r="K1185" s="130">
        <v>0</v>
      </c>
      <c r="L1185" s="130">
        <v>0</v>
      </c>
      <c r="M1185" s="130">
        <v>0</v>
      </c>
      <c r="N1185" s="130">
        <v>0</v>
      </c>
      <c r="O11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6" spans="1:15" ht="12.75" customHeight="1" x14ac:dyDescent="0.25">
      <c r="A1186" s="15">
        <v>33070754113</v>
      </c>
      <c r="B1186" s="16" t="str">
        <f>VLOOKUP(Projeção[[#This Row],[Código]],BD_Produto[#All],6,FALSE)</f>
        <v>TARIFOLD T-DISPLAY, SUPORTE DE MESA ROTARIVO A4 PARA ATÉ 50 PASTAS + 40 PASTAS CORES SORTIDAS - PN:444409</v>
      </c>
      <c r="C1186" s="130">
        <v>0</v>
      </c>
      <c r="D1186" s="130">
        <v>0</v>
      </c>
      <c r="E1186" s="130">
        <v>0</v>
      </c>
      <c r="F1186" s="130">
        <v>0</v>
      </c>
      <c r="G1186" s="130">
        <v>0</v>
      </c>
      <c r="H1186" s="130">
        <v>0</v>
      </c>
      <c r="I1186" s="130">
        <v>0</v>
      </c>
      <c r="J1186" s="130">
        <v>0</v>
      </c>
      <c r="K1186" s="130">
        <v>0</v>
      </c>
      <c r="L1186" s="130">
        <v>0</v>
      </c>
      <c r="M1186" s="130">
        <v>0.23333333333333334</v>
      </c>
      <c r="N1186" s="130">
        <v>0.23333333333333334</v>
      </c>
      <c r="O11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187" spans="1:15" ht="12.75" customHeight="1" x14ac:dyDescent="0.25">
      <c r="A1187" s="15">
        <v>33070763456</v>
      </c>
      <c r="B1187" s="16" t="str">
        <f>VLOOKUP(Projeção[[#This Row],[Código]],BD_Produto[#All],6,FALSE)</f>
        <v>Tarifold T-Display, Suporte de Mesa Veo com 10 pastas pretas - PN:744107</v>
      </c>
      <c r="C1187" s="130">
        <v>0</v>
      </c>
      <c r="D1187" s="130">
        <v>0</v>
      </c>
      <c r="E1187" s="130">
        <v>0</v>
      </c>
      <c r="F1187" s="130">
        <v>0</v>
      </c>
      <c r="G1187" s="130">
        <v>0</v>
      </c>
      <c r="H1187" s="130">
        <v>0</v>
      </c>
      <c r="I1187" s="130">
        <v>0</v>
      </c>
      <c r="J1187" s="130">
        <v>0</v>
      </c>
      <c r="K1187" s="130">
        <v>0</v>
      </c>
      <c r="L1187" s="130">
        <v>0</v>
      </c>
      <c r="M1187" s="130">
        <v>0</v>
      </c>
      <c r="N1187" s="130">
        <v>0</v>
      </c>
      <c r="O11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8" spans="1:15" ht="12.75" customHeight="1" x14ac:dyDescent="0.25">
      <c r="A1188" s="15">
        <v>33070754095</v>
      </c>
      <c r="B1188" s="16" t="str">
        <f>VLOOKUP(Projeção[[#This Row],[Código]],BD_Produto[#All],6,FALSE)</f>
        <v>TARIFOLD T-DISPLAY, SUPORTE DE PAREDE INDUSTRIAL A3 PARA 10 PASTAS + PLGGERS - PN:213000</v>
      </c>
      <c r="C1188" s="130">
        <v>3.3333333333333333E-2</v>
      </c>
      <c r="D1188" s="130">
        <v>3.3333333333333333E-2</v>
      </c>
      <c r="E1188" s="130">
        <v>3.3333333333333333E-2</v>
      </c>
      <c r="F1188" s="130">
        <v>3.3333333333333333E-2</v>
      </c>
      <c r="G1188" s="130">
        <v>0</v>
      </c>
      <c r="H1188" s="130">
        <v>0</v>
      </c>
      <c r="I1188" s="130">
        <v>0</v>
      </c>
      <c r="J1188" s="130">
        <v>0</v>
      </c>
      <c r="K1188" s="130">
        <v>0</v>
      </c>
      <c r="L1188" s="130">
        <v>0</v>
      </c>
      <c r="M1188" s="130">
        <v>0</v>
      </c>
      <c r="N1188" s="130">
        <v>0</v>
      </c>
      <c r="O11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89" spans="1:15" ht="12.75" customHeight="1" x14ac:dyDescent="0.25">
      <c r="A1189" s="15">
        <v>33070754094</v>
      </c>
      <c r="B1189" s="17" t="str">
        <f>VLOOKUP(Projeção[[#This Row],[Código]],BD_Produto[#All],6,FALSE)</f>
        <v>TARIFOLD T-DISPLAY, SUPORTE DE PAREDE INDUSTRIAL A3 PARA 10 PASTAS + PLGGERS - PN:215000</v>
      </c>
      <c r="C1189" s="130">
        <v>0</v>
      </c>
      <c r="D1189" s="130">
        <v>0</v>
      </c>
      <c r="E1189" s="130">
        <v>0</v>
      </c>
      <c r="F1189" s="130">
        <v>0</v>
      </c>
      <c r="G1189" s="130">
        <v>0</v>
      </c>
      <c r="H1189" s="130">
        <v>0</v>
      </c>
      <c r="I1189" s="130">
        <v>0</v>
      </c>
      <c r="J1189" s="130">
        <v>0</v>
      </c>
      <c r="K1189" s="130">
        <v>0</v>
      </c>
      <c r="L1189" s="130">
        <v>0</v>
      </c>
      <c r="M1189" s="130">
        <v>0</v>
      </c>
      <c r="N1189" s="130">
        <v>0</v>
      </c>
      <c r="O11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0" spans="1:15" ht="12.75" customHeight="1" x14ac:dyDescent="0.25">
      <c r="A1190" s="15">
        <v>33070760266</v>
      </c>
      <c r="B1190" s="16" t="str">
        <f>VLOOKUP(Projeção[[#This Row],[Código]],BD_Produto[#All],6,FALSE)</f>
        <v>TARIFOLD T-DISPLAY, SUPORTE DE PAREDE INDUSTRIAL A4 + 10 PASTAS ANTI-MICROBIAIS PRETAS - PN:414507</v>
      </c>
      <c r="C1190" s="130">
        <v>0.66666666666666663</v>
      </c>
      <c r="D1190" s="130">
        <v>10.166666666666668</v>
      </c>
      <c r="E1190" s="130">
        <v>3.3666666666666667</v>
      </c>
      <c r="F1190" s="130">
        <v>9</v>
      </c>
      <c r="G1190" s="130">
        <v>2.7333333333333338</v>
      </c>
      <c r="H1190" s="130">
        <v>4.3999999999999995</v>
      </c>
      <c r="I1190" s="130">
        <v>4.3999999999999995</v>
      </c>
      <c r="J1190" s="130">
        <v>3.0666666666666664</v>
      </c>
      <c r="K1190" s="130">
        <v>4.3999999999999995</v>
      </c>
      <c r="L1190" s="130">
        <v>2.1</v>
      </c>
      <c r="M1190" s="130">
        <v>2.5999999999999996</v>
      </c>
      <c r="N1190" s="130">
        <v>2.5999999999999996</v>
      </c>
      <c r="O11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2.1999999999999997</v>
      </c>
    </row>
    <row r="1191" spans="1:15" ht="12.75" customHeight="1" x14ac:dyDescent="0.25">
      <c r="A1191" s="15">
        <v>33070754096</v>
      </c>
      <c r="B1191" s="16" t="str">
        <f>VLOOKUP(Projeção[[#This Row],[Código]],BD_Produto[#All],6,FALSE)</f>
        <v>TARIFOLD T-DISPLAY, SUPORTE DE PAREDE INDUSTRIAL A4 + 10 PASTAS CORES SORTIDAS - PN:464109</v>
      </c>
      <c r="C1191" s="130">
        <v>6.6666666666666666E-2</v>
      </c>
      <c r="D1191" s="130">
        <v>6.6666666666666666E-2</v>
      </c>
      <c r="E1191" s="130">
        <v>6.6666666666666666E-2</v>
      </c>
      <c r="F1191" s="130">
        <v>6.6666666666666666E-2</v>
      </c>
      <c r="G1191" s="130">
        <v>6.6666666666666666E-2</v>
      </c>
      <c r="H1191" s="130">
        <v>0</v>
      </c>
      <c r="I1191" s="130">
        <v>0</v>
      </c>
      <c r="J1191" s="130">
        <v>0</v>
      </c>
      <c r="K1191" s="130">
        <v>0</v>
      </c>
      <c r="L1191" s="130">
        <v>0</v>
      </c>
      <c r="M1191" s="130">
        <v>0</v>
      </c>
      <c r="N1191" s="130">
        <v>0</v>
      </c>
      <c r="O11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2" spans="1:15" ht="12.75" customHeight="1" x14ac:dyDescent="0.25">
      <c r="A1192" s="15">
        <v>33070754124</v>
      </c>
      <c r="B1192" s="16" t="str">
        <f>VLOOKUP(Projeção[[#This Row],[Código]],BD_Produto[#All],6,FALSE)</f>
        <v>TARIFOLD T-DISPLAY, SUPORTE DE PAREDE INDUSTRIAL A4 EM AÇO INOX + 10 PASTAS DRY, VERMELHAS - PN:414263</v>
      </c>
      <c r="C1192" s="130">
        <v>5.666666666666667</v>
      </c>
      <c r="D1192" s="130">
        <v>1.6666666666666667</v>
      </c>
      <c r="E1192" s="130">
        <v>1.6666666666666667</v>
      </c>
      <c r="F1192" s="130">
        <v>0.33333333333333331</v>
      </c>
      <c r="G1192" s="130">
        <v>0.33333333333333331</v>
      </c>
      <c r="H1192" s="130">
        <v>0.33333333333333331</v>
      </c>
      <c r="I1192" s="130">
        <v>0.33333333333333331</v>
      </c>
      <c r="J1192" s="130">
        <v>0.33333333333333331</v>
      </c>
      <c r="K1192" s="130">
        <v>0.33333333333333331</v>
      </c>
      <c r="L1192" s="130">
        <v>0.33333333333333331</v>
      </c>
      <c r="M1192" s="130">
        <v>0.33333333333333331</v>
      </c>
      <c r="N1192" s="130">
        <v>0.33333333333333331</v>
      </c>
      <c r="O11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3" spans="1:15" ht="12.75" customHeight="1" x14ac:dyDescent="0.25">
      <c r="A1193" s="15">
        <v>33070754119</v>
      </c>
      <c r="B1193" s="16" t="str">
        <f>VLOOKUP(Projeção[[#This Row],[Código]],BD_Produto[#All],6,FALSE)</f>
        <v>TARIFOLD T-DISPLAY, SUPORTE DE PAREDE INDUSTRIAL A4 EM AÇO INOX + 10 PASTAS, ABERTURA LATERAL, VERMELHAS - PN:114129</v>
      </c>
      <c r="C1193" s="130">
        <v>0</v>
      </c>
      <c r="D1193" s="130">
        <v>0</v>
      </c>
      <c r="E1193" s="130">
        <v>0</v>
      </c>
      <c r="F1193" s="130">
        <v>0</v>
      </c>
      <c r="G1193" s="130">
        <v>0</v>
      </c>
      <c r="H1193" s="130">
        <v>0</v>
      </c>
      <c r="I1193" s="130">
        <v>0</v>
      </c>
      <c r="J1193" s="130">
        <v>0</v>
      </c>
      <c r="K1193" s="130">
        <v>0</v>
      </c>
      <c r="L1193" s="130">
        <v>0</v>
      </c>
      <c r="M1193" s="130">
        <v>0</v>
      </c>
      <c r="N1193" s="130">
        <v>0</v>
      </c>
      <c r="O11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4" spans="1:15" ht="12.75" customHeight="1" x14ac:dyDescent="0.25">
      <c r="A1194" s="15">
        <v>33070754120</v>
      </c>
      <c r="B1194" s="16" t="str">
        <f>VLOOKUP(Projeção[[#This Row],[Código]],BD_Produto[#All],6,FALSE)</f>
        <v>TARIFOLD T-DISPLAY, SUPORTE DE PAREDE INDUSTRIAL A4 EM AÇO INOX PARA 10 PASTAS - PN:214003</v>
      </c>
      <c r="C1194" s="130">
        <v>0</v>
      </c>
      <c r="D1194" s="130">
        <v>0</v>
      </c>
      <c r="E1194" s="130">
        <v>0</v>
      </c>
      <c r="F1194" s="130">
        <v>0</v>
      </c>
      <c r="G1194" s="130">
        <v>0</v>
      </c>
      <c r="H1194" s="130">
        <v>0</v>
      </c>
      <c r="I1194" s="130">
        <v>0</v>
      </c>
      <c r="J1194" s="130">
        <v>0</v>
      </c>
      <c r="K1194" s="130">
        <v>0</v>
      </c>
      <c r="L1194" s="130">
        <v>0</v>
      </c>
      <c r="M1194" s="130">
        <v>0</v>
      </c>
      <c r="N1194" s="130">
        <v>0</v>
      </c>
      <c r="O11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5" spans="1:15" ht="12.75" customHeight="1" x14ac:dyDescent="0.25">
      <c r="A1195" s="15">
        <v>33070754093</v>
      </c>
      <c r="B1195" s="16" t="str">
        <f>VLOOKUP(Projeção[[#This Row],[Código]],BD_Produto[#All],6,FALSE)</f>
        <v>TARIFOLD T-DISPLAY, SUPORTE DE PAREDE INDUSTRIAL A4 PARA 10 PASTAS + PLGGERS - PN:214000</v>
      </c>
      <c r="C1195" s="130">
        <v>1.4666666666666666</v>
      </c>
      <c r="D1195" s="130">
        <v>1.4666666666666666</v>
      </c>
      <c r="E1195" s="130">
        <v>0.89999999999999991</v>
      </c>
      <c r="F1195" s="130">
        <v>0.89999999999999991</v>
      </c>
      <c r="G1195" s="130">
        <v>0.86666666666666659</v>
      </c>
      <c r="H1195" s="130">
        <v>0.33333333333333331</v>
      </c>
      <c r="I1195" s="130">
        <v>0.33333333333333331</v>
      </c>
      <c r="J1195" s="130">
        <v>0</v>
      </c>
      <c r="K1195" s="130">
        <v>0.33333333333333331</v>
      </c>
      <c r="L1195" s="130">
        <v>0</v>
      </c>
      <c r="M1195" s="130">
        <v>0.23333333333333334</v>
      </c>
      <c r="N1195" s="130">
        <v>0.23333333333333334</v>
      </c>
      <c r="O11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196" spans="1:15" ht="12.75" customHeight="1" x14ac:dyDescent="0.25">
      <c r="A1196" s="15">
        <v>33070754125</v>
      </c>
      <c r="B1196" s="16" t="str">
        <f>VLOOKUP(Projeção[[#This Row],[Código]],BD_Produto[#All],6,FALSE)</f>
        <v>TARIFOLD T-DISPLAY, SUPORTE DE PAREDE OFFICE A4 + 10 PASTAS AZUIS - PN:714301</v>
      </c>
      <c r="C1196" s="130">
        <v>0</v>
      </c>
      <c r="D1196" s="130">
        <v>0</v>
      </c>
      <c r="E1196" s="130">
        <v>0</v>
      </c>
      <c r="F1196" s="130">
        <v>0</v>
      </c>
      <c r="G1196" s="130">
        <v>0</v>
      </c>
      <c r="H1196" s="130">
        <v>0</v>
      </c>
      <c r="I1196" s="130">
        <v>0</v>
      </c>
      <c r="J1196" s="130">
        <v>0</v>
      </c>
      <c r="K1196" s="130">
        <v>0</v>
      </c>
      <c r="L1196" s="130">
        <v>0</v>
      </c>
      <c r="M1196" s="130">
        <v>0</v>
      </c>
      <c r="N1196" s="130">
        <v>0</v>
      </c>
      <c r="O11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7" spans="1:15" ht="12.75" customHeight="1" x14ac:dyDescent="0.25">
      <c r="A1197" s="15">
        <v>33070754066</v>
      </c>
      <c r="B1197" s="16" t="str">
        <f>VLOOKUP(Projeção[[#This Row],[Código]],BD_Produto[#All],6,FALSE)</f>
        <v>TARIFOLD T-DISPLAY, SUPORTE DE PAREDE OFFICE A4 + 10 PASTAS CINZAS - PN:714300</v>
      </c>
      <c r="C1197" s="130">
        <v>1</v>
      </c>
      <c r="D1197" s="130">
        <v>1</v>
      </c>
      <c r="E1197" s="130">
        <v>0.86666666666666659</v>
      </c>
      <c r="F1197" s="130">
        <v>0.86666666666666659</v>
      </c>
      <c r="G1197" s="130">
        <v>0.86666666666666659</v>
      </c>
      <c r="H1197" s="130">
        <v>0.83333333333333337</v>
      </c>
      <c r="I1197" s="130">
        <v>0.83333333333333337</v>
      </c>
      <c r="J1197" s="130">
        <v>0.83333333333333337</v>
      </c>
      <c r="K1197" s="130">
        <v>0.83333333333333337</v>
      </c>
      <c r="L1197" s="130">
        <v>0</v>
      </c>
      <c r="M1197" s="130">
        <v>0</v>
      </c>
      <c r="N1197" s="130">
        <v>0</v>
      </c>
      <c r="O11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8" spans="1:15" ht="12.75" customHeight="1" x14ac:dyDescent="0.25">
      <c r="A1198" s="15">
        <v>33070763431</v>
      </c>
      <c r="B1198" s="16" t="str">
        <f>VLOOKUP(Projeção[[#This Row],[Código]],BD_Produto[#All],6,FALSE)</f>
        <v>Tarifold T-View, Moldura Display 120 x 45 mm Azul com adesivo permanente - kit com 4 - PN:194861</v>
      </c>
      <c r="C1198" s="130">
        <v>0</v>
      </c>
      <c r="D1198" s="130">
        <v>0</v>
      </c>
      <c r="E1198" s="130">
        <v>0</v>
      </c>
      <c r="F1198" s="130">
        <v>0</v>
      </c>
      <c r="G1198" s="130">
        <v>0</v>
      </c>
      <c r="H1198" s="130">
        <v>0</v>
      </c>
      <c r="I1198" s="130">
        <v>0</v>
      </c>
      <c r="J1198" s="130">
        <v>0</v>
      </c>
      <c r="K1198" s="130">
        <v>0</v>
      </c>
      <c r="L1198" s="130">
        <v>0</v>
      </c>
      <c r="M1198" s="130">
        <v>0</v>
      </c>
      <c r="N1198" s="130">
        <v>0</v>
      </c>
      <c r="O11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199" spans="1:15" ht="12.75" customHeight="1" x14ac:dyDescent="0.25">
      <c r="A1199" s="15">
        <v>33070763433</v>
      </c>
      <c r="B1199" s="16" t="str">
        <f>VLOOKUP(Projeção[[#This Row],[Código]],BD_Produto[#All],6,FALSE)</f>
        <v>Tarifold T-View, Moldura Display 120 x 45 mm Verde com adesivo permanente - kit com 4 - PN:194865</v>
      </c>
      <c r="C1199" s="130">
        <v>0</v>
      </c>
      <c r="D1199" s="130">
        <v>0</v>
      </c>
      <c r="E1199" s="130">
        <v>0</v>
      </c>
      <c r="F1199" s="130">
        <v>0</v>
      </c>
      <c r="G1199" s="130">
        <v>0</v>
      </c>
      <c r="H1199" s="130">
        <v>0</v>
      </c>
      <c r="I1199" s="130">
        <v>0</v>
      </c>
      <c r="J1199" s="130">
        <v>0</v>
      </c>
      <c r="K1199" s="130">
        <v>0</v>
      </c>
      <c r="L1199" s="130">
        <v>0</v>
      </c>
      <c r="M1199" s="130">
        <v>0</v>
      </c>
      <c r="N1199" s="130">
        <v>0</v>
      </c>
      <c r="O11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0" spans="1:15" ht="12.75" customHeight="1" x14ac:dyDescent="0.25">
      <c r="A1200" s="15">
        <v>33070763432</v>
      </c>
      <c r="B1200" s="16" t="str">
        <f>VLOOKUP(Projeção[[#This Row],[Código]],BD_Produto[#All],6,FALSE)</f>
        <v>Tarifold T-View, Moldura Display 120 x 45 mm Vermelha com adesivo permanente - kit com 4 - PN:194863</v>
      </c>
      <c r="C1200" s="130">
        <v>0</v>
      </c>
      <c r="D1200" s="130">
        <v>0</v>
      </c>
      <c r="E1200" s="130">
        <v>0</v>
      </c>
      <c r="F1200" s="130">
        <v>0</v>
      </c>
      <c r="G1200" s="130">
        <v>0</v>
      </c>
      <c r="H1200" s="130">
        <v>0</v>
      </c>
      <c r="I1200" s="130">
        <v>0</v>
      </c>
      <c r="J1200" s="130">
        <v>0</v>
      </c>
      <c r="K1200" s="130">
        <v>0</v>
      </c>
      <c r="L1200" s="130">
        <v>0</v>
      </c>
      <c r="M1200" s="130">
        <v>0</v>
      </c>
      <c r="N1200" s="130">
        <v>0</v>
      </c>
      <c r="O12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1" spans="1:15" ht="12.75" customHeight="1" x14ac:dyDescent="0.25">
      <c r="A1201" s="15">
        <v>33070763435</v>
      </c>
      <c r="B1201" s="16" t="str">
        <f>VLOOKUP(Projeção[[#This Row],[Código]],BD_Produto[#All],6,FALSE)</f>
        <v>Tarifold T-View, Moldura Display 80 x 45 mm Amarela com adesivo permanente - kit com 4 - PN:194854</v>
      </c>
      <c r="C1201" s="130">
        <v>0</v>
      </c>
      <c r="D1201" s="130">
        <v>0</v>
      </c>
      <c r="E1201" s="130">
        <v>0</v>
      </c>
      <c r="F1201" s="130">
        <v>0</v>
      </c>
      <c r="G1201" s="130">
        <v>0</v>
      </c>
      <c r="H1201" s="130">
        <v>0</v>
      </c>
      <c r="I1201" s="130">
        <v>0</v>
      </c>
      <c r="J1201" s="130">
        <v>0</v>
      </c>
      <c r="K1201" s="130">
        <v>0</v>
      </c>
      <c r="L1201" s="130">
        <v>0</v>
      </c>
      <c r="M1201" s="130">
        <v>0</v>
      </c>
      <c r="N1201" s="130">
        <v>0</v>
      </c>
      <c r="O12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2" spans="1:15" ht="12.75" customHeight="1" x14ac:dyDescent="0.25">
      <c r="A1202" s="15">
        <v>33070763434</v>
      </c>
      <c r="B1202" s="16" t="str">
        <f>VLOOKUP(Projeção[[#This Row],[Código]],BD_Produto[#All],6,FALSE)</f>
        <v>Tarifold T-View, Moldura Display 80 x 45 mm Branca com adesivo permanente - kit com 4 - PN:194852</v>
      </c>
      <c r="C1202" s="130">
        <v>0</v>
      </c>
      <c r="D1202" s="130">
        <v>0</v>
      </c>
      <c r="E1202" s="130">
        <v>0</v>
      </c>
      <c r="F1202" s="130">
        <v>0</v>
      </c>
      <c r="G1202" s="130">
        <v>0</v>
      </c>
      <c r="H1202" s="130">
        <v>0</v>
      </c>
      <c r="I1202" s="130">
        <v>0</v>
      </c>
      <c r="J1202" s="130">
        <v>0</v>
      </c>
      <c r="K1202" s="130">
        <v>0</v>
      </c>
      <c r="L1202" s="130">
        <v>0</v>
      </c>
      <c r="M1202" s="130">
        <v>0</v>
      </c>
      <c r="N1202" s="130">
        <v>0</v>
      </c>
      <c r="O12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3" spans="1:15" ht="12.75" customHeight="1" x14ac:dyDescent="0.25">
      <c r="A1203" s="15">
        <v>33070763419</v>
      </c>
      <c r="B1203" s="16" t="str">
        <f>VLOOKUP(Projeção[[#This Row],[Código]],BD_Produto[#All],6,FALSE)</f>
        <v>Tarifold T-View, Moldura Display A4 Amarela com adesivo permanente - PN:194884</v>
      </c>
      <c r="C1203" s="130">
        <v>0</v>
      </c>
      <c r="D1203" s="130">
        <v>0</v>
      </c>
      <c r="E1203" s="130">
        <v>0</v>
      </c>
      <c r="F1203" s="130">
        <v>0</v>
      </c>
      <c r="G1203" s="130">
        <v>0</v>
      </c>
      <c r="H1203" s="130">
        <v>0</v>
      </c>
      <c r="I1203" s="130">
        <v>0</v>
      </c>
      <c r="J1203" s="130">
        <v>0</v>
      </c>
      <c r="K1203" s="130">
        <v>0</v>
      </c>
      <c r="L1203" s="130">
        <v>0</v>
      </c>
      <c r="M1203" s="130">
        <v>0</v>
      </c>
      <c r="N1203" s="130">
        <v>0</v>
      </c>
      <c r="O12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4" spans="1:15" ht="12.75" customHeight="1" x14ac:dyDescent="0.25">
      <c r="A1204" s="15">
        <v>33070763416</v>
      </c>
      <c r="B1204" s="16" t="str">
        <f>VLOOKUP(Projeção[[#This Row],[Código]],BD_Produto[#All],6,FALSE)</f>
        <v>Tarifold T-View, Moldura Display A4 Azul com adesivo permanente - PN:194881</v>
      </c>
      <c r="C1204" s="130">
        <v>0</v>
      </c>
      <c r="D1204" s="130">
        <v>0</v>
      </c>
      <c r="E1204" s="130">
        <v>0</v>
      </c>
      <c r="F1204" s="130">
        <v>0</v>
      </c>
      <c r="G1204" s="130">
        <v>0</v>
      </c>
      <c r="H1204" s="130">
        <v>0</v>
      </c>
      <c r="I1204" s="130">
        <v>0</v>
      </c>
      <c r="J1204" s="130">
        <v>0</v>
      </c>
      <c r="K1204" s="130">
        <v>0</v>
      </c>
      <c r="L1204" s="130">
        <v>0</v>
      </c>
      <c r="M1204" s="130">
        <v>0</v>
      </c>
      <c r="N1204" s="130">
        <v>0</v>
      </c>
      <c r="O12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5" spans="1:15" ht="12.75" customHeight="1" x14ac:dyDescent="0.25">
      <c r="A1205" s="15">
        <v>33070763417</v>
      </c>
      <c r="B1205" s="16" t="str">
        <f>VLOOKUP(Projeção[[#This Row],[Código]],BD_Produto[#All],6,FALSE)</f>
        <v>Tarifold T-View, Moldura Display A4 Branca com adesivo permanente - PN:194882</v>
      </c>
      <c r="C1205" s="130">
        <v>0</v>
      </c>
      <c r="D1205" s="130">
        <v>0</v>
      </c>
      <c r="E1205" s="130">
        <v>0</v>
      </c>
      <c r="F1205" s="130">
        <v>0</v>
      </c>
      <c r="G1205" s="130">
        <v>0</v>
      </c>
      <c r="H1205" s="130">
        <v>0</v>
      </c>
      <c r="I1205" s="130">
        <v>0</v>
      </c>
      <c r="J1205" s="130">
        <v>0</v>
      </c>
      <c r="K1205" s="130">
        <v>0</v>
      </c>
      <c r="L1205" s="130">
        <v>0</v>
      </c>
      <c r="M1205" s="130">
        <v>0</v>
      </c>
      <c r="N1205" s="130">
        <v>0</v>
      </c>
      <c r="O12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6" spans="1:15" ht="12.75" customHeight="1" x14ac:dyDescent="0.25">
      <c r="A1206" s="15">
        <v>33070763420</v>
      </c>
      <c r="B1206" s="16" t="str">
        <f>VLOOKUP(Projeção[[#This Row],[Código]],BD_Produto[#All],6,FALSE)</f>
        <v>Tarifold T-View, Moldura Display A4 Verde com adesivo permanente - PN:194885</v>
      </c>
      <c r="C1206" s="130">
        <v>0</v>
      </c>
      <c r="D1206" s="130">
        <v>0</v>
      </c>
      <c r="E1206" s="130">
        <v>0</v>
      </c>
      <c r="F1206" s="130">
        <v>0</v>
      </c>
      <c r="G1206" s="130">
        <v>0</v>
      </c>
      <c r="H1206" s="130">
        <v>0</v>
      </c>
      <c r="I1206" s="130">
        <v>0</v>
      </c>
      <c r="J1206" s="130">
        <v>0</v>
      </c>
      <c r="K1206" s="130">
        <v>0</v>
      </c>
      <c r="L1206" s="130">
        <v>0</v>
      </c>
      <c r="M1206" s="130">
        <v>0</v>
      </c>
      <c r="N1206" s="130">
        <v>0</v>
      </c>
      <c r="O12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7" spans="1:15" ht="12.75" customHeight="1" x14ac:dyDescent="0.25">
      <c r="A1207" s="15">
        <v>33070763418</v>
      </c>
      <c r="B1207" s="16" t="str">
        <f>VLOOKUP(Projeção[[#This Row],[Código]],BD_Produto[#All],6,FALSE)</f>
        <v>Tarifold T-View, Moldura Display A4 Vermelha com adesivo permanente - PN:194883</v>
      </c>
      <c r="C1207" s="130">
        <v>0</v>
      </c>
      <c r="D1207" s="130">
        <v>0</v>
      </c>
      <c r="E1207" s="130">
        <v>0</v>
      </c>
      <c r="F1207" s="130">
        <v>0</v>
      </c>
      <c r="G1207" s="130">
        <v>0</v>
      </c>
      <c r="H1207" s="130">
        <v>0</v>
      </c>
      <c r="I1207" s="130">
        <v>0</v>
      </c>
      <c r="J1207" s="130">
        <v>0</v>
      </c>
      <c r="K1207" s="130">
        <v>0</v>
      </c>
      <c r="L1207" s="130">
        <v>0</v>
      </c>
      <c r="M1207" s="130">
        <v>0</v>
      </c>
      <c r="N1207" s="130">
        <v>0</v>
      </c>
      <c r="O12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8" spans="1:15" ht="12.75" customHeight="1" x14ac:dyDescent="0.25">
      <c r="A1208" s="15">
        <v>33070763424</v>
      </c>
      <c r="B1208" s="16" t="str">
        <f>VLOOKUP(Projeção[[#This Row],[Código]],BD_Produto[#All],6,FALSE)</f>
        <v>Tarifold T-View, Moldura Display A5 Amarela com adesivo permanente - PN:194874</v>
      </c>
      <c r="C1208" s="130">
        <v>0</v>
      </c>
      <c r="D1208" s="130">
        <v>0</v>
      </c>
      <c r="E1208" s="130">
        <v>0</v>
      </c>
      <c r="F1208" s="130">
        <v>0</v>
      </c>
      <c r="G1208" s="130">
        <v>0</v>
      </c>
      <c r="H1208" s="130">
        <v>0</v>
      </c>
      <c r="I1208" s="130">
        <v>0</v>
      </c>
      <c r="J1208" s="130">
        <v>0</v>
      </c>
      <c r="K1208" s="130">
        <v>0</v>
      </c>
      <c r="L1208" s="130">
        <v>0</v>
      </c>
      <c r="M1208" s="130">
        <v>0</v>
      </c>
      <c r="N1208" s="130">
        <v>0</v>
      </c>
      <c r="O120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09" spans="1:15" ht="12.75" customHeight="1" x14ac:dyDescent="0.25">
      <c r="A1209" s="15">
        <v>33070763421</v>
      </c>
      <c r="B1209" s="16" t="str">
        <f>VLOOKUP(Projeção[[#This Row],[Código]],BD_Produto[#All],6,FALSE)</f>
        <v>Tarifold T-View, Moldura Display A5 Azul com adesivo permanente - PN:194871</v>
      </c>
      <c r="C1209" s="130">
        <v>0</v>
      </c>
      <c r="D1209" s="130">
        <v>0</v>
      </c>
      <c r="E1209" s="130">
        <v>0</v>
      </c>
      <c r="F1209" s="130">
        <v>0</v>
      </c>
      <c r="G1209" s="130">
        <v>0</v>
      </c>
      <c r="H1209" s="130">
        <v>0</v>
      </c>
      <c r="I1209" s="130">
        <v>0</v>
      </c>
      <c r="J1209" s="130">
        <v>0</v>
      </c>
      <c r="K1209" s="130">
        <v>0</v>
      </c>
      <c r="L1209" s="130">
        <v>0</v>
      </c>
      <c r="M1209" s="130">
        <v>0</v>
      </c>
      <c r="N1209" s="130">
        <v>0</v>
      </c>
      <c r="O120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0" spans="1:15" ht="12.75" customHeight="1" x14ac:dyDescent="0.25">
      <c r="A1210" s="15">
        <v>33070763422</v>
      </c>
      <c r="B1210" s="16" t="str">
        <f>VLOOKUP(Projeção[[#This Row],[Código]],BD_Produto[#All],6,FALSE)</f>
        <v>Tarifold T-View, Moldura Display A5 Branca com adesivo permanente - PN:194872</v>
      </c>
      <c r="C1210" s="130">
        <v>0</v>
      </c>
      <c r="D1210" s="130">
        <v>0</v>
      </c>
      <c r="E1210" s="130">
        <v>0</v>
      </c>
      <c r="F1210" s="130">
        <v>0</v>
      </c>
      <c r="G1210" s="130">
        <v>0</v>
      </c>
      <c r="H1210" s="130">
        <v>0</v>
      </c>
      <c r="I1210" s="130">
        <v>0</v>
      </c>
      <c r="J1210" s="130">
        <v>0</v>
      </c>
      <c r="K1210" s="130">
        <v>0</v>
      </c>
      <c r="L1210" s="130">
        <v>0</v>
      </c>
      <c r="M1210" s="130">
        <v>0</v>
      </c>
      <c r="N1210" s="130">
        <v>0</v>
      </c>
      <c r="O121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1" spans="1:15" ht="12.75" customHeight="1" x14ac:dyDescent="0.25">
      <c r="A1211" s="15">
        <v>33070763425</v>
      </c>
      <c r="B1211" s="16" t="str">
        <f>VLOOKUP(Projeção[[#This Row],[Código]],BD_Produto[#All],6,FALSE)</f>
        <v>Tarifold T-View, Moldura Display A5 Verde com adesivo permanente - PN:194875</v>
      </c>
      <c r="C1211" s="130">
        <v>0</v>
      </c>
      <c r="D1211" s="130">
        <v>0</v>
      </c>
      <c r="E1211" s="130">
        <v>0</v>
      </c>
      <c r="F1211" s="130">
        <v>0</v>
      </c>
      <c r="G1211" s="130">
        <v>0</v>
      </c>
      <c r="H1211" s="130">
        <v>0</v>
      </c>
      <c r="I1211" s="130">
        <v>0</v>
      </c>
      <c r="J1211" s="130">
        <v>0</v>
      </c>
      <c r="K1211" s="130">
        <v>0</v>
      </c>
      <c r="L1211" s="130">
        <v>0</v>
      </c>
      <c r="M1211" s="130">
        <v>0</v>
      </c>
      <c r="N1211" s="130">
        <v>0</v>
      </c>
      <c r="O121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2" spans="1:15" ht="12.75" customHeight="1" x14ac:dyDescent="0.25">
      <c r="A1212" s="15">
        <v>33070763423</v>
      </c>
      <c r="B1212" s="16" t="str">
        <f>VLOOKUP(Projeção[[#This Row],[Código]],BD_Produto[#All],6,FALSE)</f>
        <v>Tarifold T-View, Moldura Display A5 Vermelha com adesivo permanente - PN:194873</v>
      </c>
      <c r="C1212" s="130">
        <v>0</v>
      </c>
      <c r="D1212" s="130">
        <v>0</v>
      </c>
      <c r="E1212" s="130">
        <v>0</v>
      </c>
      <c r="F1212" s="130">
        <v>0</v>
      </c>
      <c r="G1212" s="130">
        <v>0</v>
      </c>
      <c r="H1212" s="130">
        <v>0</v>
      </c>
      <c r="I1212" s="130">
        <v>0</v>
      </c>
      <c r="J1212" s="130">
        <v>0</v>
      </c>
      <c r="K1212" s="130">
        <v>0</v>
      </c>
      <c r="L1212" s="130">
        <v>0</v>
      </c>
      <c r="M1212" s="130">
        <v>0</v>
      </c>
      <c r="N1212" s="130">
        <v>0</v>
      </c>
      <c r="O121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3" spans="1:15" ht="12.75" customHeight="1" x14ac:dyDescent="0.25">
      <c r="A1213" s="15">
        <v>33070763429</v>
      </c>
      <c r="B1213" s="16" t="str">
        <f>VLOOKUP(Projeção[[#This Row],[Código]],BD_Produto[#All],6,FALSE)</f>
        <v>Tarifold T-View, Moldura Display A6 Amarela com adesivo permanente - PN:194894</v>
      </c>
      <c r="C1213" s="130">
        <v>0</v>
      </c>
      <c r="D1213" s="130">
        <v>0</v>
      </c>
      <c r="E1213" s="130">
        <v>0</v>
      </c>
      <c r="F1213" s="130">
        <v>0</v>
      </c>
      <c r="G1213" s="130">
        <v>0</v>
      </c>
      <c r="H1213" s="130">
        <v>0</v>
      </c>
      <c r="I1213" s="130">
        <v>0</v>
      </c>
      <c r="J1213" s="130">
        <v>0</v>
      </c>
      <c r="K1213" s="130">
        <v>0</v>
      </c>
      <c r="L1213" s="130">
        <v>0</v>
      </c>
      <c r="M1213" s="130">
        <v>0</v>
      </c>
      <c r="N1213" s="130">
        <v>0</v>
      </c>
      <c r="O121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4" spans="1:15" ht="12.75" customHeight="1" x14ac:dyDescent="0.25">
      <c r="A1214" s="15">
        <v>33070763426</v>
      </c>
      <c r="B1214" s="16" t="str">
        <f>VLOOKUP(Projeção[[#This Row],[Código]],BD_Produto[#All],6,FALSE)</f>
        <v>Tarifold T-View, Moldura Display A6 Azul com adesivo permanente - PN:194891</v>
      </c>
      <c r="C1214" s="130">
        <v>0</v>
      </c>
      <c r="D1214" s="130">
        <v>0</v>
      </c>
      <c r="E1214" s="130">
        <v>0</v>
      </c>
      <c r="F1214" s="130">
        <v>0</v>
      </c>
      <c r="G1214" s="130">
        <v>0</v>
      </c>
      <c r="H1214" s="130">
        <v>0</v>
      </c>
      <c r="I1214" s="130">
        <v>0</v>
      </c>
      <c r="J1214" s="130">
        <v>0</v>
      </c>
      <c r="K1214" s="130">
        <v>0</v>
      </c>
      <c r="L1214" s="130">
        <v>0</v>
      </c>
      <c r="M1214" s="130">
        <v>0</v>
      </c>
      <c r="N1214" s="130">
        <v>0</v>
      </c>
      <c r="O121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5" spans="1:15" ht="12.75" customHeight="1" x14ac:dyDescent="0.25">
      <c r="A1215" s="15">
        <v>33070763427</v>
      </c>
      <c r="B1215" s="16" t="str">
        <f>VLOOKUP(Projeção[[#This Row],[Código]],BD_Produto[#All],6,FALSE)</f>
        <v>Tarifold T-View, Moldura Display A6 Branca com adesivo permanente - PN:194892</v>
      </c>
      <c r="C1215" s="130">
        <v>0</v>
      </c>
      <c r="D1215" s="130">
        <v>0</v>
      </c>
      <c r="E1215" s="130">
        <v>0</v>
      </c>
      <c r="F1215" s="130">
        <v>0</v>
      </c>
      <c r="G1215" s="130">
        <v>0</v>
      </c>
      <c r="H1215" s="130">
        <v>0</v>
      </c>
      <c r="I1215" s="130">
        <v>0</v>
      </c>
      <c r="J1215" s="130">
        <v>0</v>
      </c>
      <c r="K1215" s="130">
        <v>0</v>
      </c>
      <c r="L1215" s="130">
        <v>0</v>
      </c>
      <c r="M1215" s="130">
        <v>0</v>
      </c>
      <c r="N1215" s="130">
        <v>0</v>
      </c>
      <c r="O121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6" spans="1:15" ht="12.75" customHeight="1" x14ac:dyDescent="0.25">
      <c r="A1216" s="15">
        <v>33070763430</v>
      </c>
      <c r="B1216" s="16" t="str">
        <f>VLOOKUP(Projeção[[#This Row],[Código]],BD_Produto[#All],6,FALSE)</f>
        <v>Tarifold T-View, Moldura Display A6 Verde com adesivo permanente - PN:194895</v>
      </c>
      <c r="C1216" s="130">
        <v>0</v>
      </c>
      <c r="D1216" s="130">
        <v>0</v>
      </c>
      <c r="E1216" s="130">
        <v>0</v>
      </c>
      <c r="F1216" s="130">
        <v>0</v>
      </c>
      <c r="G1216" s="130">
        <v>0</v>
      </c>
      <c r="H1216" s="130">
        <v>0</v>
      </c>
      <c r="I1216" s="130">
        <v>0</v>
      </c>
      <c r="J1216" s="130">
        <v>0</v>
      </c>
      <c r="K1216" s="130">
        <v>0</v>
      </c>
      <c r="L1216" s="130">
        <v>0</v>
      </c>
      <c r="M1216" s="130">
        <v>0</v>
      </c>
      <c r="N1216" s="130">
        <v>0</v>
      </c>
      <c r="O121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7" spans="1:15" ht="12.75" customHeight="1" x14ac:dyDescent="0.25">
      <c r="A1217" s="15">
        <v>33070763428</v>
      </c>
      <c r="B1217" s="16" t="str">
        <f>VLOOKUP(Projeção[[#This Row],[Código]],BD_Produto[#All],6,FALSE)</f>
        <v>Tarifold T-View, Moldura Display A6 Vermelha com adesivo permanente - PN:194893</v>
      </c>
      <c r="C1217" s="130">
        <v>0</v>
      </c>
      <c r="D1217" s="130">
        <v>0</v>
      </c>
      <c r="E1217" s="130">
        <v>0</v>
      </c>
      <c r="F1217" s="130">
        <v>0</v>
      </c>
      <c r="G1217" s="130">
        <v>0</v>
      </c>
      <c r="H1217" s="130">
        <v>0</v>
      </c>
      <c r="I1217" s="130">
        <v>0</v>
      </c>
      <c r="J1217" s="130">
        <v>0</v>
      </c>
      <c r="K1217" s="130">
        <v>0</v>
      </c>
      <c r="L1217" s="130">
        <v>0</v>
      </c>
      <c r="M1217" s="130">
        <v>0</v>
      </c>
      <c r="N1217" s="130">
        <v>0</v>
      </c>
      <c r="O121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8" spans="1:15" ht="12.75" customHeight="1" x14ac:dyDescent="0.25">
      <c r="A1218" s="15">
        <v>33070763452</v>
      </c>
      <c r="B1218" s="16" t="str">
        <f>VLOOKUP(Projeção[[#This Row],[Código]],BD_Produto[#All],6,FALSE)</f>
        <v>Tarifold T-View, Moldura Display Magnética 120 x 45 mm Amarela - kit com 4 - PN:194814</v>
      </c>
      <c r="C1218" s="130">
        <v>0</v>
      </c>
      <c r="D1218" s="130">
        <v>0</v>
      </c>
      <c r="E1218" s="130">
        <v>0</v>
      </c>
      <c r="F1218" s="130">
        <v>0</v>
      </c>
      <c r="G1218" s="130">
        <v>0</v>
      </c>
      <c r="H1218" s="130">
        <v>0</v>
      </c>
      <c r="I1218" s="130">
        <v>0</v>
      </c>
      <c r="J1218" s="130">
        <v>0</v>
      </c>
      <c r="K1218" s="130">
        <v>0</v>
      </c>
      <c r="L1218" s="130">
        <v>0</v>
      </c>
      <c r="M1218" s="130">
        <v>0</v>
      </c>
      <c r="N1218" s="130">
        <v>0</v>
      </c>
      <c r="O121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19" spans="1:15" ht="12.75" customHeight="1" x14ac:dyDescent="0.25">
      <c r="A1219" s="15">
        <v>33070763451</v>
      </c>
      <c r="B1219" s="16" t="str">
        <f>VLOOKUP(Projeção[[#This Row],[Código]],BD_Produto[#All],6,FALSE)</f>
        <v>Tarifold T-View, Moldura Display Magnética 120 x 45 mm Branca - kit com 4 - PN:194812</v>
      </c>
      <c r="C1219" s="130">
        <v>0</v>
      </c>
      <c r="D1219" s="130">
        <v>0</v>
      </c>
      <c r="E1219" s="130">
        <v>0</v>
      </c>
      <c r="F1219" s="130">
        <v>0</v>
      </c>
      <c r="G1219" s="130">
        <v>0</v>
      </c>
      <c r="H1219" s="130">
        <v>0</v>
      </c>
      <c r="I1219" s="130">
        <v>0</v>
      </c>
      <c r="J1219" s="130">
        <v>0</v>
      </c>
      <c r="K1219" s="130">
        <v>0</v>
      </c>
      <c r="L1219" s="130">
        <v>0</v>
      </c>
      <c r="M1219" s="130">
        <v>0</v>
      </c>
      <c r="N1219" s="130">
        <v>0</v>
      </c>
      <c r="O121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0" spans="1:15" ht="12.75" customHeight="1" x14ac:dyDescent="0.25">
      <c r="A1220" s="15">
        <v>33070763453</v>
      </c>
      <c r="B1220" s="16" t="str">
        <f>VLOOKUP(Projeção[[#This Row],[Código]],BD_Produto[#All],6,FALSE)</f>
        <v>Tarifold T-View, Moldura Display Magnética 80 x 45 mm Azul - kit com 4 - PN:194801</v>
      </c>
      <c r="C1220" s="130">
        <v>0</v>
      </c>
      <c r="D1220" s="130">
        <v>0</v>
      </c>
      <c r="E1220" s="130">
        <v>0</v>
      </c>
      <c r="F1220" s="130">
        <v>0</v>
      </c>
      <c r="G1220" s="130">
        <v>0</v>
      </c>
      <c r="H1220" s="130">
        <v>0</v>
      </c>
      <c r="I1220" s="130">
        <v>0</v>
      </c>
      <c r="J1220" s="130">
        <v>0</v>
      </c>
      <c r="K1220" s="130">
        <v>0</v>
      </c>
      <c r="L1220" s="130">
        <v>0</v>
      </c>
      <c r="M1220" s="130">
        <v>0</v>
      </c>
      <c r="N1220" s="130">
        <v>0</v>
      </c>
      <c r="O122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1" spans="1:15" ht="12.75" customHeight="1" x14ac:dyDescent="0.25">
      <c r="A1221" s="15">
        <v>33070763455</v>
      </c>
      <c r="B1221" s="16" t="str">
        <f>VLOOKUP(Projeção[[#This Row],[Código]],BD_Produto[#All],6,FALSE)</f>
        <v>Tarifold T-View, Moldura Display Magnética 80 x 45 mm Verde - kit com 4 - PN:194805</v>
      </c>
      <c r="C1221" s="130">
        <v>0</v>
      </c>
      <c r="D1221" s="130">
        <v>0</v>
      </c>
      <c r="E1221" s="130">
        <v>0</v>
      </c>
      <c r="F1221" s="130">
        <v>0</v>
      </c>
      <c r="G1221" s="130">
        <v>0</v>
      </c>
      <c r="H1221" s="130">
        <v>0</v>
      </c>
      <c r="I1221" s="130">
        <v>0</v>
      </c>
      <c r="J1221" s="130">
        <v>0</v>
      </c>
      <c r="K1221" s="130">
        <v>0</v>
      </c>
      <c r="L1221" s="130">
        <v>0</v>
      </c>
      <c r="M1221" s="130">
        <v>0</v>
      </c>
      <c r="N1221" s="130">
        <v>0</v>
      </c>
      <c r="O122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2" spans="1:15" ht="12.75" customHeight="1" x14ac:dyDescent="0.25">
      <c r="A1222" s="15">
        <v>33070763454</v>
      </c>
      <c r="B1222" s="16" t="str">
        <f>VLOOKUP(Projeção[[#This Row],[Código]],BD_Produto[#All],6,FALSE)</f>
        <v>Tarifold T-View, Moldura Display Magnética 80 x 45 mm Vermelha - kit com 4 - PN:194803</v>
      </c>
      <c r="C1222" s="130">
        <v>0</v>
      </c>
      <c r="D1222" s="130">
        <v>0</v>
      </c>
      <c r="E1222" s="130">
        <v>0</v>
      </c>
      <c r="F1222" s="130">
        <v>0</v>
      </c>
      <c r="G1222" s="130">
        <v>0</v>
      </c>
      <c r="H1222" s="130">
        <v>0</v>
      </c>
      <c r="I1222" s="130">
        <v>0</v>
      </c>
      <c r="J1222" s="130">
        <v>0</v>
      </c>
      <c r="K1222" s="130">
        <v>0</v>
      </c>
      <c r="L1222" s="130">
        <v>0</v>
      </c>
      <c r="M1222" s="130">
        <v>0</v>
      </c>
      <c r="N1222" s="130">
        <v>0</v>
      </c>
      <c r="O122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3" spans="1:15" ht="12.75" customHeight="1" x14ac:dyDescent="0.25">
      <c r="A1223" s="15">
        <v>33070763439</v>
      </c>
      <c r="B1223" s="16" t="str">
        <f>VLOOKUP(Projeção[[#This Row],[Código]],BD_Produto[#All],6,FALSE)</f>
        <v>Tarifold T-View, Moldura Display Magnética A4 Amarela - PN:194834</v>
      </c>
      <c r="C1223" s="130">
        <v>0</v>
      </c>
      <c r="D1223" s="130">
        <v>0</v>
      </c>
      <c r="E1223" s="130">
        <v>0</v>
      </c>
      <c r="F1223" s="130">
        <v>0</v>
      </c>
      <c r="G1223" s="130">
        <v>0</v>
      </c>
      <c r="H1223" s="130">
        <v>0</v>
      </c>
      <c r="I1223" s="130">
        <v>0</v>
      </c>
      <c r="J1223" s="130">
        <v>0</v>
      </c>
      <c r="K1223" s="130">
        <v>0</v>
      </c>
      <c r="L1223" s="130">
        <v>0</v>
      </c>
      <c r="M1223" s="130">
        <v>0</v>
      </c>
      <c r="N1223" s="130">
        <v>0</v>
      </c>
      <c r="O122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4" spans="1:15" ht="12.75" customHeight="1" x14ac:dyDescent="0.25">
      <c r="A1224" s="15">
        <v>33070763436</v>
      </c>
      <c r="B1224" s="16" t="str">
        <f>VLOOKUP(Projeção[[#This Row],[Código]],BD_Produto[#All],6,FALSE)</f>
        <v>Tarifold T-View, Moldura Display Magnética A4 Azul - PN:194831</v>
      </c>
      <c r="C1224" s="130">
        <v>0</v>
      </c>
      <c r="D1224" s="130">
        <v>0</v>
      </c>
      <c r="E1224" s="130">
        <v>0</v>
      </c>
      <c r="F1224" s="130">
        <v>0</v>
      </c>
      <c r="G1224" s="130">
        <v>0</v>
      </c>
      <c r="H1224" s="130">
        <v>0</v>
      </c>
      <c r="I1224" s="130">
        <v>0</v>
      </c>
      <c r="J1224" s="130">
        <v>0</v>
      </c>
      <c r="K1224" s="130">
        <v>0</v>
      </c>
      <c r="L1224" s="130">
        <v>0</v>
      </c>
      <c r="M1224" s="130">
        <v>0</v>
      </c>
      <c r="N1224" s="130">
        <v>0</v>
      </c>
      <c r="O122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5" spans="1:15" ht="12.75" customHeight="1" x14ac:dyDescent="0.25">
      <c r="A1225" s="15">
        <v>33070763437</v>
      </c>
      <c r="B1225" s="16" t="str">
        <f>VLOOKUP(Projeção[[#This Row],[Código]],BD_Produto[#All],6,FALSE)</f>
        <v>Tarifold T-View, Moldura Display Magnética A4 Branca - PN:194832</v>
      </c>
      <c r="C1225" s="130">
        <v>0</v>
      </c>
      <c r="D1225" s="130">
        <v>0</v>
      </c>
      <c r="E1225" s="130">
        <v>0</v>
      </c>
      <c r="F1225" s="130">
        <v>0</v>
      </c>
      <c r="G1225" s="130">
        <v>0</v>
      </c>
      <c r="H1225" s="130">
        <v>0</v>
      </c>
      <c r="I1225" s="130">
        <v>0</v>
      </c>
      <c r="J1225" s="130">
        <v>0</v>
      </c>
      <c r="K1225" s="130">
        <v>0</v>
      </c>
      <c r="L1225" s="130">
        <v>0</v>
      </c>
      <c r="M1225" s="130">
        <v>0</v>
      </c>
      <c r="N1225" s="130">
        <v>0</v>
      </c>
      <c r="O122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6" spans="1:15" ht="12.75" customHeight="1" x14ac:dyDescent="0.25">
      <c r="A1226" s="15">
        <v>33070763440</v>
      </c>
      <c r="B1226" s="16" t="str">
        <f>VLOOKUP(Projeção[[#This Row],[Código]],BD_Produto[#All],6,FALSE)</f>
        <v>Tarifold T-View, Moldura Display Magnética A4 Verde - PN:194835</v>
      </c>
      <c r="C1226" s="130">
        <v>0</v>
      </c>
      <c r="D1226" s="130">
        <v>0</v>
      </c>
      <c r="E1226" s="130">
        <v>0</v>
      </c>
      <c r="F1226" s="130">
        <v>0</v>
      </c>
      <c r="G1226" s="130">
        <v>0</v>
      </c>
      <c r="H1226" s="130">
        <v>0</v>
      </c>
      <c r="I1226" s="130">
        <v>0</v>
      </c>
      <c r="J1226" s="130">
        <v>0</v>
      </c>
      <c r="K1226" s="130">
        <v>0</v>
      </c>
      <c r="L1226" s="130">
        <v>0</v>
      </c>
      <c r="M1226" s="130">
        <v>0</v>
      </c>
      <c r="N1226" s="130">
        <v>0</v>
      </c>
      <c r="O122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7" spans="1:15" ht="12.75" customHeight="1" x14ac:dyDescent="0.25">
      <c r="A1227" s="15">
        <v>33070763438</v>
      </c>
      <c r="B1227" s="16" t="str">
        <f>VLOOKUP(Projeção[[#This Row],[Código]],BD_Produto[#All],6,FALSE)</f>
        <v>Tarifold T-View, Moldura Display Magnética A4 Vermelha - PN:194833</v>
      </c>
      <c r="C1227" s="130">
        <v>0</v>
      </c>
      <c r="D1227" s="130">
        <v>0</v>
      </c>
      <c r="E1227" s="130">
        <v>0</v>
      </c>
      <c r="F1227" s="130">
        <v>0</v>
      </c>
      <c r="G1227" s="130">
        <v>0</v>
      </c>
      <c r="H1227" s="130">
        <v>0</v>
      </c>
      <c r="I1227" s="130">
        <v>0</v>
      </c>
      <c r="J1227" s="130">
        <v>0</v>
      </c>
      <c r="K1227" s="130">
        <v>0</v>
      </c>
      <c r="L1227" s="130">
        <v>0</v>
      </c>
      <c r="M1227" s="130">
        <v>0</v>
      </c>
      <c r="N1227" s="130">
        <v>0</v>
      </c>
      <c r="O122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8" spans="1:15" ht="12.75" customHeight="1" x14ac:dyDescent="0.25">
      <c r="A1228" s="15">
        <v>33070763444</v>
      </c>
      <c r="B1228" s="16" t="str">
        <f>VLOOKUP(Projeção[[#This Row],[Código]],BD_Produto[#All],6,FALSE)</f>
        <v>Tarifold T-View, Moldura Display Magnética A5 Amarela - PN:194824</v>
      </c>
      <c r="C1228" s="130">
        <v>0</v>
      </c>
      <c r="D1228" s="130">
        <v>0</v>
      </c>
      <c r="E1228" s="130">
        <v>0</v>
      </c>
      <c r="F1228" s="130">
        <v>0</v>
      </c>
      <c r="G1228" s="130">
        <v>0</v>
      </c>
      <c r="H1228" s="130">
        <v>0</v>
      </c>
      <c r="I1228" s="130">
        <v>0</v>
      </c>
      <c r="J1228" s="130">
        <v>0</v>
      </c>
      <c r="K1228" s="130">
        <v>0</v>
      </c>
      <c r="L1228" s="130">
        <v>0</v>
      </c>
      <c r="M1228" s="130">
        <v>0</v>
      </c>
      <c r="N1228" s="130">
        <v>0</v>
      </c>
      <c r="O122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29" spans="1:15" ht="12.75" customHeight="1" x14ac:dyDescent="0.25">
      <c r="A1229" s="15">
        <v>33070763441</v>
      </c>
      <c r="B1229" s="16" t="str">
        <f>VLOOKUP(Projeção[[#This Row],[Código]],BD_Produto[#All],6,FALSE)</f>
        <v>Tarifold T-View, Moldura Display Magnética A5 Azul - PN:194821</v>
      </c>
      <c r="C1229" s="130">
        <v>0</v>
      </c>
      <c r="D1229" s="130">
        <v>0</v>
      </c>
      <c r="E1229" s="130">
        <v>0</v>
      </c>
      <c r="F1229" s="130">
        <v>0</v>
      </c>
      <c r="G1229" s="130">
        <v>0</v>
      </c>
      <c r="H1229" s="130">
        <v>0</v>
      </c>
      <c r="I1229" s="130">
        <v>0</v>
      </c>
      <c r="J1229" s="130">
        <v>0</v>
      </c>
      <c r="K1229" s="130">
        <v>0</v>
      </c>
      <c r="L1229" s="130">
        <v>0</v>
      </c>
      <c r="M1229" s="130">
        <v>0</v>
      </c>
      <c r="N1229" s="130">
        <v>0</v>
      </c>
      <c r="O122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0" spans="1:15" ht="12.75" customHeight="1" x14ac:dyDescent="0.25">
      <c r="A1230" s="15">
        <v>33070763442</v>
      </c>
      <c r="B1230" s="16" t="str">
        <f>VLOOKUP(Projeção[[#This Row],[Código]],BD_Produto[#All],6,FALSE)</f>
        <v>Tarifold T-View, Moldura Display Magnética A5 Branca - PN:194822</v>
      </c>
      <c r="C1230" s="130">
        <v>0</v>
      </c>
      <c r="D1230" s="130">
        <v>0</v>
      </c>
      <c r="E1230" s="130">
        <v>0</v>
      </c>
      <c r="F1230" s="130">
        <v>0</v>
      </c>
      <c r="G1230" s="130">
        <v>0</v>
      </c>
      <c r="H1230" s="130">
        <v>0</v>
      </c>
      <c r="I1230" s="130">
        <v>0</v>
      </c>
      <c r="J1230" s="130">
        <v>0</v>
      </c>
      <c r="K1230" s="130">
        <v>0</v>
      </c>
      <c r="L1230" s="130">
        <v>0</v>
      </c>
      <c r="M1230" s="130">
        <v>0</v>
      </c>
      <c r="N1230" s="130">
        <v>0</v>
      </c>
      <c r="O123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1" spans="1:15" ht="12.75" customHeight="1" x14ac:dyDescent="0.25">
      <c r="A1231" s="15">
        <v>33070763445</v>
      </c>
      <c r="B1231" s="16" t="str">
        <f>VLOOKUP(Projeção[[#This Row],[Código]],BD_Produto[#All],6,FALSE)</f>
        <v>Tarifold T-View, Moldura Display Magnética A5 Verde - PN:194825</v>
      </c>
      <c r="C1231" s="130">
        <v>0</v>
      </c>
      <c r="D1231" s="130">
        <v>0</v>
      </c>
      <c r="E1231" s="130">
        <v>0</v>
      </c>
      <c r="F1231" s="130">
        <v>0</v>
      </c>
      <c r="G1231" s="130">
        <v>0</v>
      </c>
      <c r="H1231" s="130">
        <v>0</v>
      </c>
      <c r="I1231" s="130">
        <v>0</v>
      </c>
      <c r="J1231" s="130">
        <v>0</v>
      </c>
      <c r="K1231" s="130">
        <v>0</v>
      </c>
      <c r="L1231" s="130">
        <v>0</v>
      </c>
      <c r="M1231" s="130">
        <v>0</v>
      </c>
      <c r="N1231" s="130">
        <v>0</v>
      </c>
      <c r="O123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2" spans="1:15" ht="12.75" customHeight="1" x14ac:dyDescent="0.25">
      <c r="A1232" s="15">
        <v>33070763443</v>
      </c>
      <c r="B1232" s="16" t="str">
        <f>VLOOKUP(Projeção[[#This Row],[Código]],BD_Produto[#All],6,FALSE)</f>
        <v>Tarifold T-View, Moldura Display Magnética A5 Vermelha - PN:194823</v>
      </c>
      <c r="C1232" s="130">
        <v>0</v>
      </c>
      <c r="D1232" s="130">
        <v>0</v>
      </c>
      <c r="E1232" s="130">
        <v>0</v>
      </c>
      <c r="F1232" s="130">
        <v>0</v>
      </c>
      <c r="G1232" s="130">
        <v>0</v>
      </c>
      <c r="H1232" s="130">
        <v>0</v>
      </c>
      <c r="I1232" s="130">
        <v>0</v>
      </c>
      <c r="J1232" s="130">
        <v>0</v>
      </c>
      <c r="K1232" s="130">
        <v>0</v>
      </c>
      <c r="L1232" s="130">
        <v>0</v>
      </c>
      <c r="M1232" s="130">
        <v>0</v>
      </c>
      <c r="N1232" s="130">
        <v>0</v>
      </c>
      <c r="O123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3" spans="1:15" ht="12.75" customHeight="1" x14ac:dyDescent="0.25">
      <c r="A1233" s="15">
        <v>33070763449</v>
      </c>
      <c r="B1233" s="16" t="str">
        <f>VLOOKUP(Projeção[[#This Row],[Código]],BD_Produto[#All],6,FALSE)</f>
        <v>Tarifold T-View, Moldura Display Magnética A6 Amarela - PN:194844</v>
      </c>
      <c r="C1233" s="130">
        <v>0</v>
      </c>
      <c r="D1233" s="130">
        <v>0</v>
      </c>
      <c r="E1233" s="130">
        <v>0</v>
      </c>
      <c r="F1233" s="130">
        <v>0</v>
      </c>
      <c r="G1233" s="130">
        <v>0</v>
      </c>
      <c r="H1233" s="130">
        <v>0</v>
      </c>
      <c r="I1233" s="130">
        <v>0</v>
      </c>
      <c r="J1233" s="130">
        <v>0</v>
      </c>
      <c r="K1233" s="130">
        <v>0</v>
      </c>
      <c r="L1233" s="130">
        <v>0</v>
      </c>
      <c r="M1233" s="130">
        <v>0</v>
      </c>
      <c r="N1233" s="130">
        <v>0</v>
      </c>
      <c r="O123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4" spans="1:15" ht="12.75" customHeight="1" x14ac:dyDescent="0.25">
      <c r="A1234" s="15">
        <v>33070763446</v>
      </c>
      <c r="B1234" s="16" t="str">
        <f>VLOOKUP(Projeção[[#This Row],[Código]],BD_Produto[#All],6,FALSE)</f>
        <v>Tarifold T-View, Moldura Display Magnética A6 Azul - PN:194841</v>
      </c>
      <c r="C1234" s="130">
        <v>0</v>
      </c>
      <c r="D1234" s="130">
        <v>0</v>
      </c>
      <c r="E1234" s="130">
        <v>0</v>
      </c>
      <c r="F1234" s="130">
        <v>0</v>
      </c>
      <c r="G1234" s="130">
        <v>0</v>
      </c>
      <c r="H1234" s="130">
        <v>0</v>
      </c>
      <c r="I1234" s="130">
        <v>0</v>
      </c>
      <c r="J1234" s="130">
        <v>0</v>
      </c>
      <c r="K1234" s="130">
        <v>0</v>
      </c>
      <c r="L1234" s="130">
        <v>0</v>
      </c>
      <c r="M1234" s="130">
        <v>0</v>
      </c>
      <c r="N1234" s="130">
        <v>0</v>
      </c>
      <c r="O123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5" spans="1:15" ht="12.75" customHeight="1" x14ac:dyDescent="0.25">
      <c r="A1235" s="15">
        <v>33070763447</v>
      </c>
      <c r="B1235" s="16" t="str">
        <f>VLOOKUP(Projeção[[#This Row],[Código]],BD_Produto[#All],6,FALSE)</f>
        <v>Tarifold T-View, Moldura Display Magnética A6 Branca - PN:194842</v>
      </c>
      <c r="C1235" s="130">
        <v>0</v>
      </c>
      <c r="D1235" s="130">
        <v>0</v>
      </c>
      <c r="E1235" s="130">
        <v>0</v>
      </c>
      <c r="F1235" s="130">
        <v>0</v>
      </c>
      <c r="G1235" s="130">
        <v>0</v>
      </c>
      <c r="H1235" s="130">
        <v>0</v>
      </c>
      <c r="I1235" s="130">
        <v>0</v>
      </c>
      <c r="J1235" s="130">
        <v>0</v>
      </c>
      <c r="K1235" s="130">
        <v>0</v>
      </c>
      <c r="L1235" s="130">
        <v>0</v>
      </c>
      <c r="M1235" s="130">
        <v>0</v>
      </c>
      <c r="N1235" s="130">
        <v>0</v>
      </c>
      <c r="O123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6" spans="1:15" ht="12.75" customHeight="1" x14ac:dyDescent="0.25">
      <c r="A1236" s="15">
        <v>33070763450</v>
      </c>
      <c r="B1236" s="16" t="str">
        <f>VLOOKUP(Projeção[[#This Row],[Código]],BD_Produto[#All],6,FALSE)</f>
        <v>Tarifold T-View, Moldura Display Magnética A6 Verde - PN:194845</v>
      </c>
      <c r="C1236" s="130">
        <v>0</v>
      </c>
      <c r="D1236" s="130">
        <v>0</v>
      </c>
      <c r="E1236" s="130">
        <v>0</v>
      </c>
      <c r="F1236" s="130">
        <v>0</v>
      </c>
      <c r="G1236" s="130">
        <v>0</v>
      </c>
      <c r="H1236" s="130">
        <v>0</v>
      </c>
      <c r="I1236" s="130">
        <v>0</v>
      </c>
      <c r="J1236" s="130">
        <v>0</v>
      </c>
      <c r="K1236" s="130">
        <v>0</v>
      </c>
      <c r="L1236" s="130">
        <v>0</v>
      </c>
      <c r="M1236" s="130">
        <v>0</v>
      </c>
      <c r="N1236" s="130">
        <v>0</v>
      </c>
      <c r="O123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7" spans="1:15" ht="12.75" customHeight="1" x14ac:dyDescent="0.25">
      <c r="A1237" s="15">
        <v>33070763448</v>
      </c>
      <c r="B1237" s="16" t="str">
        <f>VLOOKUP(Projeção[[#This Row],[Código]],BD_Produto[#All],6,FALSE)</f>
        <v>Tarifold T-View, Moldura Display Magnética A6 Vermelha - PN:194843</v>
      </c>
      <c r="C1237" s="130">
        <v>0</v>
      </c>
      <c r="D1237" s="130">
        <v>0</v>
      </c>
      <c r="E1237" s="130">
        <v>0</v>
      </c>
      <c r="F1237" s="130">
        <v>0</v>
      </c>
      <c r="G1237" s="130">
        <v>0</v>
      </c>
      <c r="H1237" s="130">
        <v>0</v>
      </c>
      <c r="I1237" s="130">
        <v>0</v>
      </c>
      <c r="J1237" s="130">
        <v>0</v>
      </c>
      <c r="K1237" s="130">
        <v>0</v>
      </c>
      <c r="L1237" s="130">
        <v>0</v>
      </c>
      <c r="M1237" s="130">
        <v>0</v>
      </c>
      <c r="N1237" s="130">
        <v>0</v>
      </c>
      <c r="O123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8" spans="1:15" ht="12.75" customHeight="1" x14ac:dyDescent="0.25">
      <c r="A1238" s="15">
        <v>33070760826</v>
      </c>
      <c r="B1238" s="16" t="str">
        <f>VLOOKUP(Projeção[[#This Row],[Código]],BD_Produto[#All],6,FALSE)</f>
        <v>TARIFOLD T-VIEW, PASTA 32 X 24 CM DE CIRCULAÇÃO, ANTIMICROBIAL, PAISAGEM - KIT COM 5 - PN:119158</v>
      </c>
      <c r="C1238" s="130">
        <v>0</v>
      </c>
      <c r="D1238" s="130">
        <v>0</v>
      </c>
      <c r="E1238" s="130">
        <v>0</v>
      </c>
      <c r="F1238" s="130">
        <v>0</v>
      </c>
      <c r="G1238" s="130">
        <v>0</v>
      </c>
      <c r="H1238" s="130">
        <v>0</v>
      </c>
      <c r="I1238" s="130">
        <v>0</v>
      </c>
      <c r="J1238" s="130">
        <v>0</v>
      </c>
      <c r="K1238" s="130">
        <v>0</v>
      </c>
      <c r="L1238" s="130">
        <v>0</v>
      </c>
      <c r="M1238" s="130">
        <v>0</v>
      </c>
      <c r="N1238" s="130">
        <v>0</v>
      </c>
      <c r="O123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39" spans="1:15" ht="12.75" customHeight="1" x14ac:dyDescent="0.25">
      <c r="A1239" s="15">
        <v>33070760110</v>
      </c>
      <c r="B1239" s="16" t="str">
        <f>VLOOKUP(Projeção[[#This Row],[Código]],BD_Produto[#All],6,FALSE)</f>
        <v>TARIFOLD T-VIEW, PASTA A4 COM ARGOLA, VERMELHA, PAISAGEM - KIT COM 5 - PN:157503</v>
      </c>
      <c r="C1239" s="130">
        <v>0</v>
      </c>
      <c r="D1239" s="130">
        <v>0</v>
      </c>
      <c r="E1239" s="130">
        <v>0</v>
      </c>
      <c r="F1239" s="130">
        <v>0</v>
      </c>
      <c r="G1239" s="130">
        <v>0</v>
      </c>
      <c r="H1239" s="130">
        <v>0</v>
      </c>
      <c r="I1239" s="130">
        <v>0</v>
      </c>
      <c r="J1239" s="130">
        <v>0</v>
      </c>
      <c r="K1239" s="130">
        <v>0</v>
      </c>
      <c r="L1239" s="130">
        <v>0</v>
      </c>
      <c r="M1239" s="130">
        <v>0</v>
      </c>
      <c r="N1239" s="130">
        <v>0</v>
      </c>
      <c r="O123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0" spans="1:15" ht="12.75" customHeight="1" x14ac:dyDescent="0.25">
      <c r="A1240" s="15">
        <v>33070754054</v>
      </c>
      <c r="B1240" s="16" t="str">
        <f>VLOOKUP(Projeção[[#This Row],[Código]],BD_Produto[#All],6,FALSE)</f>
        <v>TARIFOLD T-VIEW, PASTA A4 DISTRIBUIDORA (10MM), AZUL, PAISAGEM - KIT COM 5 - PN:354101</v>
      </c>
      <c r="C1240" s="130">
        <v>3.3333333333333333E-2</v>
      </c>
      <c r="D1240" s="130">
        <v>0</v>
      </c>
      <c r="E1240" s="130">
        <v>0</v>
      </c>
      <c r="F1240" s="130">
        <v>0</v>
      </c>
      <c r="G1240" s="130">
        <v>0</v>
      </c>
      <c r="H1240" s="130">
        <v>0</v>
      </c>
      <c r="I1240" s="130">
        <v>0</v>
      </c>
      <c r="J1240" s="130">
        <v>0</v>
      </c>
      <c r="K1240" s="130">
        <v>0</v>
      </c>
      <c r="L1240" s="130">
        <v>0</v>
      </c>
      <c r="M1240" s="130">
        <v>0</v>
      </c>
      <c r="N1240" s="130">
        <v>0</v>
      </c>
      <c r="O124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1" spans="1:15" ht="12.75" customHeight="1" x14ac:dyDescent="0.25">
      <c r="A1241" s="15">
        <v>33070754050</v>
      </c>
      <c r="B1241" s="16" t="str">
        <f>VLOOKUP(Projeção[[#This Row],[Código]],BD_Produto[#All],6,FALSE)</f>
        <v>TARIFOLD T-VIEW, PASTA A4 DISTRIBUIDORA (10MM), AZUL, RETRATO - KIT COM 5 - PN:354001</v>
      </c>
      <c r="C1241" s="130">
        <v>0</v>
      </c>
      <c r="D1241" s="130">
        <v>0</v>
      </c>
      <c r="E1241" s="130">
        <v>0</v>
      </c>
      <c r="F1241" s="130">
        <v>0</v>
      </c>
      <c r="G1241" s="130">
        <v>0</v>
      </c>
      <c r="H1241" s="130">
        <v>0</v>
      </c>
      <c r="I1241" s="130">
        <v>0</v>
      </c>
      <c r="J1241" s="130">
        <v>0</v>
      </c>
      <c r="K1241" s="130">
        <v>0</v>
      </c>
      <c r="L1241" s="130">
        <v>0</v>
      </c>
      <c r="M1241" s="130">
        <v>0</v>
      </c>
      <c r="N1241" s="130">
        <v>0</v>
      </c>
      <c r="O124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2" spans="1:15" ht="12.75" customHeight="1" x14ac:dyDescent="0.25">
      <c r="A1242" s="15">
        <v>33070754057</v>
      </c>
      <c r="B1242" s="16" t="str">
        <f>VLOOKUP(Projeção[[#This Row],[Código]],BD_Produto[#All],6,FALSE)</f>
        <v>TARIFOLD T-VIEW, PASTA A4 DRYPOCKET, COM ARGORA, VERMELHA, RETRATO - KIT COM 5 - PN:154063</v>
      </c>
      <c r="C1242" s="130">
        <v>0</v>
      </c>
      <c r="D1242" s="130">
        <v>0</v>
      </c>
      <c r="E1242" s="130">
        <v>0</v>
      </c>
      <c r="F1242" s="130">
        <v>0</v>
      </c>
      <c r="G1242" s="130">
        <v>0</v>
      </c>
      <c r="H1242" s="130">
        <v>0</v>
      </c>
      <c r="I1242" s="130">
        <v>0</v>
      </c>
      <c r="J1242" s="130">
        <v>0</v>
      </c>
      <c r="K1242" s="130">
        <v>0</v>
      </c>
      <c r="L1242" s="130">
        <v>0</v>
      </c>
      <c r="M1242" s="130">
        <v>0</v>
      </c>
      <c r="N1242" s="130">
        <v>0</v>
      </c>
      <c r="O124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3" spans="1:15" ht="12.75" customHeight="1" x14ac:dyDescent="0.25">
      <c r="A1243" s="15">
        <v>33070754058</v>
      </c>
      <c r="B1243" s="16" t="str">
        <f>VLOOKUP(Projeção[[#This Row],[Código]],BD_Produto[#All],6,FALSE)</f>
        <v>TARIFOLD T-VIEW, PASTA A4 KANG COM ADESIVO REPOSICIONAVEL, CORES SORTIDAS - KIT COM 5 - PN:194779</v>
      </c>
      <c r="C1243" s="130">
        <v>0</v>
      </c>
      <c r="D1243" s="130">
        <v>0</v>
      </c>
      <c r="E1243" s="130">
        <v>0</v>
      </c>
      <c r="F1243" s="130">
        <v>0</v>
      </c>
      <c r="G1243" s="130">
        <v>0</v>
      </c>
      <c r="H1243" s="130">
        <v>0</v>
      </c>
      <c r="I1243" s="130">
        <v>0</v>
      </c>
      <c r="J1243" s="130">
        <v>0</v>
      </c>
      <c r="K1243" s="130">
        <v>0</v>
      </c>
      <c r="L1243" s="130">
        <v>0</v>
      </c>
      <c r="M1243" s="130">
        <v>0</v>
      </c>
      <c r="N1243" s="130">
        <v>0</v>
      </c>
      <c r="O124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4" spans="1:15" ht="12.75" customHeight="1" x14ac:dyDescent="0.25">
      <c r="A1244" s="15">
        <v>33070754129</v>
      </c>
      <c r="B1244" s="16" t="str">
        <f>VLOOKUP(Projeção[[#This Row],[Código]],BD_Produto[#All],6,FALSE)</f>
        <v>TARIFOLD T-VIEW, PASTA A4 KANG COM ADESIVO REPOSICIONAVEL, VERMELHA - KIT COM 5 - PN:194770</v>
      </c>
      <c r="C1244" s="130">
        <v>0</v>
      </c>
      <c r="D1244" s="130">
        <v>0</v>
      </c>
      <c r="E1244" s="130">
        <v>0</v>
      </c>
      <c r="F1244" s="130">
        <v>0</v>
      </c>
      <c r="G1244" s="130">
        <v>0</v>
      </c>
      <c r="H1244" s="130">
        <v>0</v>
      </c>
      <c r="I1244" s="130">
        <v>0</v>
      </c>
      <c r="J1244" s="130">
        <v>0</v>
      </c>
      <c r="K1244" s="130">
        <v>0</v>
      </c>
      <c r="L1244" s="130">
        <v>0</v>
      </c>
      <c r="M1244" s="130">
        <v>0</v>
      </c>
      <c r="N1244" s="130">
        <v>0</v>
      </c>
      <c r="O124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5" spans="1:15" ht="12.75" customHeight="1" x14ac:dyDescent="0.25">
      <c r="A1245" s="15">
        <v>33070754128</v>
      </c>
      <c r="B1245" s="16" t="str">
        <f>VLOOKUP(Projeção[[#This Row],[Código]],BD_Produto[#All],6,FALSE)</f>
        <v>TARIFOLD T-VIEW, PASTA A4 PORTA CATALOGO EM V, CORES SORTIDAS - KIT COM 5 - PN:340009</v>
      </c>
      <c r="C1245" s="130">
        <v>0</v>
      </c>
      <c r="D1245" s="130">
        <v>0</v>
      </c>
      <c r="E1245" s="130">
        <v>0</v>
      </c>
      <c r="F1245" s="130">
        <v>0</v>
      </c>
      <c r="G1245" s="130">
        <v>0</v>
      </c>
      <c r="H1245" s="130">
        <v>0</v>
      </c>
      <c r="I1245" s="130">
        <v>0</v>
      </c>
      <c r="J1245" s="130">
        <v>0</v>
      </c>
      <c r="K1245" s="130">
        <v>0</v>
      </c>
      <c r="L1245" s="130">
        <v>0</v>
      </c>
      <c r="M1245" s="130">
        <v>0</v>
      </c>
      <c r="N1245" s="130">
        <v>0</v>
      </c>
      <c r="O124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1246" spans="1:15" ht="12.75" customHeight="1" x14ac:dyDescent="0.25">
      <c r="A1246" s="15">
        <v>33070754055</v>
      </c>
      <c r="B1246" s="16" t="str">
        <f>VLOOKUP(Projeção[[#This Row],[Código]],BD_Produto[#All],6,FALSE)</f>
        <v>TARIFOLD T-VIEW, PASTA A4 PORTA FOLHAS COM ARGOLA, VERDE + CANETA - KIT COM 5 - PN:184525</v>
      </c>
      <c r="C1246" s="130">
        <v>0</v>
      </c>
      <c r="D1246" s="130">
        <v>0</v>
      </c>
      <c r="E1246" s="130">
        <v>0</v>
      </c>
      <c r="F1246" s="130">
        <v>0</v>
      </c>
      <c r="G1246" s="130">
        <v>0</v>
      </c>
      <c r="H1246" s="130">
        <v>0</v>
      </c>
      <c r="I1246" s="130">
        <v>0</v>
      </c>
      <c r="J1246" s="130">
        <v>0</v>
      </c>
      <c r="K1246" s="130">
        <v>0</v>
      </c>
      <c r="L1246" s="130">
        <v>0</v>
      </c>
      <c r="M1246" s="130">
        <v>0</v>
      </c>
      <c r="N1246" s="130">
        <v>0</v>
      </c>
      <c r="O124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7" spans="1:15" ht="12.75" customHeight="1" x14ac:dyDescent="0.25">
      <c r="A1247" s="15">
        <v>33070754056</v>
      </c>
      <c r="B1247" s="16" t="str">
        <f>VLOOKUP(Projeção[[#This Row],[Código]],BD_Produto[#All],6,FALSE)</f>
        <v>TARIFOLD T-VIEW, PASTA A4 PORTA FOLHAS MAGNÉTICA, VERDE + CANETA - KIT COM 5 - PN:184535</v>
      </c>
      <c r="C1247" s="130">
        <v>0</v>
      </c>
      <c r="D1247" s="130">
        <v>0</v>
      </c>
      <c r="E1247" s="130">
        <v>0</v>
      </c>
      <c r="F1247" s="130">
        <v>0</v>
      </c>
      <c r="G1247" s="130">
        <v>0</v>
      </c>
      <c r="H1247" s="130">
        <v>0</v>
      </c>
      <c r="I1247" s="130">
        <v>0</v>
      </c>
      <c r="J1247" s="130">
        <v>0</v>
      </c>
      <c r="K1247" s="130">
        <v>0</v>
      </c>
      <c r="L1247" s="130">
        <v>0.16666666666666663</v>
      </c>
      <c r="M1247" s="130">
        <v>0.23333333333333334</v>
      </c>
      <c r="N1247" s="130">
        <v>0.23333333333333334</v>
      </c>
      <c r="O124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248" spans="1:15" ht="12.75" customHeight="1" x14ac:dyDescent="0.25">
      <c r="A1248" s="15">
        <v>33070754064</v>
      </c>
      <c r="B1248" s="16" t="str">
        <f>VLOOKUP(Projeção[[#This Row],[Código]],BD_Produto[#All],6,FALSE)</f>
        <v>TARIFOLD T-VIEW, PASTA A4 STANDARD COM ARGOLA, AMARELA, RETRATO - KIT COM 5 - PN:154504</v>
      </c>
      <c r="C1248" s="130">
        <v>0</v>
      </c>
      <c r="D1248" s="130">
        <v>0</v>
      </c>
      <c r="E1248" s="130">
        <v>0</v>
      </c>
      <c r="F1248" s="130">
        <v>0</v>
      </c>
      <c r="G1248" s="130">
        <v>0</v>
      </c>
      <c r="H1248" s="130">
        <v>0</v>
      </c>
      <c r="I1248" s="130">
        <v>0</v>
      </c>
      <c r="J1248" s="130">
        <v>0</v>
      </c>
      <c r="K1248" s="130">
        <v>0</v>
      </c>
      <c r="L1248" s="130">
        <v>0</v>
      </c>
      <c r="M1248" s="130">
        <v>0</v>
      </c>
      <c r="N1248" s="130">
        <v>0</v>
      </c>
      <c r="O124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49" spans="1:15" ht="12.75" customHeight="1" x14ac:dyDescent="0.25">
      <c r="A1249" s="15">
        <v>33070754062</v>
      </c>
      <c r="B1249" s="16" t="str">
        <f>VLOOKUP(Projeção[[#This Row],[Código]],BD_Produto[#All],6,FALSE)</f>
        <v>TARIFOLD T-VIEW, PASTA A4 STANDARD COM ARGOLA, AZUL, RETRATO - KIT COM 5 - PN:154501</v>
      </c>
      <c r="C1249" s="130">
        <v>3.3333333333333333E-2</v>
      </c>
      <c r="D1249" s="130">
        <v>0</v>
      </c>
      <c r="E1249" s="130">
        <v>0</v>
      </c>
      <c r="F1249" s="130">
        <v>0</v>
      </c>
      <c r="G1249" s="130">
        <v>0</v>
      </c>
      <c r="H1249" s="130">
        <v>0</v>
      </c>
      <c r="I1249" s="130">
        <v>0</v>
      </c>
      <c r="J1249" s="130">
        <v>0</v>
      </c>
      <c r="K1249" s="130">
        <v>0</v>
      </c>
      <c r="L1249" s="130">
        <v>0</v>
      </c>
      <c r="M1249" s="130">
        <v>0</v>
      </c>
      <c r="N1249" s="130">
        <v>0</v>
      </c>
      <c r="O124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0" spans="1:15" ht="12.75" customHeight="1" x14ac:dyDescent="0.25">
      <c r="A1250" s="15">
        <v>33070754061</v>
      </c>
      <c r="B1250" s="16" t="str">
        <f>VLOOKUP(Projeção[[#This Row],[Código]],BD_Produto[#All],6,FALSE)</f>
        <v>TARIFOLD T-VIEW, PASTA A4 STANDARD COM ARGOLA, CORES SORTIDAS, RETRATO - KIT COM 5 - PN:154509</v>
      </c>
      <c r="C1250" s="130">
        <v>0</v>
      </c>
      <c r="D1250" s="130">
        <v>0</v>
      </c>
      <c r="E1250" s="130">
        <v>0</v>
      </c>
      <c r="F1250" s="130">
        <v>0</v>
      </c>
      <c r="G1250" s="130">
        <v>0</v>
      </c>
      <c r="H1250" s="130">
        <v>0</v>
      </c>
      <c r="I1250" s="130">
        <v>0</v>
      </c>
      <c r="J1250" s="130">
        <v>0</v>
      </c>
      <c r="K1250" s="130">
        <v>0</v>
      </c>
      <c r="L1250" s="130">
        <v>0</v>
      </c>
      <c r="M1250" s="130">
        <v>0</v>
      </c>
      <c r="N1250" s="130">
        <v>0</v>
      </c>
      <c r="O125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1" spans="1:15" ht="12.75" customHeight="1" x14ac:dyDescent="0.25">
      <c r="A1251" s="15">
        <v>33070754059</v>
      </c>
      <c r="B1251" s="16" t="str">
        <f>VLOOKUP(Projeção[[#This Row],[Código]],BD_Produto[#All],6,FALSE)</f>
        <v>TARIFOLD T-VIEW, PASTA A4 STANDARD COM ARGOLA, PRETA, RETRATO - KIT COM 5 - PN:154507</v>
      </c>
      <c r="C1251" s="130">
        <v>0</v>
      </c>
      <c r="D1251" s="130">
        <v>0</v>
      </c>
      <c r="E1251" s="130">
        <v>0</v>
      </c>
      <c r="F1251" s="130">
        <v>0</v>
      </c>
      <c r="G1251" s="130">
        <v>0</v>
      </c>
      <c r="H1251" s="130">
        <v>0</v>
      </c>
      <c r="I1251" s="130">
        <v>0</v>
      </c>
      <c r="J1251" s="130">
        <v>0</v>
      </c>
      <c r="K1251" s="130">
        <v>0</v>
      </c>
      <c r="L1251" s="130">
        <v>0</v>
      </c>
      <c r="M1251" s="130">
        <v>0</v>
      </c>
      <c r="N1251" s="130">
        <v>0</v>
      </c>
      <c r="O125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2" spans="1:15" ht="12.75" customHeight="1" x14ac:dyDescent="0.25">
      <c r="A1252" s="15">
        <v>33070754065</v>
      </c>
      <c r="B1252" s="16" t="str">
        <f>VLOOKUP(Projeção[[#This Row],[Código]],BD_Produto[#All],6,FALSE)</f>
        <v>TARIFOLD T-VIEW, PASTA A4 STANDARD COM ARGOLA, VERDE, RETRATO - KIT COM 5 - PN:154505</v>
      </c>
      <c r="C1252" s="130">
        <v>0</v>
      </c>
      <c r="D1252" s="130">
        <v>0</v>
      </c>
      <c r="E1252" s="130">
        <v>0</v>
      </c>
      <c r="F1252" s="130">
        <v>0</v>
      </c>
      <c r="G1252" s="130">
        <v>0</v>
      </c>
      <c r="H1252" s="130">
        <v>0</v>
      </c>
      <c r="I1252" s="130">
        <v>0</v>
      </c>
      <c r="J1252" s="130">
        <v>0</v>
      </c>
      <c r="K1252" s="130">
        <v>0</v>
      </c>
      <c r="L1252" s="130">
        <v>0</v>
      </c>
      <c r="M1252" s="130">
        <v>0</v>
      </c>
      <c r="N1252" s="130">
        <v>0</v>
      </c>
      <c r="O125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3" spans="1:15" ht="12.75" customHeight="1" x14ac:dyDescent="0.25">
      <c r="A1253" s="15">
        <v>33070754063</v>
      </c>
      <c r="B1253" s="16" t="str">
        <f>VLOOKUP(Projeção[[#This Row],[Código]],BD_Produto[#All],6,FALSE)</f>
        <v>TARIFOLD T-VIEW, PASTA A4 STANDARD COM ARGOLA, VERMELHA, RETRATO - KIT COM 5 - PN:154503</v>
      </c>
      <c r="C1253" s="130">
        <v>0</v>
      </c>
      <c r="D1253" s="130">
        <v>0</v>
      </c>
      <c r="E1253" s="130">
        <v>0</v>
      </c>
      <c r="F1253" s="130">
        <v>0</v>
      </c>
      <c r="G1253" s="130">
        <v>0</v>
      </c>
      <c r="H1253" s="130">
        <v>0</v>
      </c>
      <c r="I1253" s="130">
        <v>0</v>
      </c>
      <c r="J1253" s="130">
        <v>0</v>
      </c>
      <c r="K1253" s="130">
        <v>0</v>
      </c>
      <c r="L1253" s="130">
        <v>0</v>
      </c>
      <c r="M1253" s="130">
        <v>0</v>
      </c>
      <c r="N1253" s="130">
        <v>0</v>
      </c>
      <c r="O125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4" spans="1:15" ht="12.75" customHeight="1" x14ac:dyDescent="0.25">
      <c r="A1254" s="15">
        <v>33070760268</v>
      </c>
      <c r="B1254" s="16" t="str">
        <f>VLOOKUP(Projeção[[#This Row],[Código]],BD_Produto[#All],6,FALSE)</f>
        <v>TARIFOLD T-VIEW, PASTA A4 STICKY FOLD, ADESIVA - KIT COM 5 - PN:194680</v>
      </c>
      <c r="C1254" s="130">
        <v>0</v>
      </c>
      <c r="D1254" s="130">
        <v>0</v>
      </c>
      <c r="E1254" s="130">
        <v>0</v>
      </c>
      <c r="F1254" s="130">
        <v>0</v>
      </c>
      <c r="G1254" s="130">
        <v>0</v>
      </c>
      <c r="H1254" s="130">
        <v>0</v>
      </c>
      <c r="I1254" s="130">
        <v>0</v>
      </c>
      <c r="J1254" s="130">
        <v>0</v>
      </c>
      <c r="K1254" s="130">
        <v>0</v>
      </c>
      <c r="L1254" s="130">
        <v>0</v>
      </c>
      <c r="M1254" s="130">
        <v>0</v>
      </c>
      <c r="N1254" s="130">
        <v>0</v>
      </c>
      <c r="O125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5" spans="1:15" ht="12.75" customHeight="1" x14ac:dyDescent="0.25">
      <c r="A1255" s="15">
        <v>33070760269</v>
      </c>
      <c r="B1255" s="16" t="str">
        <f>VLOOKUP(Projeção[[#This Row],[Código]],BD_Produto[#All],6,FALSE)</f>
        <v>TARIFOLD T-VIEW, PASTA A4 STICKY FOLD, MAGNÉTICA - KIT COM 5 - PN:194690</v>
      </c>
      <c r="C1255" s="130">
        <v>0</v>
      </c>
      <c r="D1255" s="130">
        <v>0</v>
      </c>
      <c r="E1255" s="130">
        <v>0</v>
      </c>
      <c r="F1255" s="130">
        <v>0</v>
      </c>
      <c r="G1255" s="130">
        <v>0</v>
      </c>
      <c r="H1255" s="130">
        <v>0</v>
      </c>
      <c r="I1255" s="130">
        <v>0</v>
      </c>
      <c r="J1255" s="130">
        <v>0</v>
      </c>
      <c r="K1255" s="130">
        <v>0</v>
      </c>
      <c r="L1255" s="130">
        <v>0</v>
      </c>
      <c r="M1255" s="130">
        <v>0</v>
      </c>
      <c r="N1255" s="130">
        <v>0</v>
      </c>
      <c r="O125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6" spans="1:15" ht="12.75" customHeight="1" x14ac:dyDescent="0.25">
      <c r="A1256" s="15">
        <v>33070754045</v>
      </c>
      <c r="B1256" s="16" t="str">
        <f>VLOOKUP(Projeção[[#This Row],[Código]],BD_Produto[#All],6,FALSE)</f>
        <v>TARIFOLD T-VIEW, PASTA A4, MAGNETICA, PRETA - KIT COM 5 - PN:194607</v>
      </c>
      <c r="C1256" s="130">
        <v>0.19999999999999998</v>
      </c>
      <c r="D1256" s="130">
        <v>0.19999999999999998</v>
      </c>
      <c r="E1256" s="130">
        <v>0.76666666666666661</v>
      </c>
      <c r="F1256" s="130">
        <v>0.3666666666666667</v>
      </c>
      <c r="G1256" s="130">
        <v>0.3666666666666667</v>
      </c>
      <c r="H1256" s="130">
        <v>3.3333333333333333E-2</v>
      </c>
      <c r="I1256" s="130">
        <v>3.3333333333333333E-2</v>
      </c>
      <c r="J1256" s="130">
        <v>3.3333333333333333E-2</v>
      </c>
      <c r="K1256" s="130">
        <v>3.3333333333333333E-2</v>
      </c>
      <c r="L1256" s="130">
        <v>3.3333333333333333E-2</v>
      </c>
      <c r="M1256" s="130">
        <v>3.3333333333333333E-2</v>
      </c>
      <c r="N1256" s="130">
        <v>3.3333333333333333E-2</v>
      </c>
      <c r="O125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1257" spans="1:15" ht="12.75" customHeight="1" x14ac:dyDescent="0.2">
      <c r="A1257" s="15">
        <v>33060414889</v>
      </c>
      <c r="B1257" s="68" t="str">
        <f>VLOOKUP(Projeção[[#This Row],[Código]],BD_Produto[#All],6,FALSE)</f>
        <v>UNIDADE DE GRAMPEAMENTO DO RAPID 65</v>
      </c>
      <c r="C1257" s="137"/>
      <c r="D1257" s="137"/>
      <c r="E1257" s="137"/>
      <c r="F1257" s="137"/>
      <c r="G1257" s="137"/>
      <c r="H1257" s="137">
        <v>0</v>
      </c>
      <c r="I1257" s="137">
        <v>0</v>
      </c>
      <c r="J1257" s="137">
        <v>0</v>
      </c>
      <c r="K1257" s="137">
        <v>0</v>
      </c>
      <c r="L1257" s="137">
        <v>0</v>
      </c>
      <c r="M1257" s="137">
        <v>0</v>
      </c>
      <c r="N1257" s="138">
        <v>0</v>
      </c>
      <c r="O1257" s="138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58" spans="1:15" ht="12.75" customHeight="1" x14ac:dyDescent="0.25">
      <c r="A1258" s="15">
        <v>33062562895</v>
      </c>
      <c r="B1258" s="16" t="str">
        <f>VLOOKUP(Projeção[[#This Row],[Código]],BD_Produto[#All],6,FALSE)</f>
        <v>Wire-o para encadernação Fellowes 10mm Branco A4 - 3:1 - 100pç  - PN:53262</v>
      </c>
      <c r="C1258" s="130">
        <v>0</v>
      </c>
      <c r="D1258" s="130">
        <v>0</v>
      </c>
      <c r="E1258" s="130">
        <v>0</v>
      </c>
      <c r="F1258" s="130">
        <v>0</v>
      </c>
      <c r="G1258" s="130">
        <v>0</v>
      </c>
      <c r="H1258" s="130">
        <v>0</v>
      </c>
      <c r="I1258" s="130">
        <v>0</v>
      </c>
      <c r="J1258" s="130">
        <v>0</v>
      </c>
      <c r="K1258" s="130">
        <v>0</v>
      </c>
      <c r="L1258" s="130">
        <v>0</v>
      </c>
      <c r="M1258" s="130">
        <v>0</v>
      </c>
      <c r="N1258" s="130">
        <v>0</v>
      </c>
      <c r="O125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11.133333333333331</v>
      </c>
    </row>
    <row r="1259" spans="1:15" ht="12.75" customHeight="1" x14ac:dyDescent="0.25">
      <c r="A1259" s="15">
        <v>33062562900</v>
      </c>
      <c r="B1259" s="16" t="str">
        <f>VLOOKUP(Projeção[[#This Row],[Código]],BD_Produto[#All],6,FALSE)</f>
        <v>Wire-o para encadernação Fellowes 10mm Preto A4 - 3:1 - 100pç  - PN:53265</v>
      </c>
      <c r="C1259" s="130">
        <v>0</v>
      </c>
      <c r="D1259" s="130">
        <v>0</v>
      </c>
      <c r="E1259" s="130">
        <v>0</v>
      </c>
      <c r="F1259" s="130">
        <v>0</v>
      </c>
      <c r="G1259" s="130">
        <v>0</v>
      </c>
      <c r="H1259" s="130">
        <v>0</v>
      </c>
      <c r="I1259" s="130">
        <v>0</v>
      </c>
      <c r="J1259" s="130">
        <v>0</v>
      </c>
      <c r="K1259" s="130">
        <v>0</v>
      </c>
      <c r="L1259" s="130">
        <v>0</v>
      </c>
      <c r="M1259" s="130">
        <v>0</v>
      </c>
      <c r="N1259" s="130">
        <v>0</v>
      </c>
      <c r="O125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</v>
      </c>
    </row>
    <row r="1260" spans="1:15" ht="12.75" customHeight="1" x14ac:dyDescent="0.25">
      <c r="A1260" s="15">
        <v>33062562896</v>
      </c>
      <c r="B1260" s="16" t="str">
        <f>VLOOKUP(Projeção[[#This Row],[Código]],BD_Produto[#All],6,FALSE)</f>
        <v>Wire-o para encadernação Fellowes 12mm Branco A4 - 3:1 - 100pç  - PN:53270</v>
      </c>
      <c r="C1260" s="130">
        <v>0</v>
      </c>
      <c r="D1260" s="130">
        <v>0</v>
      </c>
      <c r="E1260" s="130">
        <v>0</v>
      </c>
      <c r="F1260" s="130">
        <v>0</v>
      </c>
      <c r="G1260" s="130">
        <v>0</v>
      </c>
      <c r="H1260" s="130">
        <v>0</v>
      </c>
      <c r="I1260" s="130">
        <v>0</v>
      </c>
      <c r="J1260" s="130">
        <v>0</v>
      </c>
      <c r="K1260" s="130">
        <v>0</v>
      </c>
      <c r="L1260" s="130">
        <v>0</v>
      </c>
      <c r="M1260" s="130">
        <v>0</v>
      </c>
      <c r="N1260" s="130">
        <v>0</v>
      </c>
      <c r="O126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3.666666666666667</v>
      </c>
    </row>
    <row r="1261" spans="1:15" ht="12.75" customHeight="1" x14ac:dyDescent="0.25">
      <c r="A1261" s="15">
        <v>33062562897</v>
      </c>
      <c r="B1261" s="16" t="str">
        <f>VLOOKUP(Projeção[[#This Row],[Código]],BD_Produto[#All],6,FALSE)</f>
        <v>Wire-o para encadernação Fellowes 12mm Preto A4 - 3:1 - 100pç  - PN:53273</v>
      </c>
      <c r="C1261" s="130">
        <v>0</v>
      </c>
      <c r="D1261" s="130">
        <v>0</v>
      </c>
      <c r="E1261" s="130">
        <v>0</v>
      </c>
      <c r="F1261" s="130">
        <v>0</v>
      </c>
      <c r="G1261" s="130">
        <v>0</v>
      </c>
      <c r="H1261" s="130">
        <v>0</v>
      </c>
      <c r="I1261" s="130">
        <v>0</v>
      </c>
      <c r="J1261" s="130">
        <v>0</v>
      </c>
      <c r="K1261" s="130">
        <v>0</v>
      </c>
      <c r="L1261" s="130">
        <v>0</v>
      </c>
      <c r="M1261" s="130">
        <v>0</v>
      </c>
      <c r="N1261" s="130">
        <v>0</v>
      </c>
      <c r="O126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3.666666666666667</v>
      </c>
    </row>
    <row r="1262" spans="1:15" ht="12.75" customHeight="1" x14ac:dyDescent="0.25">
      <c r="A1262" s="15">
        <v>33062562898</v>
      </c>
      <c r="B1262" s="16" t="str">
        <f>VLOOKUP(Projeção[[#This Row],[Código]],BD_Produto[#All],6,FALSE)</f>
        <v>Wire-o para encadernação Fellowes 14mm Branco A4 - 3:1 - 100pç  - PN:53274</v>
      </c>
      <c r="C1262" s="130">
        <v>0</v>
      </c>
      <c r="D1262" s="130">
        <v>0</v>
      </c>
      <c r="E1262" s="130">
        <v>0</v>
      </c>
      <c r="F1262" s="130">
        <v>0</v>
      </c>
      <c r="G1262" s="130">
        <v>0</v>
      </c>
      <c r="H1262" s="130">
        <v>0</v>
      </c>
      <c r="I1262" s="130">
        <v>0</v>
      </c>
      <c r="J1262" s="130">
        <v>0</v>
      </c>
      <c r="K1262" s="130">
        <v>0</v>
      </c>
      <c r="L1262" s="130">
        <v>0</v>
      </c>
      <c r="M1262" s="130">
        <v>0</v>
      </c>
      <c r="N1262" s="130">
        <v>0</v>
      </c>
      <c r="O126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1.3333333333333333</v>
      </c>
    </row>
    <row r="1263" spans="1:15" ht="12.75" customHeight="1" x14ac:dyDescent="0.25">
      <c r="A1263" s="15">
        <v>33062562899</v>
      </c>
      <c r="B1263" s="16" t="str">
        <f>VLOOKUP(Projeção[[#This Row],[Código]],BD_Produto[#All],6,FALSE)</f>
        <v>Wire-o para encadernação Fellowes 14mm Preto A4 - 3:1 - 100pç  - PN:53277</v>
      </c>
      <c r="C1263" s="130">
        <v>0</v>
      </c>
      <c r="D1263" s="130">
        <v>0</v>
      </c>
      <c r="E1263" s="130">
        <v>0</v>
      </c>
      <c r="F1263" s="130">
        <v>0</v>
      </c>
      <c r="G1263" s="130">
        <v>0</v>
      </c>
      <c r="H1263" s="130">
        <v>0</v>
      </c>
      <c r="I1263" s="130">
        <v>0</v>
      </c>
      <c r="J1263" s="130">
        <v>0</v>
      </c>
      <c r="K1263" s="130">
        <v>0</v>
      </c>
      <c r="L1263" s="130">
        <v>0</v>
      </c>
      <c r="M1263" s="130">
        <v>0</v>
      </c>
      <c r="N1263" s="130">
        <v>0</v>
      </c>
      <c r="O126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1.3333333333333333</v>
      </c>
    </row>
    <row r="1264" spans="1:15" ht="12.75" customHeight="1" x14ac:dyDescent="0.25">
      <c r="A1264" s="15">
        <v>33062562891</v>
      </c>
      <c r="B1264" s="16" t="str">
        <f>VLOOKUP(Projeção[[#This Row],[Código]],BD_Produto[#All],6,FALSE)</f>
        <v>Wire-o para encadernação Fellowes 6mm Branco A4 - 3:1 - 100pç  - PN:53215</v>
      </c>
      <c r="C1264" s="130">
        <v>0</v>
      </c>
      <c r="D1264" s="130">
        <v>0</v>
      </c>
      <c r="E1264" s="130">
        <v>0</v>
      </c>
      <c r="F1264" s="130">
        <v>0</v>
      </c>
      <c r="G1264" s="130">
        <v>0</v>
      </c>
      <c r="H1264" s="130">
        <v>0</v>
      </c>
      <c r="I1264" s="130">
        <v>0</v>
      </c>
      <c r="J1264" s="130">
        <v>0</v>
      </c>
      <c r="K1264" s="130">
        <v>0</v>
      </c>
      <c r="L1264" s="130">
        <v>0</v>
      </c>
      <c r="M1264" s="130">
        <v>0</v>
      </c>
      <c r="N1264" s="130">
        <v>0</v>
      </c>
      <c r="O126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6.1</v>
      </c>
    </row>
    <row r="1265" spans="1:15" ht="12.75" customHeight="1" x14ac:dyDescent="0.25">
      <c r="A1265" s="15">
        <v>33062562892</v>
      </c>
      <c r="B1265" s="16" t="str">
        <f>VLOOKUP(Projeção[[#This Row],[Código]],BD_Produto[#All],6,FALSE)</f>
        <v>Wire-o para encadernação Fellowes 6mm Preto A4 - 3:1 - 100pç  - PN:53218</v>
      </c>
      <c r="C1265" s="130">
        <v>3.3333333333333333E-2</v>
      </c>
      <c r="D1265" s="130">
        <v>3.3333333333333333E-2</v>
      </c>
      <c r="E1265" s="130">
        <v>3.3333333333333333E-2</v>
      </c>
      <c r="F1265" s="130">
        <v>3.3333333333333333E-2</v>
      </c>
      <c r="G1265" s="130">
        <v>3.3333333333333333E-2</v>
      </c>
      <c r="H1265" s="130">
        <v>3.3333333333333333E-2</v>
      </c>
      <c r="I1265" s="130">
        <v>3.3333333333333333E-2</v>
      </c>
      <c r="J1265" s="130">
        <v>0</v>
      </c>
      <c r="K1265" s="130">
        <v>3.3333333333333333E-2</v>
      </c>
      <c r="L1265" s="130">
        <v>0</v>
      </c>
      <c r="M1265" s="130">
        <v>0</v>
      </c>
      <c r="N1265" s="130">
        <v>0</v>
      </c>
      <c r="O126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</v>
      </c>
    </row>
    <row r="1266" spans="1:15" ht="12.75" customHeight="1" x14ac:dyDescent="0.25">
      <c r="A1266" s="15">
        <v>33062562893</v>
      </c>
      <c r="B1266" s="16" t="str">
        <f>VLOOKUP(Projeção[[#This Row],[Código]],BD_Produto[#All],6,FALSE)</f>
        <v>Wire-o para encadernação Fellowes 8mm Branco A4 - 3:1 - 100pç  - PN:53258</v>
      </c>
      <c r="C1266" s="130">
        <v>0</v>
      </c>
      <c r="D1266" s="130">
        <v>0</v>
      </c>
      <c r="E1266" s="130">
        <v>0</v>
      </c>
      <c r="F1266" s="130">
        <v>0</v>
      </c>
      <c r="G1266" s="130">
        <v>0</v>
      </c>
      <c r="H1266" s="130">
        <v>0</v>
      </c>
      <c r="I1266" s="130">
        <v>0</v>
      </c>
      <c r="J1266" s="130">
        <v>0</v>
      </c>
      <c r="K1266" s="130">
        <v>0</v>
      </c>
      <c r="L1266" s="130">
        <v>0</v>
      </c>
      <c r="M1266" s="130">
        <v>0</v>
      </c>
      <c r="N1266" s="130">
        <v>0</v>
      </c>
      <c r="O126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</v>
      </c>
    </row>
    <row r="1267" spans="1:15" ht="12.75" customHeight="1" x14ac:dyDescent="0.25">
      <c r="A1267" s="15">
        <v>33062562894</v>
      </c>
      <c r="B1267" s="16" t="str">
        <f>VLOOKUP(Projeção[[#This Row],[Código]],BD_Produto[#All],6,FALSE)</f>
        <v>Wire-o para encadernação Fellowes 8mm Preto A4 - 3:1 - 100pç  - PN:53261</v>
      </c>
      <c r="C1267" s="130">
        <v>0</v>
      </c>
      <c r="D1267" s="130">
        <v>0</v>
      </c>
      <c r="E1267" s="130">
        <v>0</v>
      </c>
      <c r="F1267" s="130">
        <v>0</v>
      </c>
      <c r="G1267" s="130">
        <v>0</v>
      </c>
      <c r="H1267" s="130">
        <v>0</v>
      </c>
      <c r="I1267" s="130">
        <v>0</v>
      </c>
      <c r="J1267" s="130">
        <v>0</v>
      </c>
      <c r="K1267" s="130">
        <v>0</v>
      </c>
      <c r="L1267" s="130">
        <v>0</v>
      </c>
      <c r="M1267" s="130">
        <v>0</v>
      </c>
      <c r="N1267" s="130">
        <v>0</v>
      </c>
      <c r="O126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13</v>
      </c>
    </row>
    <row r="1268" spans="1:15" ht="12.75" customHeight="1" x14ac:dyDescent="0.25">
      <c r="A1268" s="15">
        <v>32105064280</v>
      </c>
      <c r="B1268" s="16" t="str">
        <f>VLOOKUP(Projeção[[#This Row],[Código]],BD_Produto[#All],6,FALSE)</f>
        <v>Youts, Capa para Smartphone Galaxy SIII - CBR, Alô Comunidade - EC</v>
      </c>
      <c r="C1268" s="130">
        <v>0</v>
      </c>
      <c r="D1268" s="130">
        <v>0</v>
      </c>
      <c r="E1268" s="130">
        <v>0</v>
      </c>
      <c r="F1268" s="130">
        <v>0</v>
      </c>
      <c r="G1268" s="130">
        <v>0</v>
      </c>
      <c r="H1268" s="130">
        <v>0</v>
      </c>
      <c r="I1268" s="130">
        <v>0</v>
      </c>
      <c r="J1268" s="130">
        <v>0</v>
      </c>
      <c r="K1268" s="130">
        <v>0</v>
      </c>
      <c r="L1268" s="130">
        <v>0</v>
      </c>
      <c r="M1268" s="130">
        <v>0</v>
      </c>
      <c r="N1268" s="130">
        <v>0</v>
      </c>
      <c r="O126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69" spans="1:15" ht="15" customHeight="1" x14ac:dyDescent="0.25">
      <c r="A1269" s="15">
        <v>32105064278</v>
      </c>
      <c r="B1269" s="16" t="str">
        <f>VLOOKUP(Projeção[[#This Row],[Código]],BD_Produto[#All],6,FALSE)</f>
        <v>Youts, Capa para Smartphone Galaxy SIII - CBR, Arara Brasil - EC</v>
      </c>
      <c r="C1269" s="130">
        <v>3.3333333333333333E-2</v>
      </c>
      <c r="D1269" s="130">
        <v>3.3333333333333333E-2</v>
      </c>
      <c r="E1269" s="130">
        <v>3.3333333333333333E-2</v>
      </c>
      <c r="F1269" s="130">
        <v>3.3333333333333333E-2</v>
      </c>
      <c r="G1269" s="130">
        <v>3.3333333333333333E-2</v>
      </c>
      <c r="H1269" s="130">
        <v>3.3333333333333333E-2</v>
      </c>
      <c r="I1269" s="130">
        <v>3.3333333333333333E-2</v>
      </c>
      <c r="J1269" s="130">
        <v>0</v>
      </c>
      <c r="K1269" s="130">
        <v>3.3333333333333333E-2</v>
      </c>
      <c r="L1269" s="130">
        <v>0</v>
      </c>
      <c r="M1269" s="130">
        <v>0</v>
      </c>
      <c r="N1269" s="130">
        <v>0</v>
      </c>
      <c r="O126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0" spans="1:15" ht="15" customHeight="1" x14ac:dyDescent="0.25">
      <c r="A1270" s="15">
        <v>32105064287</v>
      </c>
      <c r="B1270" s="16" t="str">
        <f>VLOOKUP(Projeção[[#This Row],[Código]],BD_Produto[#All],6,FALSE)</f>
        <v>Youts, Capa para Smartphone Galaxy SIII - CBR, Fuchic - EC</v>
      </c>
      <c r="C1270" s="130">
        <v>3.3333333333333333E-2</v>
      </c>
      <c r="D1270" s="130">
        <v>3.3333333333333333E-2</v>
      </c>
      <c r="E1270" s="130">
        <v>3.3333333333333333E-2</v>
      </c>
      <c r="F1270" s="130">
        <v>3.3333333333333333E-2</v>
      </c>
      <c r="G1270" s="130">
        <v>3.3333333333333333E-2</v>
      </c>
      <c r="H1270" s="130">
        <v>3.3333333333333333E-2</v>
      </c>
      <c r="I1270" s="130">
        <v>3.3333333333333333E-2</v>
      </c>
      <c r="J1270" s="130">
        <v>0</v>
      </c>
      <c r="K1270" s="130">
        <v>3.3333333333333333E-2</v>
      </c>
      <c r="L1270" s="130">
        <v>0</v>
      </c>
      <c r="M1270" s="130">
        <v>0</v>
      </c>
      <c r="N1270" s="130">
        <v>0</v>
      </c>
      <c r="O127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1" spans="1:15" ht="15" customHeight="1" x14ac:dyDescent="0.25">
      <c r="A1271" s="15">
        <v>32105064285</v>
      </c>
      <c r="B1271" s="16" t="str">
        <f>VLOOKUP(Projeção[[#This Row],[Código]],BD_Produto[#All],6,FALSE)</f>
        <v>Youts, Capa para Smartphone Galaxy SIII - CBR, Pé na areia - EC</v>
      </c>
      <c r="C1271" s="130">
        <v>0</v>
      </c>
      <c r="D1271" s="130">
        <v>0</v>
      </c>
      <c r="E1271" s="130">
        <v>0</v>
      </c>
      <c r="F1271" s="130">
        <v>0</v>
      </c>
      <c r="G1271" s="130">
        <v>0</v>
      </c>
      <c r="H1271" s="130">
        <v>0</v>
      </c>
      <c r="I1271" s="130">
        <v>0</v>
      </c>
      <c r="J1271" s="130">
        <v>0</v>
      </c>
      <c r="K1271" s="130">
        <v>0</v>
      </c>
      <c r="L1271" s="130">
        <v>0</v>
      </c>
      <c r="M1271" s="130">
        <v>0</v>
      </c>
      <c r="N1271" s="130">
        <v>0</v>
      </c>
      <c r="O127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2" spans="1:15" ht="15" customHeight="1" x14ac:dyDescent="0.25">
      <c r="A1272" s="15">
        <v>32105064286</v>
      </c>
      <c r="B1272" s="16" t="str">
        <f>VLOOKUP(Projeção[[#This Row],[Código]],BD_Produto[#All],6,FALSE)</f>
        <v>Youts, Capa para Smartphone Galaxy SIII - CBR, Pop Brasil - EC</v>
      </c>
      <c r="C1272" s="130">
        <v>0</v>
      </c>
      <c r="D1272" s="130">
        <v>0</v>
      </c>
      <c r="E1272" s="130">
        <v>0</v>
      </c>
      <c r="F1272" s="130">
        <v>0</v>
      </c>
      <c r="G1272" s="130">
        <v>0</v>
      </c>
      <c r="H1272" s="130">
        <v>0</v>
      </c>
      <c r="I1272" s="130">
        <v>0</v>
      </c>
      <c r="J1272" s="130">
        <v>0</v>
      </c>
      <c r="K1272" s="130">
        <v>0</v>
      </c>
      <c r="L1272" s="130">
        <v>0</v>
      </c>
      <c r="M1272" s="130">
        <v>0</v>
      </c>
      <c r="N1272" s="130">
        <v>0</v>
      </c>
      <c r="O127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3" spans="1:15" ht="15" customHeight="1" x14ac:dyDescent="0.25">
      <c r="A1273" s="15">
        <v>32105064281</v>
      </c>
      <c r="B1273" s="16" t="str">
        <f>VLOOKUP(Projeção[[#This Row],[Código]],BD_Produto[#All],6,FALSE)</f>
        <v>Youts, Capa para Smartphone Galaxy SIII - CBR, Rio Maravilha - EC</v>
      </c>
      <c r="C1273" s="130">
        <v>0</v>
      </c>
      <c r="D1273" s="130">
        <v>0</v>
      </c>
      <c r="E1273" s="130">
        <v>0</v>
      </c>
      <c r="F1273" s="130">
        <v>0</v>
      </c>
      <c r="G1273" s="130">
        <v>0</v>
      </c>
      <c r="H1273" s="130">
        <v>0</v>
      </c>
      <c r="I1273" s="130">
        <v>0</v>
      </c>
      <c r="J1273" s="130">
        <v>0</v>
      </c>
      <c r="K1273" s="130">
        <v>0</v>
      </c>
      <c r="L1273" s="130">
        <v>0</v>
      </c>
      <c r="M1273" s="130">
        <v>0</v>
      </c>
      <c r="N1273" s="130">
        <v>0</v>
      </c>
      <c r="O127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4" spans="1:15" ht="15" customHeight="1" x14ac:dyDescent="0.25">
      <c r="A1274" s="15">
        <v>32105064282</v>
      </c>
      <c r="B1274" s="16" t="str">
        <f>VLOOKUP(Projeção[[#This Row],[Código]],BD_Produto[#All],6,FALSE)</f>
        <v>Youts, Capa para Smartphone Galaxy SIII - CBR, Sampa - EC</v>
      </c>
      <c r="C1274" s="130">
        <v>0</v>
      </c>
      <c r="D1274" s="130">
        <v>0</v>
      </c>
      <c r="E1274" s="130">
        <v>0</v>
      </c>
      <c r="F1274" s="130">
        <v>0</v>
      </c>
      <c r="G1274" s="130">
        <v>0</v>
      </c>
      <c r="H1274" s="130">
        <v>0</v>
      </c>
      <c r="I1274" s="130">
        <v>0</v>
      </c>
      <c r="J1274" s="130">
        <v>0</v>
      </c>
      <c r="K1274" s="130">
        <v>0</v>
      </c>
      <c r="L1274" s="130">
        <v>0</v>
      </c>
      <c r="M1274" s="130">
        <v>0</v>
      </c>
      <c r="N1274" s="130">
        <v>0</v>
      </c>
      <c r="O127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5" spans="1:15" ht="15" customHeight="1" x14ac:dyDescent="0.25">
      <c r="A1275" s="15">
        <v>32105064275</v>
      </c>
      <c r="B1275" s="16" t="str">
        <f>VLOOKUP(Projeção[[#This Row],[Código]],BD_Produto[#All],6,FALSE)</f>
        <v>Youts, Capa para Smartphone iPhone 5/5S - CBR, Alô Comunidade - EC</v>
      </c>
      <c r="C1275" s="130">
        <v>0.13333333333333333</v>
      </c>
      <c r="D1275" s="130">
        <v>3.3333333333333333E-2</v>
      </c>
      <c r="E1275" s="130">
        <v>3.3333333333333333E-2</v>
      </c>
      <c r="F1275" s="130">
        <v>3.3333333333333333E-2</v>
      </c>
      <c r="G1275" s="130">
        <v>3.3333333333333333E-2</v>
      </c>
      <c r="H1275" s="130">
        <v>0</v>
      </c>
      <c r="I1275" s="130">
        <v>0</v>
      </c>
      <c r="J1275" s="130">
        <v>0</v>
      </c>
      <c r="K1275" s="130">
        <v>0</v>
      </c>
      <c r="L1275" s="130">
        <v>0</v>
      </c>
      <c r="M1275" s="130">
        <v>0</v>
      </c>
      <c r="N1275" s="130">
        <v>0</v>
      </c>
      <c r="O127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276" spans="1:15" ht="15" customHeight="1" x14ac:dyDescent="0.25">
      <c r="A1276" s="15">
        <v>32105064273</v>
      </c>
      <c r="B1276" s="17" t="str">
        <f>VLOOKUP(Projeção[[#This Row],[Código]],BD_Produto[#All],6,FALSE)</f>
        <v>Youts, Capa para Smartphone iPhone 5/5S - CBR, Arara Brasil - EC</v>
      </c>
      <c r="C1276" s="130">
        <v>3.3333333333333333E-2</v>
      </c>
      <c r="D1276" s="130">
        <v>0</v>
      </c>
      <c r="E1276" s="130">
        <v>0</v>
      </c>
      <c r="F1276" s="130">
        <v>0</v>
      </c>
      <c r="G1276" s="130">
        <v>0</v>
      </c>
      <c r="H1276" s="130">
        <v>0</v>
      </c>
      <c r="I1276" s="130">
        <v>0</v>
      </c>
      <c r="J1276" s="130">
        <v>0</v>
      </c>
      <c r="K1276" s="130">
        <v>0</v>
      </c>
      <c r="L1276" s="130">
        <v>0</v>
      </c>
      <c r="M1276" s="130">
        <v>0</v>
      </c>
      <c r="N1276" s="130">
        <v>0</v>
      </c>
      <c r="O127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77" spans="1:15" ht="15" customHeight="1" x14ac:dyDescent="0.25">
      <c r="A1277" s="15">
        <v>32105064302</v>
      </c>
      <c r="B1277" s="17" t="str">
        <f>VLOOKUP(Projeção[[#This Row],[Código]],BD_Produto[#All],6,FALSE)</f>
        <v>Youts, Capa para Smartphone iPhone 5/5S - CBR, Bonfim - EC</v>
      </c>
      <c r="C1277" s="130">
        <v>0.3</v>
      </c>
      <c r="D1277" s="130">
        <v>0.13333333333333333</v>
      </c>
      <c r="E1277" s="130">
        <v>9.9999999999999992E-2</v>
      </c>
      <c r="F1277" s="130">
        <v>9.9999999999999992E-2</v>
      </c>
      <c r="G1277" s="130">
        <v>9.9999999999999992E-2</v>
      </c>
      <c r="H1277" s="130">
        <v>6.6666666666666666E-2</v>
      </c>
      <c r="I1277" s="130">
        <v>6.6666666666666666E-2</v>
      </c>
      <c r="J1277" s="130">
        <v>6.6666666666666666E-2</v>
      </c>
      <c r="K1277" s="130">
        <v>6.6666666666666666E-2</v>
      </c>
      <c r="L1277" s="130">
        <v>3.3333333333333333E-2</v>
      </c>
      <c r="M1277" s="130">
        <v>3.3333333333333333E-2</v>
      </c>
      <c r="N1277" s="130">
        <v>0</v>
      </c>
      <c r="O127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0.26666666666666666</v>
      </c>
    </row>
    <row r="1278" spans="1:15" ht="15" customHeight="1" x14ac:dyDescent="0.25">
      <c r="A1278" s="15">
        <v>32105064301</v>
      </c>
      <c r="B1278" s="17" t="str">
        <f>VLOOKUP(Projeção[[#This Row],[Código]],BD_Produto[#All],6,FALSE)</f>
        <v>Youts, Capa para Smartphone iPhone 5/5S - CBR, Fuchic - EC</v>
      </c>
      <c r="C1278" s="130">
        <v>0.13333333333333333</v>
      </c>
      <c r="D1278" s="130">
        <v>6.6666666666666666E-2</v>
      </c>
      <c r="E1278" s="130">
        <v>3.3333333333333333E-2</v>
      </c>
      <c r="F1278" s="130">
        <v>3.3333333333333333E-2</v>
      </c>
      <c r="G1278" s="130">
        <v>3.3333333333333333E-2</v>
      </c>
      <c r="H1278" s="130">
        <v>0</v>
      </c>
      <c r="I1278" s="130">
        <v>0</v>
      </c>
      <c r="J1278" s="130">
        <v>0</v>
      </c>
      <c r="K1278" s="130">
        <v>0</v>
      </c>
      <c r="L1278" s="130">
        <v>0.16666666666666663</v>
      </c>
      <c r="M1278" s="130">
        <v>0.23333333333333334</v>
      </c>
      <c r="N1278" s="130">
        <v>9.9999999999999992E-2</v>
      </c>
      <c r="O127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279" spans="1:15" ht="15" customHeight="1" x14ac:dyDescent="0.25">
      <c r="A1279" s="15">
        <v>32105064274</v>
      </c>
      <c r="B1279" s="17" t="str">
        <f>VLOOKUP(Projeção[[#This Row],[Código]],BD_Produto[#All],6,FALSE)</f>
        <v>Youts, Capa para Smartphone iPhone 5/5S - CBR, Olé - EC</v>
      </c>
      <c r="C1279" s="130">
        <v>6.6666666666666666E-2</v>
      </c>
      <c r="D1279" s="130">
        <v>6.6666666666666666E-2</v>
      </c>
      <c r="E1279" s="130">
        <v>0</v>
      </c>
      <c r="F1279" s="130">
        <v>0</v>
      </c>
      <c r="G1279" s="130">
        <v>0</v>
      </c>
      <c r="H1279" s="130">
        <v>0</v>
      </c>
      <c r="I1279" s="130">
        <v>0</v>
      </c>
      <c r="J1279" s="130">
        <v>0</v>
      </c>
      <c r="K1279" s="130">
        <v>0</v>
      </c>
      <c r="L1279" s="130">
        <v>0</v>
      </c>
      <c r="M1279" s="130">
        <v>0</v>
      </c>
      <c r="N1279" s="130">
        <v>0</v>
      </c>
      <c r="O127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80" spans="1:15" ht="15" customHeight="1" x14ac:dyDescent="0.25">
      <c r="A1280" s="15">
        <v>32105064299</v>
      </c>
      <c r="B1280" s="17" t="str">
        <f>VLOOKUP(Projeção[[#This Row],[Código]],BD_Produto[#All],6,FALSE)</f>
        <v>Youts, Capa para Smartphone iPhone 5/5S - CBR, Pé na areia - EC</v>
      </c>
      <c r="C1280" s="130">
        <v>0.16666666666666666</v>
      </c>
      <c r="D1280" s="130">
        <v>6.6666666666666666E-2</v>
      </c>
      <c r="E1280" s="130">
        <v>3.3333333333333333E-2</v>
      </c>
      <c r="F1280" s="130">
        <v>3.3333333333333333E-2</v>
      </c>
      <c r="G1280" s="130">
        <v>3.3333333333333333E-2</v>
      </c>
      <c r="H1280" s="130">
        <v>3.3333333333333333E-2</v>
      </c>
      <c r="I1280" s="130">
        <v>3.3333333333333333E-2</v>
      </c>
      <c r="J1280" s="130">
        <v>3.3333333333333333E-2</v>
      </c>
      <c r="K1280" s="130">
        <v>3.3333333333333333E-2</v>
      </c>
      <c r="L1280" s="130">
        <v>0</v>
      </c>
      <c r="M1280" s="130">
        <v>0</v>
      </c>
      <c r="N1280" s="130">
        <v>0</v>
      </c>
      <c r="O128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81" spans="1:15" ht="15" customHeight="1" x14ac:dyDescent="0.25">
      <c r="A1281" s="15">
        <v>32105064300</v>
      </c>
      <c r="B1281" s="17" t="str">
        <f>VLOOKUP(Projeção[[#This Row],[Código]],BD_Produto[#All],6,FALSE)</f>
        <v>Youts, Capa para Smartphone iPhone 5/5S - CBR, Pop Brasil - EC</v>
      </c>
      <c r="C1281" s="130">
        <v>9.9999999999999992E-2</v>
      </c>
      <c r="D1281" s="130">
        <v>0</v>
      </c>
      <c r="E1281" s="130">
        <v>0</v>
      </c>
      <c r="F1281" s="130">
        <v>0</v>
      </c>
      <c r="G1281" s="130">
        <v>0</v>
      </c>
      <c r="H1281" s="130">
        <v>0</v>
      </c>
      <c r="I1281" s="130">
        <v>0</v>
      </c>
      <c r="J1281" s="130">
        <v>0</v>
      </c>
      <c r="K1281" s="130">
        <v>0</v>
      </c>
      <c r="L1281" s="130">
        <v>0</v>
      </c>
      <c r="M1281" s="130">
        <v>0</v>
      </c>
      <c r="N1281" s="130">
        <v>0</v>
      </c>
      <c r="O128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82" spans="1:15" ht="15" customHeight="1" x14ac:dyDescent="0.25">
      <c r="A1282" s="15">
        <v>32105064304</v>
      </c>
      <c r="B1282" s="17" t="str">
        <f>VLOOKUP(Projeção[[#This Row],[Código]],BD_Produto[#All],6,FALSE)</f>
        <v>Youts, Capa para Smartphone iPhone 5/5S - CBR, Pura Ginga - EC</v>
      </c>
      <c r="C1282" s="130">
        <v>3.3333333333333333E-2</v>
      </c>
      <c r="D1282" s="130">
        <v>0</v>
      </c>
      <c r="E1282" s="130">
        <v>0</v>
      </c>
      <c r="F1282" s="130">
        <v>0</v>
      </c>
      <c r="G1282" s="130">
        <v>0</v>
      </c>
      <c r="H1282" s="130">
        <v>0</v>
      </c>
      <c r="I1282" s="130">
        <v>0</v>
      </c>
      <c r="J1282" s="130">
        <v>0</v>
      </c>
      <c r="K1282" s="130">
        <v>0</v>
      </c>
      <c r="L1282" s="130">
        <v>0</v>
      </c>
      <c r="M1282" s="130">
        <v>0</v>
      </c>
      <c r="N1282" s="130">
        <v>0</v>
      </c>
      <c r="O128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1283" spans="1:15" ht="15" customHeight="1" x14ac:dyDescent="0.25">
      <c r="A1283" s="15">
        <v>32105064298</v>
      </c>
      <c r="B1283" s="17" t="str">
        <f>VLOOKUP(Projeção[[#This Row],[Código]],BD_Produto[#All],6,FALSE)</f>
        <v>Youts, Capa para Smartphone iPhone 5/5S - CBR, Redonda - EC</v>
      </c>
      <c r="C1283" s="130">
        <v>3.3333333333333333E-2</v>
      </c>
      <c r="D1283" s="130">
        <v>0</v>
      </c>
      <c r="E1283" s="130">
        <v>0</v>
      </c>
      <c r="F1283" s="130">
        <v>0</v>
      </c>
      <c r="G1283" s="130">
        <v>0</v>
      </c>
      <c r="H1283" s="130">
        <v>0</v>
      </c>
      <c r="I1283" s="130">
        <v>0</v>
      </c>
      <c r="J1283" s="130">
        <v>0</v>
      </c>
      <c r="K1283" s="130">
        <v>0</v>
      </c>
      <c r="L1283" s="130">
        <v>0</v>
      </c>
      <c r="M1283" s="130">
        <v>0</v>
      </c>
      <c r="N1283" s="130">
        <v>0</v>
      </c>
      <c r="O128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0.46666666666666667</v>
      </c>
    </row>
    <row r="1284" spans="1:15" ht="15" customHeight="1" x14ac:dyDescent="0.25">
      <c r="A1284" s="15">
        <v>32105064303</v>
      </c>
      <c r="B1284" s="17" t="str">
        <f>VLOOKUP(Projeção[[#This Row],[Código]],BD_Produto[#All],6,FALSE)</f>
        <v>Youts, Capa para Smartphone iPhone 5/5S - CBR, Renda-se - EC</v>
      </c>
      <c r="C1284" s="130">
        <v>9.9999999999999992E-2</v>
      </c>
      <c r="D1284" s="130">
        <v>6.6666666666666666E-2</v>
      </c>
      <c r="E1284" s="130">
        <v>3.3333333333333333E-2</v>
      </c>
      <c r="F1284" s="130">
        <v>3.3333333333333333E-2</v>
      </c>
      <c r="G1284" s="130">
        <v>3.3333333333333333E-2</v>
      </c>
      <c r="H1284" s="130">
        <v>3.3333333333333333E-2</v>
      </c>
      <c r="I1284" s="130">
        <v>3.3333333333333333E-2</v>
      </c>
      <c r="J1284" s="130">
        <v>3.3333333333333333E-2</v>
      </c>
      <c r="K1284" s="130">
        <v>3.3333333333333333E-2</v>
      </c>
      <c r="L1284" s="130">
        <v>0</v>
      </c>
      <c r="M1284" s="130">
        <v>0</v>
      </c>
      <c r="N1284" s="130">
        <v>0</v>
      </c>
      <c r="O128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285" spans="1:15" ht="15" customHeight="1" x14ac:dyDescent="0.25">
      <c r="A1285" s="15">
        <v>32105064276</v>
      </c>
      <c r="B1285" s="17" t="str">
        <f>VLOOKUP(Projeção[[#This Row],[Código]],BD_Produto[#All],6,FALSE)</f>
        <v>Youts, Capa para Smartphone iPhone 5/5S - CBR, Rio Marvilha - EC</v>
      </c>
      <c r="C1285" s="130">
        <v>0.23333333333333334</v>
      </c>
      <c r="D1285" s="130">
        <v>0.19999999999999998</v>
      </c>
      <c r="E1285" s="130">
        <v>9.9999999999999992E-2</v>
      </c>
      <c r="F1285" s="130">
        <v>6.6666666666666666E-2</v>
      </c>
      <c r="G1285" s="130">
        <v>6.6666666666666666E-2</v>
      </c>
      <c r="H1285" s="130">
        <v>3.3333333333333333E-2</v>
      </c>
      <c r="I1285" s="130">
        <v>3.3333333333333333E-2</v>
      </c>
      <c r="J1285" s="130">
        <v>0</v>
      </c>
      <c r="K1285" s="130">
        <v>3.3333333333333333E-2</v>
      </c>
      <c r="L1285" s="130">
        <v>0</v>
      </c>
      <c r="M1285" s="130">
        <v>0</v>
      </c>
      <c r="N1285" s="130">
        <v>0</v>
      </c>
      <c r="O128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1286" spans="1:15" ht="15" customHeight="1" x14ac:dyDescent="0.25">
      <c r="A1286" s="15">
        <v>32105064277</v>
      </c>
      <c r="B1286" s="17" t="str">
        <f>VLOOKUP(Projeção[[#This Row],[Código]],BD_Produto[#All],6,FALSE)</f>
        <v>Youts, Capa para Smartphone iPhone 5/5S - CBR, Sampa- EC</v>
      </c>
      <c r="C1286" s="130">
        <v>0.16666666666666666</v>
      </c>
      <c r="D1286" s="130">
        <v>0.13333333333333333</v>
      </c>
      <c r="E1286" s="130">
        <v>6.6666666666666666E-2</v>
      </c>
      <c r="F1286" s="130">
        <v>6.6666666666666666E-2</v>
      </c>
      <c r="G1286" s="130">
        <v>3.3333333333333333E-2</v>
      </c>
      <c r="H1286" s="130">
        <v>3.3333333333333333E-2</v>
      </c>
      <c r="I1286" s="130">
        <v>3.3333333333333333E-2</v>
      </c>
      <c r="J1286" s="130">
        <v>3.3333333333333333E-2</v>
      </c>
      <c r="K1286" s="130">
        <v>3.3333333333333333E-2</v>
      </c>
      <c r="L1286" s="130">
        <v>0</v>
      </c>
      <c r="M1286" s="130">
        <v>0</v>
      </c>
      <c r="N1286" s="130">
        <v>0</v>
      </c>
      <c r="O128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287" spans="1:15" ht="15" customHeight="1" x14ac:dyDescent="0.25">
      <c r="A1287" s="15">
        <v>32105064170</v>
      </c>
      <c r="B1287" s="17" t="str">
        <f>VLOOKUP(Projeção[[#This Row],[Código]],BD_Produto[#All],6,FALSE)</f>
        <v>Youts, Capa para Smartphone iPhone 5/5S - FT Azulejo Imperial - EC</v>
      </c>
      <c r="C1287" s="130">
        <v>0.13333333333333333</v>
      </c>
      <c r="D1287" s="130">
        <v>0.13333333333333333</v>
      </c>
      <c r="E1287" s="130">
        <v>3.3333333333333333E-2</v>
      </c>
      <c r="F1287" s="130">
        <v>3.3333333333333333E-2</v>
      </c>
      <c r="G1287" s="130">
        <v>3.3333333333333333E-2</v>
      </c>
      <c r="H1287" s="130">
        <v>3.3333333333333333E-2</v>
      </c>
      <c r="I1287" s="130">
        <v>3.3333333333333333E-2</v>
      </c>
      <c r="J1287" s="130">
        <v>0</v>
      </c>
      <c r="K1287" s="130">
        <v>3.3333333333333333E-2</v>
      </c>
      <c r="L1287" s="130">
        <v>0</v>
      </c>
      <c r="M1287" s="130">
        <v>0</v>
      </c>
      <c r="N1287" s="130">
        <v>0</v>
      </c>
      <c r="O128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1288" spans="1:15" ht="15" customHeight="1" x14ac:dyDescent="0.25">
      <c r="A1288" s="15">
        <v>32105064169</v>
      </c>
      <c r="B1288" s="17" t="str">
        <f>VLOOKUP(Projeção[[#This Row],[Código]],BD_Produto[#All],6,FALSE)</f>
        <v>Youts, Capa para Smartphone iPhone 5/5S - FT Cathedrali - EC</v>
      </c>
      <c r="C1288" s="130">
        <v>0</v>
      </c>
      <c r="D1288" s="130">
        <v>0</v>
      </c>
      <c r="E1288" s="130">
        <v>0</v>
      </c>
      <c r="F1288" s="130">
        <v>0</v>
      </c>
      <c r="G1288" s="130">
        <v>0</v>
      </c>
      <c r="H1288" s="130">
        <v>0</v>
      </c>
      <c r="I1288" s="130">
        <v>0</v>
      </c>
      <c r="J1288" s="130">
        <v>0</v>
      </c>
      <c r="K1288" s="130">
        <v>0</v>
      </c>
      <c r="L1288" s="130">
        <v>0</v>
      </c>
      <c r="M1288" s="130">
        <v>0</v>
      </c>
      <c r="N1288" s="130">
        <v>0</v>
      </c>
      <c r="O128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89" spans="1:15" ht="12.75" customHeight="1" x14ac:dyDescent="0.25">
      <c r="A1289" s="15">
        <v>32105064140</v>
      </c>
      <c r="B1289" s="17" t="str">
        <f>VLOOKUP(Projeção[[#This Row],[Código]],BD_Produto[#All],6,FALSE)</f>
        <v>Youts, Capa para Smartphone iPhone 5/5S - FT Cobra Corada - EC</v>
      </c>
      <c r="C1289" s="130">
        <v>6.6666666666666666E-2</v>
      </c>
      <c r="D1289" s="130">
        <v>6.6666666666666666E-2</v>
      </c>
      <c r="E1289" s="130">
        <v>0</v>
      </c>
      <c r="F1289" s="130">
        <v>0</v>
      </c>
      <c r="G1289" s="130">
        <v>0</v>
      </c>
      <c r="H1289" s="130">
        <v>0</v>
      </c>
      <c r="I1289" s="130">
        <v>0</v>
      </c>
      <c r="J1289" s="130">
        <v>0</v>
      </c>
      <c r="K1289" s="130">
        <v>0</v>
      </c>
      <c r="L1289" s="130">
        <v>0</v>
      </c>
      <c r="M1289" s="130">
        <v>0</v>
      </c>
      <c r="N1289" s="130">
        <v>0</v>
      </c>
      <c r="O128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0" spans="1:15" ht="15" customHeight="1" x14ac:dyDescent="0.25">
      <c r="A1290" s="15">
        <v>32105064142</v>
      </c>
      <c r="B1290" s="17" t="str">
        <f>VLOOKUP(Projeção[[#This Row],[Código]],BD_Produto[#All],6,FALSE)</f>
        <v>Youts, Capa para Smartphone iPhone 5/5S - FT Mandala Paraíso - EC</v>
      </c>
      <c r="C1290" s="130">
        <v>0.46666666666666667</v>
      </c>
      <c r="D1290" s="130">
        <v>0.33333333333333331</v>
      </c>
      <c r="E1290" s="130">
        <v>0.13333333333333333</v>
      </c>
      <c r="F1290" s="130">
        <v>0.13333333333333333</v>
      </c>
      <c r="G1290" s="130">
        <v>0.13333333333333333</v>
      </c>
      <c r="H1290" s="130">
        <v>0.13333333333333333</v>
      </c>
      <c r="I1290" s="130">
        <v>0.13333333333333333</v>
      </c>
      <c r="J1290" s="130">
        <v>0.13333333333333333</v>
      </c>
      <c r="K1290" s="130">
        <v>0.13333333333333333</v>
      </c>
      <c r="L1290" s="130">
        <v>9.9999999999999992E-2</v>
      </c>
      <c r="M1290" s="130">
        <v>3.3333333333333333E-2</v>
      </c>
      <c r="N1290" s="130">
        <v>0</v>
      </c>
      <c r="O129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0.23333333333333334</v>
      </c>
    </row>
    <row r="1291" spans="1:15" ht="15" customHeight="1" x14ac:dyDescent="0.25">
      <c r="A1291" s="15">
        <v>32105064143</v>
      </c>
      <c r="B1291" s="16" t="str">
        <f>VLOOKUP(Projeção[[#This Row],[Código]],BD_Produto[#All],6,FALSE)</f>
        <v>Youts, Capa para Smartphone iPhone 5/5S - FT Margaretas- EC</v>
      </c>
      <c r="C1291" s="130">
        <v>3.3333333333333333E-2</v>
      </c>
      <c r="D1291" s="130">
        <v>3.3333333333333333E-2</v>
      </c>
      <c r="E1291" s="130">
        <v>0</v>
      </c>
      <c r="F1291" s="130">
        <v>0</v>
      </c>
      <c r="G1291" s="130">
        <v>0</v>
      </c>
      <c r="H1291" s="130">
        <v>0</v>
      </c>
      <c r="I1291" s="130">
        <v>0</v>
      </c>
      <c r="J1291" s="130">
        <v>0</v>
      </c>
      <c r="K1291" s="130">
        <v>0</v>
      </c>
      <c r="L1291" s="130">
        <v>0</v>
      </c>
      <c r="M1291" s="130">
        <v>0</v>
      </c>
      <c r="N1291" s="130">
        <v>0</v>
      </c>
      <c r="O129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2" spans="1:15" ht="15" customHeight="1" x14ac:dyDescent="0.25">
      <c r="A1292" s="15">
        <v>32105064138</v>
      </c>
      <c r="B1292" s="16" t="str">
        <f>VLOOKUP(Projeção[[#This Row],[Código]],BD_Produto[#All],6,FALSE)</f>
        <v>Youts, Capa para Smartphone iPhone 5/5S - FT Onça Braba - EC</v>
      </c>
      <c r="C1292" s="130">
        <v>0.13333333333333333</v>
      </c>
      <c r="D1292" s="130">
        <v>9.9999999999999992E-2</v>
      </c>
      <c r="E1292" s="130">
        <v>0</v>
      </c>
      <c r="F1292" s="130">
        <v>0</v>
      </c>
      <c r="G1292" s="130">
        <v>0</v>
      </c>
      <c r="H1292" s="130">
        <v>0</v>
      </c>
      <c r="I1292" s="130">
        <v>0</v>
      </c>
      <c r="J1292" s="130">
        <v>0</v>
      </c>
      <c r="K1292" s="130">
        <v>0</v>
      </c>
      <c r="L1292" s="130">
        <v>0</v>
      </c>
      <c r="M1292" s="130">
        <v>0</v>
      </c>
      <c r="N1292" s="130">
        <v>0</v>
      </c>
      <c r="O129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3" spans="1:15" ht="15" customHeight="1" x14ac:dyDescent="0.25">
      <c r="A1293" s="15">
        <v>32105064171</v>
      </c>
      <c r="B1293" s="16" t="str">
        <f>VLOOKUP(Projeção[[#This Row],[Código]],BD_Produto[#All],6,FALSE)</f>
        <v>Youts, Capa para Smartphone iPhone 5/5S - FT Safari - EC</v>
      </c>
      <c r="C1293" s="130">
        <v>0</v>
      </c>
      <c r="D1293" s="130">
        <v>0</v>
      </c>
      <c r="E1293" s="130">
        <v>0</v>
      </c>
      <c r="F1293" s="130">
        <v>0</v>
      </c>
      <c r="G1293" s="130">
        <v>0</v>
      </c>
      <c r="H1293" s="130">
        <v>0</v>
      </c>
      <c r="I1293" s="130">
        <v>0</v>
      </c>
      <c r="J1293" s="130">
        <v>0</v>
      </c>
      <c r="K1293" s="130">
        <v>0</v>
      </c>
      <c r="L1293" s="130">
        <v>0</v>
      </c>
      <c r="M1293" s="130">
        <v>0</v>
      </c>
      <c r="N1293" s="130">
        <v>0</v>
      </c>
      <c r="O129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4" spans="1:15" ht="15" customHeight="1" x14ac:dyDescent="0.25">
      <c r="A1294" s="15">
        <v>32105064139</v>
      </c>
      <c r="B1294" s="128" t="str">
        <f>VLOOKUP(Projeção[[#This Row],[Código]],BD_Produto[#All],6,FALSE)</f>
        <v>Youts, Capa para Smartphone iPhone 5/5S - FT Zebrita - EC</v>
      </c>
      <c r="C1294" s="130">
        <v>6.6666666666666666E-2</v>
      </c>
      <c r="D1294" s="130">
        <v>3.3333333333333333E-2</v>
      </c>
      <c r="E1294" s="130">
        <v>0</v>
      </c>
      <c r="F1294" s="130">
        <v>0</v>
      </c>
      <c r="G1294" s="130">
        <v>0</v>
      </c>
      <c r="H1294" s="130">
        <v>0</v>
      </c>
      <c r="I1294" s="130">
        <v>0</v>
      </c>
      <c r="J1294" s="130">
        <v>0</v>
      </c>
      <c r="K1294" s="130">
        <v>0</v>
      </c>
      <c r="L1294" s="130">
        <v>0</v>
      </c>
      <c r="M1294" s="130">
        <v>0</v>
      </c>
      <c r="N1294" s="130">
        <v>0</v>
      </c>
      <c r="O129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5" spans="1:15" ht="15" customHeight="1" x14ac:dyDescent="0.25">
      <c r="A1295" s="15">
        <v>33105063990</v>
      </c>
      <c r="B1295" s="128" t="str">
        <f>VLOOKUP(Projeção[[#This Row],[Código]],BD_Produto[#All],6,FALSE)</f>
        <v>Youts, Case de PC Para Galaxy S4 - Armour Street Art Collection AJ Gato - PN:CL-YT-AJ-05-1</v>
      </c>
      <c r="C1295" s="130">
        <v>0.5</v>
      </c>
      <c r="D1295" s="130">
        <v>0.46666666666666667</v>
      </c>
      <c r="E1295" s="130">
        <v>0.43333333333333329</v>
      </c>
      <c r="F1295" s="130">
        <v>1</v>
      </c>
      <c r="G1295" s="130">
        <v>0.56666666666666654</v>
      </c>
      <c r="H1295" s="130">
        <v>0.23333333333333328</v>
      </c>
      <c r="I1295" s="130">
        <v>0.23333333333333328</v>
      </c>
      <c r="J1295" s="130">
        <v>0.26666666666666666</v>
      </c>
      <c r="K1295" s="130">
        <v>0.23333333333333328</v>
      </c>
      <c r="L1295" s="130">
        <v>0.19999999999999998</v>
      </c>
      <c r="M1295" s="130">
        <v>0.13333333333333333</v>
      </c>
      <c r="N1295" s="130">
        <v>0.13333333333333333</v>
      </c>
      <c r="O129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9.9999999999999992E-2</v>
      </c>
    </row>
    <row r="1296" spans="1:15" ht="12.75" customHeight="1" x14ac:dyDescent="0.25">
      <c r="A1296" s="15">
        <v>33105063991</v>
      </c>
      <c r="B1296" s="128" t="str">
        <f>VLOOKUP(Projeção[[#This Row],[Código]],BD_Produto[#All],6,FALSE)</f>
        <v>Youts, Case de PC Para Galaxy S4 - Armour Street Art Collection GP Futebol - PN:CL-YT-GP-05-1</v>
      </c>
      <c r="C1296" s="130">
        <v>6.6666666666666666E-2</v>
      </c>
      <c r="D1296" s="130">
        <v>3.3333333333333333E-2</v>
      </c>
      <c r="E1296" s="130">
        <v>0</v>
      </c>
      <c r="F1296" s="130">
        <v>0</v>
      </c>
      <c r="G1296" s="130">
        <v>0</v>
      </c>
      <c r="H1296" s="130">
        <v>0</v>
      </c>
      <c r="I1296" s="130">
        <v>0</v>
      </c>
      <c r="J1296" s="130">
        <v>0</v>
      </c>
      <c r="K1296" s="130">
        <v>0</v>
      </c>
      <c r="L1296" s="130">
        <v>0</v>
      </c>
      <c r="M1296" s="130">
        <v>0</v>
      </c>
      <c r="N1296" s="130">
        <v>0</v>
      </c>
      <c r="O129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7" spans="1:15" ht="12.75" customHeight="1" x14ac:dyDescent="0.25">
      <c r="A1297" s="15">
        <v>33105063944</v>
      </c>
      <c r="B1297" s="128" t="str">
        <f>VLOOKUP(Projeção[[#This Row],[Código]],BD_Produto[#All],6,FALSE)</f>
        <v>Youts, Case de PC Para Galaxy SIII - Armour Street Art Collection AJ Mulher - PN:CL-YT-AJ-04-1</v>
      </c>
      <c r="C1297" s="130">
        <v>0.3</v>
      </c>
      <c r="D1297" s="130">
        <v>0.3</v>
      </c>
      <c r="E1297" s="130">
        <v>0.3</v>
      </c>
      <c r="F1297" s="130">
        <v>0.3</v>
      </c>
      <c r="G1297" s="130">
        <v>0.3</v>
      </c>
      <c r="H1297" s="130">
        <v>0</v>
      </c>
      <c r="I1297" s="130">
        <v>0</v>
      </c>
      <c r="J1297" s="130">
        <v>0</v>
      </c>
      <c r="K1297" s="130">
        <v>0</v>
      </c>
      <c r="L1297" s="130">
        <v>0</v>
      </c>
      <c r="M1297" s="130">
        <v>0</v>
      </c>
      <c r="N1297" s="130">
        <v>0</v>
      </c>
      <c r="O129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298" spans="1:15" ht="12.75" customHeight="1" x14ac:dyDescent="0.25">
      <c r="A1298" s="15">
        <v>33105063943</v>
      </c>
      <c r="B1298" s="128" t="str">
        <f>VLOOKUP(Projeção[[#This Row],[Código]],BD_Produto[#All],6,FALSE)</f>
        <v>Youts, Case de PC Para Galaxy SIII - Armour Street Art Collection GP Skate - PN:CL-YT-GP-04-1</v>
      </c>
      <c r="C1298" s="130">
        <v>0.19999999999999998</v>
      </c>
      <c r="D1298" s="130">
        <v>0.19999999999999998</v>
      </c>
      <c r="E1298" s="130">
        <v>6.6666666666666666E-2</v>
      </c>
      <c r="F1298" s="130">
        <v>6.6666666666666666E-2</v>
      </c>
      <c r="G1298" s="130">
        <v>6.6666666666666666E-2</v>
      </c>
      <c r="H1298" s="130">
        <v>6.6666666666666666E-2</v>
      </c>
      <c r="I1298" s="130">
        <v>6.6666666666666666E-2</v>
      </c>
      <c r="J1298" s="130">
        <v>6.6666666666666666E-2</v>
      </c>
      <c r="K1298" s="130">
        <v>6.6666666666666666E-2</v>
      </c>
      <c r="L1298" s="130">
        <v>3.3333333333333333E-2</v>
      </c>
      <c r="M1298" s="130">
        <v>3.3333333333333333E-2</v>
      </c>
      <c r="N1298" s="130">
        <v>3.3333333333333333E-2</v>
      </c>
      <c r="O1298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299" spans="1:15" ht="12.75" customHeight="1" x14ac:dyDescent="0.25">
      <c r="A1299" s="15">
        <v>33105063941</v>
      </c>
      <c r="B1299" s="128" t="str">
        <f>VLOOKUP(Projeção[[#This Row],[Código]],BD_Produto[#All],6,FALSE)</f>
        <v>Youts, Case de PC Para iPhone 4S - Armour Street Art Collection AJ Arvore - PN:CL-YT-AJ-01-1</v>
      </c>
      <c r="C1299" s="130">
        <v>0.56666666666666665</v>
      </c>
      <c r="D1299" s="130">
        <v>0.46666666666666667</v>
      </c>
      <c r="E1299" s="130">
        <v>6.6666666666666666E-2</v>
      </c>
      <c r="F1299" s="130">
        <v>6.6666666666666666E-2</v>
      </c>
      <c r="G1299" s="130">
        <v>6.6666666666666666E-2</v>
      </c>
      <c r="H1299" s="130">
        <v>6.6666666666666666E-2</v>
      </c>
      <c r="I1299" s="130">
        <v>6.6666666666666666E-2</v>
      </c>
      <c r="J1299" s="130">
        <v>0</v>
      </c>
      <c r="K1299" s="130">
        <v>6.6666666666666666E-2</v>
      </c>
      <c r="L1299" s="130">
        <v>0</v>
      </c>
      <c r="M1299" s="130">
        <v>0</v>
      </c>
      <c r="N1299" s="130">
        <v>0</v>
      </c>
      <c r="O1299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0.13333333333333333</v>
      </c>
    </row>
    <row r="1300" spans="1:15" ht="12.75" customHeight="1" x14ac:dyDescent="0.25">
      <c r="A1300" s="15">
        <v>33105063948</v>
      </c>
      <c r="B1300" s="16" t="str">
        <f>VLOOKUP(Projeção[[#This Row],[Código]],BD_Produto[#All],6,FALSE)</f>
        <v>Youts, Case de PC Para iPhone 4S - Armour Street Art Collection AJ Caveira - PN:CL-YT-AJ-02-1</v>
      </c>
      <c r="C1300" s="130">
        <v>0.13333333333333333</v>
      </c>
      <c r="D1300" s="130">
        <v>6.6666666666666666E-2</v>
      </c>
      <c r="E1300" s="130">
        <v>0</v>
      </c>
      <c r="F1300" s="130">
        <v>0</v>
      </c>
      <c r="G1300" s="130">
        <v>0</v>
      </c>
      <c r="H1300" s="130">
        <v>0</v>
      </c>
      <c r="I1300" s="130">
        <v>0</v>
      </c>
      <c r="J1300" s="130">
        <v>0</v>
      </c>
      <c r="K1300" s="130">
        <v>0</v>
      </c>
      <c r="L1300" s="130">
        <v>0</v>
      </c>
      <c r="M1300" s="130">
        <v>0</v>
      </c>
      <c r="N1300" s="130">
        <v>0</v>
      </c>
      <c r="O1300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01" spans="1:15" ht="12.75" customHeight="1" x14ac:dyDescent="0.25">
      <c r="A1301" s="15">
        <v>33105063947</v>
      </c>
      <c r="B1301" s="16" t="str">
        <f>VLOOKUP(Projeção[[#This Row],[Código]],BD_Produto[#All],6,FALSE)</f>
        <v>Youts, Case de PC Para iPhone 4S - Armour Street Art Collection GP Hip Hop - PN:CL-YT-GP-02-1</v>
      </c>
      <c r="C1301" s="130">
        <v>0.33333333333333326</v>
      </c>
      <c r="D1301" s="130">
        <v>0.13333333333333333</v>
      </c>
      <c r="E1301" s="130">
        <v>6.6666666666666666E-2</v>
      </c>
      <c r="F1301" s="130">
        <v>6.6666666666666666E-2</v>
      </c>
      <c r="G1301" s="130">
        <v>6.6666666666666666E-2</v>
      </c>
      <c r="H1301" s="130">
        <v>3.3333333333333333E-2</v>
      </c>
      <c r="I1301" s="130">
        <v>0</v>
      </c>
      <c r="J1301" s="130">
        <v>3.3333333333333333E-2</v>
      </c>
      <c r="K1301" s="130">
        <v>3.3333333333333333E-2</v>
      </c>
      <c r="L1301" s="130">
        <v>3.3333333333333333E-2</v>
      </c>
      <c r="M1301" s="130">
        <v>3.3333333333333333E-2</v>
      </c>
      <c r="N1301" s="130">
        <v>0</v>
      </c>
      <c r="O1301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02" spans="1:15" ht="12.75" customHeight="1" x14ac:dyDescent="0.25">
      <c r="A1302" s="15">
        <v>33105063946</v>
      </c>
      <c r="B1302" s="16" t="str">
        <f>VLOOKUP(Projeção[[#This Row],[Código]],BD_Produto[#All],6,FALSE)</f>
        <v>Youts, Case de PC Para iPhone 4S - Armour Street Art Collection GP Surf - PN:CL-YT-GP-01-1</v>
      </c>
      <c r="C1302" s="130">
        <v>0.3</v>
      </c>
      <c r="D1302" s="130">
        <v>0.13333333333333333</v>
      </c>
      <c r="E1302" s="130">
        <v>3.3333333333333333E-2</v>
      </c>
      <c r="F1302" s="130">
        <v>3.3333333333333333E-2</v>
      </c>
      <c r="G1302" s="130">
        <v>3.3333333333333333E-2</v>
      </c>
      <c r="H1302" s="130">
        <v>3.3333333333333333E-2</v>
      </c>
      <c r="I1302" s="130">
        <v>3.3333333333333333E-2</v>
      </c>
      <c r="J1302" s="130">
        <v>3.3333333333333333E-2</v>
      </c>
      <c r="K1302" s="130">
        <v>3.3333333333333333E-2</v>
      </c>
      <c r="L1302" s="130">
        <v>3.3333333333333333E-2</v>
      </c>
      <c r="M1302" s="130">
        <v>3.3333333333333333E-2</v>
      </c>
      <c r="N1302" s="130">
        <v>0</v>
      </c>
      <c r="O1302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03" spans="1:15" ht="12.75" customHeight="1" x14ac:dyDescent="0.25">
      <c r="A1303" s="15">
        <v>33105063942</v>
      </c>
      <c r="B1303" s="16" t="str">
        <f>VLOOKUP(Projeção[[#This Row],[Código]],BD_Produto[#All],6,FALSE)</f>
        <v>Youts, Case de PC Para iPhone 5 - Armour Street Art Collection AJ Gato - PN:CL-YT-AJ-03-1</v>
      </c>
      <c r="C1303" s="130">
        <v>3.3333333333333333E-2</v>
      </c>
      <c r="D1303" s="130">
        <v>3.3333333333333333E-2</v>
      </c>
      <c r="E1303" s="130">
        <v>0</v>
      </c>
      <c r="F1303" s="130">
        <v>0</v>
      </c>
      <c r="G1303" s="130">
        <v>0</v>
      </c>
      <c r="H1303" s="130">
        <v>0</v>
      </c>
      <c r="I1303" s="130">
        <v>0</v>
      </c>
      <c r="J1303" s="130">
        <v>0</v>
      </c>
      <c r="K1303" s="130">
        <v>0</v>
      </c>
      <c r="L1303" s="130">
        <v>0</v>
      </c>
      <c r="M1303" s="130">
        <v>0</v>
      </c>
      <c r="N1303" s="130">
        <v>0.23333333333333334</v>
      </c>
      <c r="O1303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6.6666666666666666E-2</v>
      </c>
    </row>
    <row r="1304" spans="1:15" ht="12.75" customHeight="1" x14ac:dyDescent="0.25">
      <c r="A1304" s="15">
        <v>33105063945</v>
      </c>
      <c r="B1304" s="16" t="str">
        <f>VLOOKUP(Projeção[[#This Row],[Código]],BD_Produto[#All],6,FALSE)</f>
        <v>Youts, Case de PC Para iPhone 5 - Armour Street Art Collection GP Futebol - PN:CL-YT-GP-03-1</v>
      </c>
      <c r="C1304" s="130">
        <v>3.3333333333333333E-2</v>
      </c>
      <c r="D1304" s="130">
        <v>3.3333333333333333E-2</v>
      </c>
      <c r="E1304" s="130">
        <v>3.3333333333333333E-2</v>
      </c>
      <c r="F1304" s="130">
        <v>3.3333333333333333E-2</v>
      </c>
      <c r="G1304" s="130">
        <v>0</v>
      </c>
      <c r="H1304" s="130">
        <v>0</v>
      </c>
      <c r="I1304" s="130">
        <v>0</v>
      </c>
      <c r="J1304" s="130">
        <v>0</v>
      </c>
      <c r="K1304" s="130">
        <v>0</v>
      </c>
      <c r="L1304" s="130">
        <v>0</v>
      </c>
      <c r="M1304" s="130">
        <v>0</v>
      </c>
      <c r="N1304" s="130">
        <v>0</v>
      </c>
      <c r="O1304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05" spans="1:15" ht="12.75" customHeight="1" x14ac:dyDescent="0.25">
      <c r="A1305" s="15">
        <v>33102164227</v>
      </c>
      <c r="B1305" s="16" t="str">
        <f>VLOOKUP(Projeção[[#This Row],[Código]],BD_Produto[#All],6,FALSE)</f>
        <v>Youts, HeadPhone Azul / Verde, Y874-IML</v>
      </c>
      <c r="C1305" s="130">
        <v>0</v>
      </c>
      <c r="D1305" s="130">
        <v>0</v>
      </c>
      <c r="E1305" s="130">
        <v>0</v>
      </c>
      <c r="F1305" s="130">
        <v>0</v>
      </c>
      <c r="G1305" s="130">
        <v>0</v>
      </c>
      <c r="H1305" s="130">
        <v>0</v>
      </c>
      <c r="I1305" s="130">
        <v>0</v>
      </c>
      <c r="J1305" s="130">
        <v>0</v>
      </c>
      <c r="K1305" s="130">
        <v>0</v>
      </c>
      <c r="L1305" s="130">
        <v>0</v>
      </c>
      <c r="M1305" s="130">
        <v>0</v>
      </c>
      <c r="N1305" s="130">
        <v>0</v>
      </c>
      <c r="O1305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06" spans="1:15" ht="12.75" customHeight="1" x14ac:dyDescent="0.25">
      <c r="A1306" s="15">
        <v>33102164050</v>
      </c>
      <c r="B1306" s="16" t="str">
        <f>VLOOKUP(Projeção[[#This Row],[Código]],BD_Produto[#All],6,FALSE)</f>
        <v>Youts, HeadPhone Branco / Azul, YHD520</v>
      </c>
      <c r="C1306" s="130">
        <v>8.3666666666666654</v>
      </c>
      <c r="D1306" s="130">
        <v>31.233333333333327</v>
      </c>
      <c r="E1306" s="130">
        <v>8.966666666666665</v>
      </c>
      <c r="F1306" s="130">
        <v>8.8333333333333339</v>
      </c>
      <c r="G1306" s="130">
        <v>2.9666666666666668</v>
      </c>
      <c r="H1306" s="130">
        <v>3.5999999999999996</v>
      </c>
      <c r="I1306" s="130">
        <v>3.5999999999999996</v>
      </c>
      <c r="J1306" s="130">
        <v>3.7</v>
      </c>
      <c r="K1306" s="130">
        <v>3.5999999999999996</v>
      </c>
      <c r="L1306" s="130">
        <v>25.9</v>
      </c>
      <c r="M1306" s="130">
        <v>35.9</v>
      </c>
      <c r="N1306" s="130">
        <v>44.466666666666661</v>
      </c>
      <c r="O1306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17.766666666666666</v>
      </c>
    </row>
    <row r="1307" spans="1:15" ht="12.75" customHeight="1" x14ac:dyDescent="0.25">
      <c r="A1307" s="15">
        <v>33105263888</v>
      </c>
      <c r="B1307" s="17" t="str">
        <f>VLOOKUP(Projeção[[#This Row],[Código]],BD_Produto[#All],6,FALSE)</f>
        <v>Youts, iPower 2200mah, Carregador Portátil com lanterna</v>
      </c>
      <c r="C1307" s="130">
        <v>11.5</v>
      </c>
      <c r="D1307" s="130">
        <v>8.1</v>
      </c>
      <c r="E1307" s="130">
        <v>4.3</v>
      </c>
      <c r="F1307" s="130">
        <v>4.5</v>
      </c>
      <c r="G1307" s="130">
        <v>5.1333333333333329</v>
      </c>
      <c r="H1307" s="130">
        <v>1.7666666666666664</v>
      </c>
      <c r="I1307" s="130">
        <v>1.7666666666666664</v>
      </c>
      <c r="J1307" s="130">
        <v>1.5999999999999999</v>
      </c>
      <c r="K1307" s="130">
        <v>1.7666666666666664</v>
      </c>
      <c r="L1307" s="130">
        <v>0.56666666666666665</v>
      </c>
      <c r="M1307" s="130">
        <v>1.2666666666666666</v>
      </c>
      <c r="N1307" s="130">
        <v>1.9333333333333331</v>
      </c>
      <c r="O1307" s="131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8.8333333333333339</v>
      </c>
    </row>
    <row r="1308" spans="1:15" ht="12.75" x14ac:dyDescent="0.2">
      <c r="A1308" s="15">
        <v>33070665319</v>
      </c>
      <c r="B1308" s="146" t="str">
        <f>VLOOKUP(Projeção[[#This Row],[Código]],BD_Produto[#All],6,FALSE)</f>
        <v>OLFA, ESPÁTULA GSR-1/3B</v>
      </c>
      <c r="C1308" s="147">
        <v>0</v>
      </c>
      <c r="D1308" s="147">
        <v>0</v>
      </c>
      <c r="E1308" s="147">
        <v>0</v>
      </c>
      <c r="F1308" s="147">
        <v>0</v>
      </c>
      <c r="G1308" s="147">
        <v>0</v>
      </c>
      <c r="H1308" s="147">
        <v>0</v>
      </c>
      <c r="I1308" s="147">
        <v>0</v>
      </c>
      <c r="J1308" s="147">
        <v>0</v>
      </c>
      <c r="K1308" s="147">
        <v>0</v>
      </c>
      <c r="L1308" s="147">
        <v>0</v>
      </c>
      <c r="M1308" s="147">
        <v>0</v>
      </c>
      <c r="N1308" s="147">
        <v>0</v>
      </c>
      <c r="O1308" s="147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1.6333333333333331</v>
      </c>
    </row>
    <row r="1309" spans="1:15" ht="12.75" x14ac:dyDescent="0.2">
      <c r="A1309" s="148">
        <v>33070665320</v>
      </c>
      <c r="B1309" s="149" t="str">
        <f>VLOOKUP(Projeção[[#This Row],[Código]],BD_Produto[#All],6,FALSE)</f>
        <v>OLFA, ESTOJO DE LÂMINAS GSB-1S - KIT COM 30</v>
      </c>
      <c r="C1309" s="147">
        <v>0</v>
      </c>
      <c r="D1309" s="147">
        <v>0</v>
      </c>
      <c r="E1309" s="147">
        <v>0</v>
      </c>
      <c r="F1309" s="147">
        <v>0</v>
      </c>
      <c r="G1309" s="147">
        <v>0</v>
      </c>
      <c r="H1309" s="147">
        <v>0</v>
      </c>
      <c r="I1309" s="147">
        <v>0</v>
      </c>
      <c r="J1309" s="147">
        <v>0</v>
      </c>
      <c r="K1309" s="147">
        <v>0</v>
      </c>
      <c r="L1309" s="147">
        <v>0</v>
      </c>
      <c r="M1309" s="147">
        <v>0</v>
      </c>
      <c r="N1309" s="147">
        <v>0</v>
      </c>
      <c r="O1309" s="150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1.4000000000000001</v>
      </c>
    </row>
    <row r="1310" spans="1:15" ht="12.75" x14ac:dyDescent="0.2">
      <c r="A1310" s="148">
        <v>33070665327</v>
      </c>
      <c r="B1310" s="152" t="str">
        <f>VLOOKUP(Projeção[[#This Row],[Código]],BD_Produto[#All],6,FALSE)</f>
        <v>OLFA, ESTOJO DE LÂMINAS SKB-2S/10B - AÇO INOX - KIT COM 10</v>
      </c>
      <c r="C1310" s="147">
        <v>0</v>
      </c>
      <c r="D1310" s="147">
        <v>0</v>
      </c>
      <c r="E1310" s="147">
        <v>0</v>
      </c>
      <c r="F1310" s="147">
        <v>0</v>
      </c>
      <c r="G1310" s="147">
        <v>0</v>
      </c>
      <c r="H1310" s="147">
        <v>0</v>
      </c>
      <c r="I1310" s="147">
        <v>0</v>
      </c>
      <c r="J1310" s="147">
        <v>0</v>
      </c>
      <c r="K1310" s="147">
        <v>0</v>
      </c>
      <c r="L1310" s="147">
        <v>0</v>
      </c>
      <c r="M1310" s="147">
        <v>0</v>
      </c>
      <c r="N1310" s="147">
        <v>0</v>
      </c>
      <c r="O1310" s="134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1.4000000000000001</v>
      </c>
    </row>
    <row r="1311" spans="1:15" ht="12.75" x14ac:dyDescent="0.2">
      <c r="A1311" s="15">
        <v>33070665101</v>
      </c>
      <c r="B1311" s="125" t="str">
        <f>VLOOKUP(Projeção[[#This Row],[Código]],BD_Produto[#All],6,FALSE)</f>
        <v>OLFA, ESTOJO DE LÂMINAS FLB-5B - KIT COM 5</v>
      </c>
      <c r="C1311" s="147">
        <v>0</v>
      </c>
      <c r="D1311" s="147">
        <v>0</v>
      </c>
      <c r="E1311" s="147">
        <v>0</v>
      </c>
      <c r="F1311" s="147">
        <v>0</v>
      </c>
      <c r="G1311" s="147">
        <v>0</v>
      </c>
      <c r="H1311" s="147">
        <v>0</v>
      </c>
      <c r="I1311" s="147">
        <v>0</v>
      </c>
      <c r="J1311" s="147">
        <v>0</v>
      </c>
      <c r="K1311" s="147">
        <v>0</v>
      </c>
      <c r="L1311" s="147">
        <v>0</v>
      </c>
      <c r="M1311" s="147">
        <v>0</v>
      </c>
      <c r="N1311" s="147">
        <v>0</v>
      </c>
      <c r="O1311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2" spans="1:15" ht="12.75" x14ac:dyDescent="0.2">
      <c r="A1312" s="148">
        <v>33070665100</v>
      </c>
      <c r="B1312" s="152" t="str">
        <f>VLOOKUP(Projeção[[#This Row],[Código]],BD_Produto[#All],6,FALSE)</f>
        <v>OLFA, ESTOJO DE LÂMINAS LWB-3B - KIT COM 3</v>
      </c>
      <c r="C1312" s="147">
        <v>0</v>
      </c>
      <c r="D1312" s="147">
        <v>0</v>
      </c>
      <c r="E1312" s="147">
        <v>0</v>
      </c>
      <c r="F1312" s="147">
        <v>0</v>
      </c>
      <c r="G1312" s="147">
        <v>0</v>
      </c>
      <c r="H1312" s="147">
        <v>0</v>
      </c>
      <c r="I1312" s="147">
        <v>0</v>
      </c>
      <c r="J1312" s="147">
        <v>0</v>
      </c>
      <c r="K1312" s="147">
        <v>0</v>
      </c>
      <c r="L1312" s="147">
        <v>0</v>
      </c>
      <c r="M1312" s="147">
        <v>0</v>
      </c>
      <c r="N1312" s="147">
        <v>0</v>
      </c>
      <c r="O1312" s="134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3" spans="1:15" ht="12.75" x14ac:dyDescent="0.2">
      <c r="A1313" s="15">
        <v>33070665325</v>
      </c>
      <c r="B1313" s="153" t="str">
        <f>VLOOKUP(Projeção[[#This Row],[Código]],BD_Produto[#All],6,FALSE)</f>
        <v>OLFA, ESTILETE HEAVY DUTY L5-AL/LWB</v>
      </c>
      <c r="C1313" s="147">
        <v>0</v>
      </c>
      <c r="D1313" s="147">
        <v>0</v>
      </c>
      <c r="E1313" s="147">
        <v>0</v>
      </c>
      <c r="F1313" s="147">
        <v>0</v>
      </c>
      <c r="G1313" s="147">
        <v>0</v>
      </c>
      <c r="H1313" s="147">
        <v>0</v>
      </c>
      <c r="I1313" s="147">
        <v>0</v>
      </c>
      <c r="J1313" s="147">
        <v>0</v>
      </c>
      <c r="K1313" s="147">
        <v>0</v>
      </c>
      <c r="L1313" s="147">
        <v>0</v>
      </c>
      <c r="M1313" s="147">
        <v>0</v>
      </c>
      <c r="N1313" s="147">
        <v>0</v>
      </c>
      <c r="O1313" s="154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4" spans="1:15" ht="12.75" x14ac:dyDescent="0.2">
      <c r="A1314" s="148">
        <v>33070665326</v>
      </c>
      <c r="B1314" s="155" t="str">
        <f>VLOOKUP(Projeção[[#This Row],[Código]],BD_Produto[#All],6,FALSE)</f>
        <v>OLFA, ESTILETE HEAVY DUTY L-5/FLB</v>
      </c>
      <c r="C1314" s="147">
        <v>0</v>
      </c>
      <c r="D1314" s="147">
        <v>0</v>
      </c>
      <c r="E1314" s="147">
        <v>0</v>
      </c>
      <c r="F1314" s="147">
        <v>0</v>
      </c>
      <c r="G1314" s="147">
        <v>0</v>
      </c>
      <c r="H1314" s="147">
        <v>0</v>
      </c>
      <c r="I1314" s="147">
        <v>0</v>
      </c>
      <c r="J1314" s="147">
        <v>0</v>
      </c>
      <c r="K1314" s="147">
        <v>0</v>
      </c>
      <c r="L1314" s="147">
        <v>0</v>
      </c>
      <c r="M1314" s="147">
        <v>0</v>
      </c>
      <c r="N1314" s="147">
        <v>0</v>
      </c>
      <c r="O1314" s="156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5" spans="1:15" ht="12.75" x14ac:dyDescent="0.2">
      <c r="A1315" s="15">
        <v>33062065250</v>
      </c>
      <c r="B1315" s="166" t="s">
        <v>3045</v>
      </c>
      <c r="C1315" s="147">
        <v>0</v>
      </c>
      <c r="D1315" s="147">
        <v>0</v>
      </c>
      <c r="E1315" s="147">
        <v>0</v>
      </c>
      <c r="F1315" s="147">
        <v>0</v>
      </c>
      <c r="G1315" s="147">
        <v>0</v>
      </c>
      <c r="H1315" s="147">
        <v>0</v>
      </c>
      <c r="I1315" s="147">
        <v>0</v>
      </c>
      <c r="J1315" s="147">
        <v>0</v>
      </c>
      <c r="K1315" s="147">
        <v>0</v>
      </c>
      <c r="L1315" s="147">
        <v>0</v>
      </c>
      <c r="M1315" s="147">
        <v>0</v>
      </c>
      <c r="N1315" s="147">
        <v>0</v>
      </c>
      <c r="O1315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6" spans="1:15" ht="12.75" x14ac:dyDescent="0.2">
      <c r="A1316" s="15">
        <v>33062065251</v>
      </c>
      <c r="B1316" s="166" t="s">
        <v>3046</v>
      </c>
      <c r="C1316" s="147">
        <v>0</v>
      </c>
      <c r="D1316" s="147">
        <v>0</v>
      </c>
      <c r="E1316" s="147">
        <v>0</v>
      </c>
      <c r="F1316" s="147">
        <v>0</v>
      </c>
      <c r="G1316" s="147">
        <v>0</v>
      </c>
      <c r="H1316" s="147">
        <v>0</v>
      </c>
      <c r="I1316" s="147">
        <v>0</v>
      </c>
      <c r="J1316" s="147">
        <v>0</v>
      </c>
      <c r="K1316" s="147">
        <v>0</v>
      </c>
      <c r="L1316" s="147">
        <v>0</v>
      </c>
      <c r="M1316" s="147">
        <v>0</v>
      </c>
      <c r="N1316" s="147">
        <v>0</v>
      </c>
      <c r="O1316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7" spans="1:15" ht="12.75" x14ac:dyDescent="0.2">
      <c r="A1317" s="15">
        <v>33062065317</v>
      </c>
      <c r="B1317" s="166" t="s">
        <v>3070</v>
      </c>
      <c r="C1317" s="147">
        <v>0</v>
      </c>
      <c r="D1317" s="147">
        <v>0</v>
      </c>
      <c r="E1317" s="147">
        <v>0</v>
      </c>
      <c r="F1317" s="147">
        <v>0</v>
      </c>
      <c r="G1317" s="147">
        <v>0</v>
      </c>
      <c r="H1317" s="147">
        <v>0</v>
      </c>
      <c r="I1317" s="147">
        <v>0</v>
      </c>
      <c r="J1317" s="147">
        <v>0</v>
      </c>
      <c r="K1317" s="147">
        <v>0</v>
      </c>
      <c r="L1317" s="147">
        <v>0</v>
      </c>
      <c r="M1317" s="147">
        <v>0</v>
      </c>
      <c r="N1317" s="147">
        <v>0</v>
      </c>
      <c r="O1317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6.6666666666666666E-2</v>
      </c>
    </row>
    <row r="1318" spans="1:15" ht="12.75" x14ac:dyDescent="0.2">
      <c r="A1318" s="15">
        <v>33062065252</v>
      </c>
      <c r="B1318" s="166" t="s">
        <v>3047</v>
      </c>
      <c r="C1318" s="147">
        <v>0</v>
      </c>
      <c r="D1318" s="147">
        <v>0</v>
      </c>
      <c r="E1318" s="147">
        <v>0</v>
      </c>
      <c r="F1318" s="147">
        <v>0</v>
      </c>
      <c r="G1318" s="147">
        <v>0</v>
      </c>
      <c r="H1318" s="147">
        <v>0</v>
      </c>
      <c r="I1318" s="147">
        <v>0</v>
      </c>
      <c r="J1318" s="147">
        <v>0</v>
      </c>
      <c r="K1318" s="147">
        <v>0</v>
      </c>
      <c r="L1318" s="147">
        <v>0</v>
      </c>
      <c r="M1318" s="147">
        <v>0</v>
      </c>
      <c r="N1318" s="147">
        <v>0</v>
      </c>
      <c r="O1318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19" spans="1:15" ht="12.75" x14ac:dyDescent="0.2">
      <c r="A1319" s="15">
        <v>33062065253</v>
      </c>
      <c r="B1319" s="166" t="s">
        <v>3036</v>
      </c>
      <c r="C1319" s="147">
        <v>0</v>
      </c>
      <c r="D1319" s="147">
        <v>0</v>
      </c>
      <c r="E1319" s="147">
        <v>0</v>
      </c>
      <c r="F1319" s="147">
        <v>0</v>
      </c>
      <c r="G1319" s="147">
        <v>0</v>
      </c>
      <c r="H1319" s="147">
        <v>0</v>
      </c>
      <c r="I1319" s="147">
        <v>0</v>
      </c>
      <c r="J1319" s="147">
        <v>0</v>
      </c>
      <c r="K1319" s="147">
        <v>0</v>
      </c>
      <c r="L1319" s="147">
        <v>0</v>
      </c>
      <c r="M1319" s="147">
        <v>0</v>
      </c>
      <c r="N1319" s="147">
        <v>0</v>
      </c>
      <c r="O1319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320" spans="1:15" ht="12.75" x14ac:dyDescent="0.2">
      <c r="A1320" s="15">
        <v>33062065318</v>
      </c>
      <c r="B1320" s="166" t="s">
        <v>3071</v>
      </c>
      <c r="C1320" s="147">
        <v>0</v>
      </c>
      <c r="D1320" s="147">
        <v>0</v>
      </c>
      <c r="E1320" s="147">
        <v>0</v>
      </c>
      <c r="F1320" s="147">
        <v>0</v>
      </c>
      <c r="G1320" s="147">
        <v>0</v>
      </c>
      <c r="H1320" s="147">
        <v>0</v>
      </c>
      <c r="I1320" s="147">
        <v>0</v>
      </c>
      <c r="J1320" s="147">
        <v>0</v>
      </c>
      <c r="K1320" s="147">
        <v>0</v>
      </c>
      <c r="L1320" s="147">
        <v>0</v>
      </c>
      <c r="M1320" s="147">
        <v>0</v>
      </c>
      <c r="N1320" s="147">
        <v>0</v>
      </c>
      <c r="O1320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3.3333333333333333E-2</v>
      </c>
    </row>
    <row r="1321" spans="1:15" ht="12.75" x14ac:dyDescent="0.2">
      <c r="A1321" s="15">
        <v>33062065339</v>
      </c>
      <c r="B1321" s="166" t="s">
        <v>3088</v>
      </c>
      <c r="C1321" s="147">
        <v>0</v>
      </c>
      <c r="D1321" s="147">
        <v>0</v>
      </c>
      <c r="E1321" s="147">
        <v>0</v>
      </c>
      <c r="F1321" s="147">
        <v>0</v>
      </c>
      <c r="G1321" s="147">
        <v>0</v>
      </c>
      <c r="H1321" s="147">
        <v>0</v>
      </c>
      <c r="I1321" s="147">
        <v>0</v>
      </c>
      <c r="J1321" s="147">
        <v>0</v>
      </c>
      <c r="K1321" s="147">
        <v>0</v>
      </c>
      <c r="L1321" s="147">
        <v>0</v>
      </c>
      <c r="M1321" s="147">
        <v>0</v>
      </c>
      <c r="N1321" s="147">
        <v>0</v>
      </c>
      <c r="O1321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22" spans="1:15" ht="12.75" x14ac:dyDescent="0.2">
      <c r="A1322" s="15">
        <v>33062065340</v>
      </c>
      <c r="B1322" s="166" t="s">
        <v>3089</v>
      </c>
      <c r="C1322" s="147">
        <v>0</v>
      </c>
      <c r="D1322" s="147">
        <v>0</v>
      </c>
      <c r="E1322" s="147">
        <v>0</v>
      </c>
      <c r="F1322" s="147">
        <v>0</v>
      </c>
      <c r="G1322" s="147">
        <v>0</v>
      </c>
      <c r="H1322" s="147">
        <v>0</v>
      </c>
      <c r="I1322" s="147">
        <v>0</v>
      </c>
      <c r="J1322" s="147">
        <v>0</v>
      </c>
      <c r="K1322" s="147">
        <v>0</v>
      </c>
      <c r="L1322" s="147">
        <v>0</v>
      </c>
      <c r="M1322" s="147">
        <v>0</v>
      </c>
      <c r="N1322" s="147">
        <v>0</v>
      </c>
      <c r="O1322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23" spans="1:15" ht="12.75" x14ac:dyDescent="0.2">
      <c r="A1323" s="15">
        <v>33062065341</v>
      </c>
      <c r="B1323" s="166" t="s">
        <v>3088</v>
      </c>
      <c r="C1323" s="147">
        <v>0</v>
      </c>
      <c r="D1323" s="147">
        <v>0</v>
      </c>
      <c r="E1323" s="147">
        <v>0</v>
      </c>
      <c r="F1323" s="147">
        <v>0</v>
      </c>
      <c r="G1323" s="147">
        <v>0</v>
      </c>
      <c r="H1323" s="147">
        <v>0</v>
      </c>
      <c r="I1323" s="147">
        <v>0</v>
      </c>
      <c r="J1323" s="147">
        <v>0</v>
      </c>
      <c r="K1323" s="147">
        <v>0</v>
      </c>
      <c r="L1323" s="147">
        <v>0</v>
      </c>
      <c r="M1323" s="147">
        <v>0</v>
      </c>
      <c r="N1323" s="147">
        <v>0</v>
      </c>
      <c r="O1323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24" spans="1:15" ht="12.75" x14ac:dyDescent="0.2">
      <c r="A1324" s="15">
        <v>33062065342</v>
      </c>
      <c r="B1324" s="166" t="s">
        <v>3090</v>
      </c>
      <c r="C1324" s="147">
        <v>0</v>
      </c>
      <c r="D1324" s="147">
        <v>0</v>
      </c>
      <c r="E1324" s="147">
        <v>0</v>
      </c>
      <c r="F1324" s="147">
        <v>0</v>
      </c>
      <c r="G1324" s="147">
        <v>0</v>
      </c>
      <c r="H1324" s="147">
        <v>0</v>
      </c>
      <c r="I1324" s="147">
        <v>0</v>
      </c>
      <c r="J1324" s="147">
        <v>0</v>
      </c>
      <c r="K1324" s="147">
        <v>0</v>
      </c>
      <c r="L1324" s="147">
        <v>0</v>
      </c>
      <c r="M1324" s="147">
        <v>0</v>
      </c>
      <c r="N1324" s="147">
        <v>0</v>
      </c>
      <c r="O1324" s="139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  <row r="1325" spans="1:15" ht="12.75" x14ac:dyDescent="0.2">
      <c r="A1325" s="148">
        <v>33062065167</v>
      </c>
      <c r="B1325" s="167" t="s">
        <v>3091</v>
      </c>
      <c r="C1325" s="147">
        <v>0</v>
      </c>
      <c r="D1325" s="147">
        <v>0</v>
      </c>
      <c r="E1325" s="147">
        <v>0</v>
      </c>
      <c r="F1325" s="147">
        <v>0</v>
      </c>
      <c r="G1325" s="147">
        <v>0</v>
      </c>
      <c r="H1325" s="147">
        <v>0</v>
      </c>
      <c r="I1325" s="147">
        <v>0</v>
      </c>
      <c r="J1325" s="147">
        <v>0</v>
      </c>
      <c r="K1325" s="147">
        <v>0</v>
      </c>
      <c r="L1325" s="147">
        <v>0</v>
      </c>
      <c r="M1325" s="147">
        <v>0</v>
      </c>
      <c r="N1325" s="147">
        <v>0</v>
      </c>
      <c r="O1325" s="134">
        <f>((IFERROR(VLOOKUP(Projeção[[#This Row],[Código]],Venda_3meses[#All],2,FALSE)/3,0)+IFERROR(VLOOKUP(Projeção[[#This Row],[Código]],Venda_6meses[#All],2,FALSE)/6,0)+IFERROR(VLOOKUP(Projeção[[#This Row],[Código]],Venda_12meses[#All],2,FALSE)/12,0))/3)*1.2</f>
        <v>0</v>
      </c>
    </row>
  </sheetData>
  <mergeCells count="1">
    <mergeCell ref="C1:N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915"/>
  <sheetViews>
    <sheetView workbookViewId="0">
      <selection activeCell="N6" sqref="N6"/>
    </sheetView>
  </sheetViews>
  <sheetFormatPr defaultColWidth="8.85546875" defaultRowHeight="15" x14ac:dyDescent="0.25"/>
  <cols>
    <col min="1" max="1" width="13.85546875" style="9" bestFit="1" customWidth="1"/>
    <col min="2" max="3" width="8.85546875" style="9"/>
    <col min="4" max="4" width="13.5703125" customWidth="1"/>
    <col min="5" max="5" width="6.28515625" customWidth="1"/>
    <col min="6" max="6" width="8.42578125" style="9" customWidth="1"/>
    <col min="7" max="7" width="13.5703125" customWidth="1"/>
    <col min="8" max="8" width="6.28515625" customWidth="1"/>
    <col min="9" max="9" width="8.42578125" style="9" customWidth="1"/>
    <col min="10" max="10" width="13.5703125" style="10" customWidth="1"/>
    <col min="11" max="11" width="7.5703125" style="9" bestFit="1" customWidth="1"/>
    <col min="12" max="12" width="8.85546875" style="9"/>
    <col min="13" max="13" width="12.5703125" style="10" bestFit="1" customWidth="1"/>
    <col min="14" max="15" width="8.85546875" style="9"/>
    <col min="16" max="16" width="12" style="10" bestFit="1" customWidth="1"/>
    <col min="17" max="18" width="8.85546875" style="9"/>
    <col min="19" max="19" width="12.5703125" style="10" bestFit="1" customWidth="1"/>
    <col min="20" max="21" width="8.85546875" style="9"/>
    <col min="22" max="22" width="13.7109375" style="10" bestFit="1" customWidth="1"/>
    <col min="23" max="24" width="8.85546875" style="9"/>
    <col min="25" max="25" width="13.7109375" style="10" bestFit="1" customWidth="1"/>
    <col min="26" max="16384" width="8.85546875" style="9"/>
  </cols>
  <sheetData>
    <row r="1" spans="1:25" ht="19.5" x14ac:dyDescent="0.3">
      <c r="A1" s="202" t="s">
        <v>848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25" ht="15.75" x14ac:dyDescent="0.25">
      <c r="A2" s="201" t="s">
        <v>2835</v>
      </c>
      <c r="B2" s="201"/>
      <c r="D2" s="201" t="s">
        <v>849</v>
      </c>
      <c r="E2" s="201"/>
      <c r="G2" s="201" t="s">
        <v>2834</v>
      </c>
      <c r="H2" s="201"/>
      <c r="J2" s="201" t="s">
        <v>3099</v>
      </c>
      <c r="K2" s="201"/>
    </row>
    <row r="3" spans="1:25" x14ac:dyDescent="0.25">
      <c r="A3" s="70" t="s">
        <v>850</v>
      </c>
      <c r="B3" s="71" t="s">
        <v>851</v>
      </c>
      <c r="D3" s="11" t="s">
        <v>850</v>
      </c>
      <c r="E3" s="11" t="s">
        <v>851</v>
      </c>
      <c r="G3" s="11" t="s">
        <v>850</v>
      </c>
      <c r="H3" s="11" t="s">
        <v>851</v>
      </c>
      <c r="J3" s="11" t="s">
        <v>850</v>
      </c>
      <c r="K3" s="11" t="s">
        <v>851</v>
      </c>
    </row>
    <row r="4" spans="1:25" x14ac:dyDescent="0.25">
      <c r="A4" s="164">
        <v>30061224597</v>
      </c>
      <c r="B4" s="183">
        <v>15</v>
      </c>
      <c r="D4" s="164">
        <v>30061224002</v>
      </c>
      <c r="E4" s="183">
        <v>23</v>
      </c>
      <c r="G4" s="164">
        <v>30061224002</v>
      </c>
      <c r="H4" s="183">
        <v>49</v>
      </c>
      <c r="J4" s="164">
        <v>30061224002</v>
      </c>
      <c r="K4" s="183">
        <v>60</v>
      </c>
    </row>
    <row r="5" spans="1:25" x14ac:dyDescent="0.25">
      <c r="A5" s="164">
        <v>30061224600</v>
      </c>
      <c r="B5" s="183">
        <v>220</v>
      </c>
      <c r="D5" s="164">
        <v>30061224018</v>
      </c>
      <c r="E5" s="183">
        <v>10</v>
      </c>
      <c r="G5" s="164">
        <v>30061224018</v>
      </c>
      <c r="H5" s="183">
        <v>32</v>
      </c>
      <c r="J5" s="164">
        <v>30061224018</v>
      </c>
      <c r="K5" s="183">
        <v>104</v>
      </c>
    </row>
    <row r="6" spans="1:25" x14ac:dyDescent="0.25">
      <c r="A6" s="164">
        <v>30061265232</v>
      </c>
      <c r="B6" s="183">
        <v>100</v>
      </c>
      <c r="D6" s="164">
        <v>30061224022</v>
      </c>
      <c r="E6" s="183">
        <v>1</v>
      </c>
      <c r="G6" s="164">
        <v>30061224022</v>
      </c>
      <c r="H6" s="183">
        <v>1</v>
      </c>
      <c r="J6" s="164">
        <v>30061224022</v>
      </c>
      <c r="K6" s="183">
        <v>1</v>
      </c>
    </row>
    <row r="7" spans="1:25" x14ac:dyDescent="0.25">
      <c r="A7" s="164">
        <v>33060114113</v>
      </c>
      <c r="B7" s="183">
        <v>23</v>
      </c>
      <c r="D7" s="164">
        <v>30061224032</v>
      </c>
      <c r="E7" s="183">
        <v>30</v>
      </c>
      <c r="G7" s="164">
        <v>30061224032</v>
      </c>
      <c r="H7" s="183">
        <v>65</v>
      </c>
      <c r="J7" s="164">
        <v>30061224032</v>
      </c>
      <c r="K7" s="183">
        <v>75</v>
      </c>
    </row>
    <row r="8" spans="1:25" x14ac:dyDescent="0.25">
      <c r="A8" s="164">
        <v>33060114114</v>
      </c>
      <c r="B8" s="183">
        <v>85</v>
      </c>
      <c r="D8" s="164">
        <v>30061224414</v>
      </c>
      <c r="E8" s="183">
        <v>1200</v>
      </c>
      <c r="G8" s="164">
        <v>30061224414</v>
      </c>
      <c r="H8" s="183">
        <v>4219</v>
      </c>
      <c r="J8" s="164">
        <v>30061224414</v>
      </c>
      <c r="K8" s="183">
        <v>18549</v>
      </c>
    </row>
    <row r="9" spans="1:25" x14ac:dyDescent="0.25">
      <c r="A9" s="164">
        <v>33060114488</v>
      </c>
      <c r="B9" s="183">
        <v>4</v>
      </c>
      <c r="D9" s="164">
        <v>30061224597</v>
      </c>
      <c r="E9" s="183">
        <v>60</v>
      </c>
      <c r="G9" s="164">
        <v>30061224597</v>
      </c>
      <c r="H9" s="183">
        <v>100</v>
      </c>
      <c r="J9" s="164">
        <v>30061224597</v>
      </c>
      <c r="K9" s="183">
        <v>188</v>
      </c>
    </row>
    <row r="10" spans="1:25" x14ac:dyDescent="0.25">
      <c r="A10" s="164">
        <v>33060114591</v>
      </c>
      <c r="B10" s="183">
        <v>83</v>
      </c>
      <c r="D10" s="164">
        <v>30061224600</v>
      </c>
      <c r="E10" s="183">
        <v>600</v>
      </c>
      <c r="G10" s="164">
        <v>30061224600</v>
      </c>
      <c r="H10" s="183">
        <v>1160</v>
      </c>
      <c r="J10" s="164">
        <v>30061224600</v>
      </c>
      <c r="K10" s="183">
        <v>2753</v>
      </c>
    </row>
    <row r="11" spans="1:25" s="12" customFormat="1" x14ac:dyDescent="0.25">
      <c r="A11" s="164">
        <v>33060114592</v>
      </c>
      <c r="B11" s="183">
        <v>10</v>
      </c>
      <c r="D11" s="164">
        <v>30061265232</v>
      </c>
      <c r="E11" s="183">
        <v>270</v>
      </c>
      <c r="G11" s="164">
        <v>30061265232</v>
      </c>
      <c r="H11" s="183">
        <v>444</v>
      </c>
      <c r="J11" s="164">
        <v>30061265232</v>
      </c>
      <c r="K11" s="183">
        <v>1750</v>
      </c>
      <c r="M11" s="10"/>
      <c r="P11" s="10"/>
      <c r="S11" s="10"/>
      <c r="V11" s="10"/>
      <c r="Y11" s="10"/>
    </row>
    <row r="12" spans="1:25" x14ac:dyDescent="0.25">
      <c r="A12" s="164">
        <v>33060114825</v>
      </c>
      <c r="B12" s="183">
        <v>52</v>
      </c>
      <c r="D12" s="164">
        <v>30062065195</v>
      </c>
      <c r="E12" s="183">
        <v>7</v>
      </c>
      <c r="G12" s="164">
        <v>30062065195</v>
      </c>
      <c r="H12" s="183">
        <v>7</v>
      </c>
      <c r="J12" s="164">
        <v>30062065195</v>
      </c>
      <c r="K12" s="183">
        <v>13</v>
      </c>
    </row>
    <row r="13" spans="1:25" x14ac:dyDescent="0.25">
      <c r="A13" s="164">
        <v>33060114946</v>
      </c>
      <c r="B13" s="183">
        <v>5</v>
      </c>
      <c r="D13" s="164">
        <v>30062065196</v>
      </c>
      <c r="E13" s="183">
        <v>5</v>
      </c>
      <c r="G13" s="164">
        <v>30062065196</v>
      </c>
      <c r="H13" s="183">
        <v>5</v>
      </c>
      <c r="J13" s="164">
        <v>30062065196</v>
      </c>
      <c r="K13" s="183">
        <v>13</v>
      </c>
      <c r="M13" s="9"/>
      <c r="P13" s="9"/>
      <c r="S13" s="9"/>
      <c r="V13" s="9"/>
      <c r="Y13" s="9"/>
    </row>
    <row r="14" spans="1:25" x14ac:dyDescent="0.25">
      <c r="A14" s="164">
        <v>33060114991</v>
      </c>
      <c r="B14" s="183">
        <v>7</v>
      </c>
      <c r="D14" s="164">
        <v>32105064142</v>
      </c>
      <c r="E14" s="183">
        <v>1</v>
      </c>
      <c r="G14" s="164">
        <v>32105064142</v>
      </c>
      <c r="H14" s="183">
        <v>1</v>
      </c>
      <c r="J14" s="164">
        <v>32105064142</v>
      </c>
      <c r="K14" s="183">
        <v>1</v>
      </c>
      <c r="M14" s="9"/>
      <c r="P14" s="9"/>
      <c r="S14" s="9"/>
      <c r="V14" s="9"/>
      <c r="Y14" s="9"/>
    </row>
    <row r="15" spans="1:25" x14ac:dyDescent="0.25">
      <c r="A15" s="164">
        <v>33060114992</v>
      </c>
      <c r="B15" s="183">
        <v>2</v>
      </c>
      <c r="D15" s="164">
        <v>32105064298</v>
      </c>
      <c r="E15" s="183">
        <v>2</v>
      </c>
      <c r="G15" s="164">
        <v>32105064298</v>
      </c>
      <c r="H15" s="183">
        <v>2</v>
      </c>
      <c r="J15" s="164">
        <v>32105064298</v>
      </c>
      <c r="K15" s="183">
        <v>2</v>
      </c>
      <c r="M15" s="9"/>
      <c r="P15" s="9"/>
      <c r="S15" s="9"/>
      <c r="V15" s="9"/>
      <c r="Y15" s="9"/>
    </row>
    <row r="16" spans="1:25" x14ac:dyDescent="0.25">
      <c r="A16" s="164">
        <v>33060114994</v>
      </c>
      <c r="B16" s="183">
        <v>126</v>
      </c>
      <c r="D16" s="164">
        <v>32105064302</v>
      </c>
      <c r="E16" s="183">
        <v>1</v>
      </c>
      <c r="G16" s="164">
        <v>32105064302</v>
      </c>
      <c r="H16" s="183">
        <v>1</v>
      </c>
      <c r="J16" s="164">
        <v>32105064302</v>
      </c>
      <c r="K16" s="183">
        <v>2</v>
      </c>
      <c r="M16" s="9"/>
      <c r="P16" s="9"/>
      <c r="S16" s="9"/>
      <c r="V16" s="9"/>
      <c r="Y16" s="9"/>
    </row>
    <row r="17" spans="1:25" x14ac:dyDescent="0.25">
      <c r="A17" s="164">
        <v>33060160516</v>
      </c>
      <c r="B17" s="183">
        <v>45</v>
      </c>
      <c r="D17" s="164">
        <v>33060114113</v>
      </c>
      <c r="E17" s="183">
        <v>47</v>
      </c>
      <c r="G17" s="164">
        <v>33060114113</v>
      </c>
      <c r="H17" s="183">
        <v>99</v>
      </c>
      <c r="J17" s="164">
        <v>33060114113</v>
      </c>
      <c r="K17" s="183">
        <v>166</v>
      </c>
      <c r="M17" s="9"/>
      <c r="P17" s="9"/>
      <c r="S17" s="9"/>
      <c r="V17" s="9"/>
      <c r="Y17" s="9"/>
    </row>
    <row r="18" spans="1:25" x14ac:dyDescent="0.25">
      <c r="A18" s="164">
        <v>33060160517</v>
      </c>
      <c r="B18" s="183">
        <v>207</v>
      </c>
      <c r="D18" s="164">
        <v>33060114114</v>
      </c>
      <c r="E18" s="183">
        <v>329</v>
      </c>
      <c r="G18" s="164">
        <v>33060114114</v>
      </c>
      <c r="H18" s="183">
        <v>579</v>
      </c>
      <c r="J18" s="164">
        <v>33060114114</v>
      </c>
      <c r="K18" s="183">
        <v>1323</v>
      </c>
      <c r="M18" s="9"/>
      <c r="P18" s="9"/>
      <c r="S18" s="9"/>
      <c r="V18" s="9"/>
      <c r="Y18" s="9"/>
    </row>
    <row r="19" spans="1:25" x14ac:dyDescent="0.25">
      <c r="A19" s="164">
        <v>33060160519</v>
      </c>
      <c r="B19" s="183">
        <v>5</v>
      </c>
      <c r="D19" s="164">
        <v>33060114487</v>
      </c>
      <c r="E19" s="183">
        <v>2</v>
      </c>
      <c r="G19" s="164">
        <v>33060114487</v>
      </c>
      <c r="H19" s="183">
        <v>3</v>
      </c>
      <c r="J19" s="164">
        <v>33060114487</v>
      </c>
      <c r="K19" s="183">
        <v>3</v>
      </c>
      <c r="M19" s="9"/>
      <c r="P19" s="9"/>
      <c r="S19" s="9"/>
      <c r="V19" s="9"/>
      <c r="Y19" s="9"/>
    </row>
    <row r="20" spans="1:25" x14ac:dyDescent="0.25">
      <c r="A20" s="164">
        <v>33060160520</v>
      </c>
      <c r="B20" s="183">
        <v>10</v>
      </c>
      <c r="D20" s="164">
        <v>33060114488</v>
      </c>
      <c r="E20" s="183">
        <v>11</v>
      </c>
      <c r="G20" s="164">
        <v>33060114488</v>
      </c>
      <c r="H20" s="183">
        <v>17</v>
      </c>
      <c r="J20" s="164">
        <v>33060114488</v>
      </c>
      <c r="K20" s="183">
        <v>46</v>
      </c>
      <c r="M20" s="9"/>
      <c r="P20" s="9"/>
      <c r="S20" s="9"/>
      <c r="V20" s="9"/>
      <c r="Y20" s="9"/>
    </row>
    <row r="21" spans="1:25" x14ac:dyDescent="0.25">
      <c r="A21" s="164">
        <v>33060160537</v>
      </c>
      <c r="B21" s="183">
        <v>2</v>
      </c>
      <c r="D21" s="164">
        <v>33060114591</v>
      </c>
      <c r="E21" s="183">
        <v>212</v>
      </c>
      <c r="F21" s="6"/>
      <c r="G21" s="164">
        <v>33060114591</v>
      </c>
      <c r="H21" s="183">
        <v>349</v>
      </c>
      <c r="J21" s="164">
        <v>33060114591</v>
      </c>
      <c r="K21" s="183">
        <v>598</v>
      </c>
      <c r="M21" s="9"/>
      <c r="P21" s="9"/>
      <c r="S21" s="9"/>
      <c r="V21" s="9"/>
      <c r="Y21" s="9"/>
    </row>
    <row r="22" spans="1:25" x14ac:dyDescent="0.25">
      <c r="A22" s="164">
        <v>33060160541</v>
      </c>
      <c r="B22" s="183">
        <v>2</v>
      </c>
      <c r="D22" s="164">
        <v>33060114592</v>
      </c>
      <c r="E22" s="183">
        <v>19</v>
      </c>
      <c r="F22" s="13"/>
      <c r="G22" s="164">
        <v>33060114592</v>
      </c>
      <c r="H22" s="183">
        <v>19</v>
      </c>
      <c r="J22" s="164">
        <v>33060114592</v>
      </c>
      <c r="K22" s="183">
        <v>26</v>
      </c>
      <c r="M22" s="9"/>
      <c r="P22" s="9"/>
      <c r="S22" s="9"/>
      <c r="V22" s="9"/>
      <c r="Y22" s="9"/>
    </row>
    <row r="23" spans="1:25" x14ac:dyDescent="0.25">
      <c r="A23" s="164">
        <v>33060161114</v>
      </c>
      <c r="B23" s="183">
        <v>100</v>
      </c>
      <c r="D23" s="164">
        <v>33060114802</v>
      </c>
      <c r="E23" s="183">
        <v>20</v>
      </c>
      <c r="F23" s="13"/>
      <c r="G23" s="164">
        <v>33060114802</v>
      </c>
      <c r="H23" s="183">
        <v>20</v>
      </c>
      <c r="J23" s="164">
        <v>33060114802</v>
      </c>
      <c r="K23" s="183">
        <v>22</v>
      </c>
      <c r="M23" s="9"/>
      <c r="P23" s="9"/>
      <c r="S23" s="9"/>
      <c r="V23" s="9"/>
      <c r="Y23" s="9"/>
    </row>
    <row r="24" spans="1:25" x14ac:dyDescent="0.25">
      <c r="A24" s="164">
        <v>33060161826</v>
      </c>
      <c r="B24" s="183">
        <v>16</v>
      </c>
      <c r="D24" s="164">
        <v>33060114803</v>
      </c>
      <c r="E24" s="183">
        <v>4</v>
      </c>
      <c r="F24" s="13"/>
      <c r="G24" s="164">
        <v>33060114803</v>
      </c>
      <c r="H24" s="183">
        <v>4</v>
      </c>
      <c r="J24" s="164">
        <v>33060114803</v>
      </c>
      <c r="K24" s="183">
        <v>6</v>
      </c>
      <c r="M24" s="9"/>
      <c r="P24" s="9"/>
      <c r="S24" s="9"/>
      <c r="V24" s="9"/>
      <c r="Y24" s="9"/>
    </row>
    <row r="25" spans="1:25" x14ac:dyDescent="0.25">
      <c r="A25" s="164">
        <v>33060161827</v>
      </c>
      <c r="B25" s="183">
        <v>17</v>
      </c>
      <c r="D25" s="164">
        <v>33060114804</v>
      </c>
      <c r="E25" s="183">
        <v>10</v>
      </c>
      <c r="F25" s="13"/>
      <c r="G25" s="164">
        <v>33060114804</v>
      </c>
      <c r="H25" s="183">
        <v>10</v>
      </c>
      <c r="J25" s="164">
        <v>33060114804</v>
      </c>
      <c r="K25" s="183">
        <v>24</v>
      </c>
      <c r="M25" s="9"/>
      <c r="P25" s="9"/>
      <c r="S25" s="9"/>
      <c r="V25" s="9"/>
      <c r="Y25" s="9"/>
    </row>
    <row r="26" spans="1:25" x14ac:dyDescent="0.25">
      <c r="A26" s="164">
        <v>33060161828</v>
      </c>
      <c r="B26" s="183">
        <v>16</v>
      </c>
      <c r="D26" s="164">
        <v>33060114824</v>
      </c>
      <c r="E26" s="183">
        <v>33</v>
      </c>
      <c r="F26" s="13"/>
      <c r="G26" s="164">
        <v>33060114824</v>
      </c>
      <c r="H26" s="183">
        <v>38</v>
      </c>
      <c r="J26" s="164">
        <v>33060114824</v>
      </c>
      <c r="K26" s="183">
        <v>56</v>
      </c>
      <c r="M26" s="9"/>
      <c r="P26" s="9"/>
      <c r="S26" s="9"/>
      <c r="V26" s="9"/>
      <c r="Y26" s="9"/>
    </row>
    <row r="27" spans="1:25" x14ac:dyDescent="0.25">
      <c r="A27" s="164">
        <v>33060161830</v>
      </c>
      <c r="B27" s="183">
        <v>77</v>
      </c>
      <c r="D27" s="164">
        <v>33060114825</v>
      </c>
      <c r="E27" s="183">
        <v>100</v>
      </c>
      <c r="F27" s="13"/>
      <c r="G27" s="164">
        <v>33060114825</v>
      </c>
      <c r="H27" s="183">
        <v>154</v>
      </c>
      <c r="J27" s="164">
        <v>33060114825</v>
      </c>
      <c r="K27" s="183">
        <v>344</v>
      </c>
      <c r="M27" s="9"/>
      <c r="P27" s="9"/>
      <c r="S27" s="9"/>
      <c r="V27" s="9"/>
      <c r="Y27" s="9"/>
    </row>
    <row r="28" spans="1:25" x14ac:dyDescent="0.25">
      <c r="A28" s="164">
        <v>33060163220</v>
      </c>
      <c r="B28" s="183">
        <v>230</v>
      </c>
      <c r="D28" s="164">
        <v>33060114904</v>
      </c>
      <c r="E28" s="183">
        <v>20</v>
      </c>
      <c r="F28" s="13"/>
      <c r="G28" s="164">
        <v>33060114904</v>
      </c>
      <c r="H28" s="183">
        <v>40</v>
      </c>
      <c r="J28" s="164">
        <v>33060114904</v>
      </c>
      <c r="K28" s="183">
        <v>110</v>
      </c>
      <c r="M28" s="9"/>
      <c r="P28" s="9"/>
      <c r="S28" s="9"/>
      <c r="V28" s="9"/>
      <c r="Y28" s="9"/>
    </row>
    <row r="29" spans="1:25" x14ac:dyDescent="0.25">
      <c r="A29" s="164">
        <v>33060163221</v>
      </c>
      <c r="B29" s="183">
        <v>29</v>
      </c>
      <c r="D29" s="164">
        <v>33060114914</v>
      </c>
      <c r="E29" s="183">
        <v>1</v>
      </c>
      <c r="F29" s="13"/>
      <c r="G29" s="164">
        <v>33060114914</v>
      </c>
      <c r="H29" s="183">
        <v>1</v>
      </c>
      <c r="J29" s="164">
        <v>33060114914</v>
      </c>
      <c r="K29" s="183">
        <v>1</v>
      </c>
      <c r="M29" s="9"/>
      <c r="P29" s="9"/>
      <c r="S29" s="9"/>
      <c r="V29" s="9"/>
      <c r="Y29" s="9"/>
    </row>
    <row r="30" spans="1:25" x14ac:dyDescent="0.25">
      <c r="A30" s="164">
        <v>33060163222</v>
      </c>
      <c r="B30" s="183">
        <v>15</v>
      </c>
      <c r="D30" s="164">
        <v>33060114915</v>
      </c>
      <c r="E30" s="183">
        <v>10</v>
      </c>
      <c r="F30" s="13"/>
      <c r="G30" s="164">
        <v>33060114915</v>
      </c>
      <c r="H30" s="183">
        <v>22</v>
      </c>
      <c r="J30" s="164">
        <v>33060114915</v>
      </c>
      <c r="K30" s="183">
        <v>140</v>
      </c>
      <c r="M30" s="9"/>
      <c r="P30" s="9"/>
      <c r="S30" s="9"/>
      <c r="V30" s="9"/>
      <c r="Y30" s="9"/>
    </row>
    <row r="31" spans="1:25" x14ac:dyDescent="0.25">
      <c r="A31" s="164">
        <v>33060414640</v>
      </c>
      <c r="B31" s="183">
        <v>3</v>
      </c>
      <c r="D31" s="164">
        <v>33060114943</v>
      </c>
      <c r="E31" s="183">
        <v>10</v>
      </c>
      <c r="F31" s="13"/>
      <c r="G31" s="164">
        <v>33060114943</v>
      </c>
      <c r="H31" s="183">
        <v>22</v>
      </c>
      <c r="J31" s="164">
        <v>33060114943</v>
      </c>
      <c r="K31" s="183">
        <v>141</v>
      </c>
      <c r="M31" s="9"/>
      <c r="P31" s="9"/>
      <c r="S31" s="9"/>
      <c r="V31" s="9"/>
      <c r="Y31" s="9"/>
    </row>
    <row r="32" spans="1:25" x14ac:dyDescent="0.25">
      <c r="A32" s="164">
        <v>33060414641</v>
      </c>
      <c r="B32" s="183">
        <v>9</v>
      </c>
      <c r="D32" s="164">
        <v>33060114946</v>
      </c>
      <c r="E32" s="183">
        <v>22</v>
      </c>
      <c r="F32" s="13"/>
      <c r="G32" s="164">
        <v>33060114946</v>
      </c>
      <c r="H32" s="183">
        <v>29</v>
      </c>
      <c r="J32" s="164">
        <v>33060114946</v>
      </c>
      <c r="K32" s="183">
        <v>48</v>
      </c>
      <c r="M32" s="9"/>
      <c r="P32" s="9"/>
      <c r="S32" s="9"/>
      <c r="V32" s="9"/>
      <c r="Y32" s="9"/>
    </row>
    <row r="33" spans="1:25" x14ac:dyDescent="0.25">
      <c r="A33" s="164">
        <v>33060454137</v>
      </c>
      <c r="B33" s="183">
        <v>3</v>
      </c>
      <c r="D33" s="164">
        <v>33060114991</v>
      </c>
      <c r="E33" s="183">
        <v>28</v>
      </c>
      <c r="F33" s="13"/>
      <c r="G33" s="164">
        <v>33060114991</v>
      </c>
      <c r="H33" s="183">
        <v>160</v>
      </c>
      <c r="J33" s="164">
        <v>33060114991</v>
      </c>
      <c r="K33" s="183">
        <v>337</v>
      </c>
      <c r="M33" s="9"/>
      <c r="P33" s="9"/>
      <c r="S33" s="9"/>
      <c r="V33" s="9"/>
      <c r="Y33" s="9"/>
    </row>
    <row r="34" spans="1:25" x14ac:dyDescent="0.25">
      <c r="A34" s="164">
        <v>33060461187</v>
      </c>
      <c r="B34" s="183">
        <v>4</v>
      </c>
      <c r="D34" s="164">
        <v>33060114992</v>
      </c>
      <c r="E34" s="183">
        <v>11</v>
      </c>
      <c r="F34" s="13"/>
      <c r="G34" s="164">
        <v>33060114992</v>
      </c>
      <c r="H34" s="183">
        <v>206</v>
      </c>
      <c r="J34" s="164">
        <v>33060114992</v>
      </c>
      <c r="K34" s="183">
        <v>395</v>
      </c>
      <c r="M34" s="9"/>
      <c r="P34" s="9"/>
      <c r="S34" s="9"/>
      <c r="V34" s="9"/>
      <c r="Y34" s="9"/>
    </row>
    <row r="35" spans="1:25" x14ac:dyDescent="0.25">
      <c r="A35" s="164">
        <v>33060464908</v>
      </c>
      <c r="B35" s="183">
        <v>3</v>
      </c>
      <c r="D35" s="164">
        <v>33060114994</v>
      </c>
      <c r="E35" s="183">
        <v>494</v>
      </c>
      <c r="F35" s="13"/>
      <c r="G35" s="164">
        <v>33060114994</v>
      </c>
      <c r="H35" s="183">
        <v>895</v>
      </c>
      <c r="J35" s="164">
        <v>33060114994</v>
      </c>
      <c r="K35" s="183">
        <v>1424</v>
      </c>
      <c r="M35" s="9"/>
      <c r="P35" s="9"/>
      <c r="S35" s="9"/>
      <c r="V35" s="9"/>
      <c r="Y35" s="9"/>
    </row>
    <row r="36" spans="1:25" x14ac:dyDescent="0.25">
      <c r="A36" s="164">
        <v>33060514928</v>
      </c>
      <c r="B36" s="183">
        <v>10</v>
      </c>
      <c r="D36" s="164">
        <v>33060160287</v>
      </c>
      <c r="E36" s="183">
        <v>1</v>
      </c>
      <c r="F36" s="13"/>
      <c r="G36" s="164">
        <v>33060160287</v>
      </c>
      <c r="H36" s="183">
        <v>4</v>
      </c>
      <c r="J36" s="164">
        <v>33060160287</v>
      </c>
      <c r="K36" s="183">
        <v>8</v>
      </c>
      <c r="M36" s="9"/>
      <c r="P36" s="9"/>
      <c r="S36" s="9"/>
      <c r="V36" s="9"/>
      <c r="Y36" s="9"/>
    </row>
    <row r="37" spans="1:25" x14ac:dyDescent="0.25">
      <c r="A37" s="164">
        <v>33060560521</v>
      </c>
      <c r="B37" s="183">
        <v>12</v>
      </c>
      <c r="D37" s="164">
        <v>33060160515</v>
      </c>
      <c r="E37" s="183">
        <v>231</v>
      </c>
      <c r="F37" s="13"/>
      <c r="G37" s="164">
        <v>33060160515</v>
      </c>
      <c r="H37" s="183">
        <v>1595</v>
      </c>
      <c r="J37" s="164">
        <v>33060160515</v>
      </c>
      <c r="K37" s="183">
        <v>4554</v>
      </c>
      <c r="M37" s="9"/>
      <c r="P37" s="9"/>
      <c r="S37" s="9"/>
      <c r="V37" s="9"/>
      <c r="Y37" s="9"/>
    </row>
    <row r="38" spans="1:25" x14ac:dyDescent="0.25">
      <c r="A38" s="164">
        <v>33060563228</v>
      </c>
      <c r="B38" s="183">
        <v>26</v>
      </c>
      <c r="D38" s="164">
        <v>33060160516</v>
      </c>
      <c r="E38" s="183">
        <v>137</v>
      </c>
      <c r="F38" s="13"/>
      <c r="G38" s="164">
        <v>33060160516</v>
      </c>
      <c r="H38" s="183">
        <v>284</v>
      </c>
      <c r="J38" s="164">
        <v>33060160516</v>
      </c>
      <c r="K38" s="183">
        <v>610</v>
      </c>
      <c r="M38" s="9"/>
      <c r="P38" s="9"/>
      <c r="S38" s="9"/>
      <c r="V38" s="9"/>
      <c r="Y38" s="9"/>
    </row>
    <row r="39" spans="1:25" x14ac:dyDescent="0.25">
      <c r="A39" s="164">
        <v>33060754032</v>
      </c>
      <c r="B39" s="183">
        <v>5</v>
      </c>
      <c r="D39" s="164">
        <v>33060160517</v>
      </c>
      <c r="E39" s="183">
        <v>716</v>
      </c>
      <c r="F39" s="13"/>
      <c r="G39" s="164">
        <v>33060160517</v>
      </c>
      <c r="H39" s="183">
        <v>1277</v>
      </c>
      <c r="J39" s="164">
        <v>33060160517</v>
      </c>
      <c r="K39" s="183">
        <v>2222</v>
      </c>
      <c r="M39" s="9"/>
      <c r="P39" s="9"/>
      <c r="S39" s="9"/>
      <c r="V39" s="9"/>
      <c r="Y39" s="9"/>
    </row>
    <row r="40" spans="1:25" x14ac:dyDescent="0.25">
      <c r="A40" s="164">
        <v>33062062712</v>
      </c>
      <c r="B40" s="183">
        <v>24</v>
      </c>
      <c r="D40" s="164">
        <v>33060160518</v>
      </c>
      <c r="E40" s="183">
        <v>20</v>
      </c>
      <c r="F40" s="13"/>
      <c r="G40" s="164">
        <v>33060160518</v>
      </c>
      <c r="H40" s="183">
        <v>76</v>
      </c>
      <c r="J40" s="164">
        <v>33060160518</v>
      </c>
      <c r="K40" s="183">
        <v>192</v>
      </c>
      <c r="M40" s="9"/>
      <c r="P40" s="9"/>
      <c r="S40" s="9"/>
      <c r="V40" s="9"/>
      <c r="Y40" s="9"/>
    </row>
    <row r="41" spans="1:25" x14ac:dyDescent="0.25">
      <c r="A41" s="164">
        <v>33062062713</v>
      </c>
      <c r="B41" s="183">
        <v>7</v>
      </c>
      <c r="D41" s="164">
        <v>33060160519</v>
      </c>
      <c r="E41" s="183">
        <v>35</v>
      </c>
      <c r="F41" s="13"/>
      <c r="G41" s="164">
        <v>33060160519</v>
      </c>
      <c r="H41" s="183">
        <v>185</v>
      </c>
      <c r="J41" s="164">
        <v>33060160519</v>
      </c>
      <c r="K41" s="183">
        <v>379</v>
      </c>
      <c r="M41" s="9"/>
      <c r="P41" s="9"/>
      <c r="S41" s="9"/>
      <c r="V41" s="9"/>
      <c r="Y41" s="9"/>
    </row>
    <row r="42" spans="1:25" x14ac:dyDescent="0.25">
      <c r="A42" s="164">
        <v>33062062714</v>
      </c>
      <c r="B42" s="183">
        <v>10</v>
      </c>
      <c r="D42" s="164">
        <v>33060160520</v>
      </c>
      <c r="E42" s="183">
        <v>53</v>
      </c>
      <c r="F42" s="13"/>
      <c r="G42" s="164">
        <v>33060160520</v>
      </c>
      <c r="H42" s="183">
        <v>62</v>
      </c>
      <c r="J42" s="164">
        <v>33060160520</v>
      </c>
      <c r="K42" s="183">
        <v>169</v>
      </c>
      <c r="M42" s="9"/>
      <c r="P42" s="9"/>
      <c r="S42" s="9"/>
      <c r="V42" s="9"/>
      <c r="Y42" s="9"/>
    </row>
    <row r="43" spans="1:25" x14ac:dyDescent="0.25">
      <c r="A43" s="164">
        <v>33062062715</v>
      </c>
      <c r="B43" s="183">
        <v>2</v>
      </c>
      <c r="D43" s="164">
        <v>33060160537</v>
      </c>
      <c r="E43" s="183">
        <v>2</v>
      </c>
      <c r="F43" s="13"/>
      <c r="G43" s="164">
        <v>33060160537</v>
      </c>
      <c r="H43" s="183">
        <v>6</v>
      </c>
      <c r="J43" s="164">
        <v>33060160537</v>
      </c>
      <c r="K43" s="183">
        <v>21</v>
      </c>
      <c r="M43" s="9"/>
      <c r="P43" s="9"/>
      <c r="S43" s="9"/>
      <c r="V43" s="9"/>
      <c r="Y43" s="9"/>
    </row>
    <row r="44" spans="1:25" ht="12.6" customHeight="1" x14ac:dyDescent="0.25">
      <c r="A44" s="164">
        <v>33062062718</v>
      </c>
      <c r="B44" s="183">
        <v>8</v>
      </c>
      <c r="D44" s="164">
        <v>33060160538</v>
      </c>
      <c r="E44" s="183">
        <v>6</v>
      </c>
      <c r="F44" s="13"/>
      <c r="G44" s="164">
        <v>33060160538</v>
      </c>
      <c r="H44" s="183">
        <v>12</v>
      </c>
      <c r="J44" s="164">
        <v>33060160538</v>
      </c>
      <c r="K44" s="183">
        <v>28</v>
      </c>
      <c r="M44" s="9"/>
      <c r="P44" s="9"/>
      <c r="S44" s="9"/>
      <c r="V44" s="9"/>
      <c r="Y44" s="9"/>
    </row>
    <row r="45" spans="1:25" x14ac:dyDescent="0.25">
      <c r="A45" s="164">
        <v>33062062722</v>
      </c>
      <c r="B45" s="183">
        <v>4</v>
      </c>
      <c r="D45" s="164">
        <v>33060160541</v>
      </c>
      <c r="E45" s="183">
        <v>2</v>
      </c>
      <c r="F45" s="13"/>
      <c r="G45" s="164">
        <v>33060160541</v>
      </c>
      <c r="H45" s="183">
        <v>2</v>
      </c>
      <c r="J45" s="164">
        <v>33060160541</v>
      </c>
      <c r="K45" s="183">
        <v>5</v>
      </c>
      <c r="M45" s="9"/>
      <c r="P45" s="9"/>
      <c r="S45" s="9"/>
      <c r="V45" s="9"/>
      <c r="Y45" s="9"/>
    </row>
    <row r="46" spans="1:25" x14ac:dyDescent="0.25">
      <c r="A46" s="164">
        <v>33062062735</v>
      </c>
      <c r="B46" s="183">
        <v>2</v>
      </c>
      <c r="D46" s="164">
        <v>33060161114</v>
      </c>
      <c r="E46" s="183">
        <v>307</v>
      </c>
      <c r="F46" s="13"/>
      <c r="G46" s="164">
        <v>33060161114</v>
      </c>
      <c r="H46" s="183">
        <v>528</v>
      </c>
      <c r="J46" s="164">
        <v>33060161114</v>
      </c>
      <c r="K46" s="183">
        <v>1688</v>
      </c>
      <c r="M46" s="9"/>
      <c r="P46" s="9"/>
      <c r="S46" s="9"/>
      <c r="V46" s="9"/>
      <c r="Y46" s="9"/>
    </row>
    <row r="47" spans="1:25" x14ac:dyDescent="0.25">
      <c r="A47" s="164">
        <v>33062062737</v>
      </c>
      <c r="B47" s="183">
        <v>6</v>
      </c>
      <c r="D47" s="164">
        <v>33060161826</v>
      </c>
      <c r="E47" s="183">
        <v>31</v>
      </c>
      <c r="F47" s="13"/>
      <c r="G47" s="164">
        <v>33060161826</v>
      </c>
      <c r="H47" s="183">
        <v>93</v>
      </c>
      <c r="J47" s="164">
        <v>33060161826</v>
      </c>
      <c r="K47" s="183">
        <v>259</v>
      </c>
      <c r="M47" s="9"/>
      <c r="P47" s="9"/>
      <c r="S47" s="9"/>
      <c r="V47" s="9"/>
      <c r="Y47" s="9"/>
    </row>
    <row r="48" spans="1:25" x14ac:dyDescent="0.25">
      <c r="A48" s="164">
        <v>33062063028</v>
      </c>
      <c r="B48" s="183">
        <v>2</v>
      </c>
      <c r="D48" s="164">
        <v>33060161827</v>
      </c>
      <c r="E48" s="183">
        <v>25</v>
      </c>
      <c r="F48" s="13"/>
      <c r="G48" s="164">
        <v>33060161827</v>
      </c>
      <c r="H48" s="183">
        <v>46</v>
      </c>
      <c r="J48" s="164">
        <v>33060161827</v>
      </c>
      <c r="K48" s="183">
        <v>93</v>
      </c>
      <c r="M48" s="9"/>
      <c r="P48" s="9"/>
      <c r="S48" s="9"/>
      <c r="V48" s="9"/>
      <c r="Y48" s="9"/>
    </row>
    <row r="49" spans="1:25" x14ac:dyDescent="0.25">
      <c r="A49" s="164">
        <v>33062063029</v>
      </c>
      <c r="B49" s="183">
        <v>4</v>
      </c>
      <c r="D49" s="164">
        <v>33060161828</v>
      </c>
      <c r="E49" s="183">
        <v>59</v>
      </c>
      <c r="F49" s="13"/>
      <c r="G49" s="164">
        <v>33060161828</v>
      </c>
      <c r="H49" s="183">
        <v>173</v>
      </c>
      <c r="J49" s="164">
        <v>33060161828</v>
      </c>
      <c r="K49" s="183">
        <v>348</v>
      </c>
      <c r="M49" s="9"/>
      <c r="P49" s="9"/>
      <c r="S49" s="9"/>
      <c r="V49" s="9"/>
      <c r="Y49" s="9"/>
    </row>
    <row r="50" spans="1:25" x14ac:dyDescent="0.25">
      <c r="A50" s="164">
        <v>33062063139</v>
      </c>
      <c r="B50" s="183">
        <v>3</v>
      </c>
      <c r="D50" s="164">
        <v>33060161829</v>
      </c>
      <c r="E50" s="183">
        <v>21</v>
      </c>
      <c r="F50" s="13"/>
      <c r="G50" s="164">
        <v>33060161829</v>
      </c>
      <c r="H50" s="183">
        <v>28</v>
      </c>
      <c r="J50" s="164">
        <v>33060161829</v>
      </c>
      <c r="K50" s="183">
        <v>47</v>
      </c>
      <c r="M50" s="9"/>
      <c r="P50" s="9"/>
      <c r="S50" s="9"/>
      <c r="V50" s="9"/>
      <c r="Y50" s="9"/>
    </row>
    <row r="51" spans="1:25" x14ac:dyDescent="0.25">
      <c r="A51" s="164">
        <v>33062063140</v>
      </c>
      <c r="B51" s="183">
        <v>1</v>
      </c>
      <c r="D51" s="164">
        <v>33060161830</v>
      </c>
      <c r="E51" s="183">
        <v>233</v>
      </c>
      <c r="F51" s="13"/>
      <c r="G51" s="164">
        <v>33060161830</v>
      </c>
      <c r="H51" s="183">
        <v>268</v>
      </c>
      <c r="J51" s="164">
        <v>33060161830</v>
      </c>
      <c r="K51" s="183">
        <v>2176</v>
      </c>
      <c r="M51" s="9"/>
      <c r="P51" s="9"/>
      <c r="S51" s="9"/>
      <c r="V51" s="9"/>
      <c r="Y51" s="9"/>
    </row>
    <row r="52" spans="1:25" x14ac:dyDescent="0.25">
      <c r="A52" s="164">
        <v>33062064070</v>
      </c>
      <c r="B52" s="183">
        <v>2</v>
      </c>
      <c r="D52" s="164">
        <v>33060163220</v>
      </c>
      <c r="E52" s="183">
        <v>436</v>
      </c>
      <c r="F52" s="13"/>
      <c r="G52" s="164">
        <v>33060163220</v>
      </c>
      <c r="H52" s="183">
        <v>591</v>
      </c>
      <c r="J52" s="164">
        <v>33060163220</v>
      </c>
      <c r="K52" s="183">
        <v>1183</v>
      </c>
      <c r="M52" s="9"/>
      <c r="P52" s="9"/>
      <c r="S52" s="9"/>
      <c r="V52" s="9"/>
      <c r="Y52" s="9"/>
    </row>
    <row r="53" spans="1:25" x14ac:dyDescent="0.25">
      <c r="A53" s="164">
        <v>33062065018</v>
      </c>
      <c r="B53" s="183">
        <v>1</v>
      </c>
      <c r="D53" s="164">
        <v>33060163221</v>
      </c>
      <c r="E53" s="183">
        <v>183</v>
      </c>
      <c r="F53" s="13"/>
      <c r="G53" s="164">
        <v>33060163221</v>
      </c>
      <c r="H53" s="183">
        <v>316</v>
      </c>
      <c r="J53" s="164">
        <v>33060163221</v>
      </c>
      <c r="K53" s="183">
        <v>671</v>
      </c>
      <c r="M53" s="9"/>
      <c r="P53" s="9"/>
      <c r="S53" s="9"/>
      <c r="V53" s="9"/>
      <c r="Y53" s="9"/>
    </row>
    <row r="54" spans="1:25" x14ac:dyDescent="0.25">
      <c r="A54" s="164">
        <v>33062065159</v>
      </c>
      <c r="B54" s="183">
        <v>2</v>
      </c>
      <c r="D54" s="164">
        <v>33060163222</v>
      </c>
      <c r="E54" s="183">
        <v>64</v>
      </c>
      <c r="F54" s="13"/>
      <c r="G54" s="164">
        <v>33060163222</v>
      </c>
      <c r="H54" s="183">
        <v>124</v>
      </c>
      <c r="J54" s="164">
        <v>33060163222</v>
      </c>
      <c r="K54" s="183">
        <v>565</v>
      </c>
      <c r="M54" s="9"/>
      <c r="P54" s="9"/>
      <c r="S54" s="9"/>
      <c r="V54" s="9"/>
      <c r="Y54" s="9"/>
    </row>
    <row r="55" spans="1:25" x14ac:dyDescent="0.25">
      <c r="A55" s="164">
        <v>33062162829</v>
      </c>
      <c r="B55" s="183">
        <v>1</v>
      </c>
      <c r="D55" s="164">
        <v>33060163226</v>
      </c>
      <c r="E55" s="183">
        <v>3</v>
      </c>
      <c r="F55" s="13"/>
      <c r="G55" s="164">
        <v>33060163226</v>
      </c>
      <c r="H55" s="183">
        <v>10</v>
      </c>
      <c r="J55" s="164">
        <v>33060163226</v>
      </c>
      <c r="K55" s="183">
        <v>10</v>
      </c>
      <c r="M55" s="9"/>
      <c r="P55" s="9"/>
      <c r="S55" s="9"/>
      <c r="V55" s="9"/>
      <c r="Y55" s="9"/>
    </row>
    <row r="56" spans="1:25" x14ac:dyDescent="0.25">
      <c r="A56" s="164">
        <v>33062262836</v>
      </c>
      <c r="B56" s="183">
        <v>1</v>
      </c>
      <c r="D56" s="164">
        <v>33060163227</v>
      </c>
      <c r="E56" s="183">
        <v>5</v>
      </c>
      <c r="F56" s="13"/>
      <c r="G56" s="164">
        <v>33060163227</v>
      </c>
      <c r="H56" s="183">
        <v>7</v>
      </c>
      <c r="J56" s="164">
        <v>33060163227</v>
      </c>
      <c r="K56" s="183">
        <v>7</v>
      </c>
      <c r="M56" s="9"/>
      <c r="P56" s="9"/>
      <c r="S56" s="9"/>
      <c r="V56" s="9"/>
      <c r="Y56" s="9"/>
    </row>
    <row r="57" spans="1:25" x14ac:dyDescent="0.25">
      <c r="A57" s="164">
        <v>33062362839</v>
      </c>
      <c r="B57" s="183">
        <v>1</v>
      </c>
      <c r="D57" s="164">
        <v>33060414355</v>
      </c>
      <c r="E57" s="183">
        <v>30</v>
      </c>
      <c r="F57" s="13"/>
      <c r="G57" s="164">
        <v>33060414355</v>
      </c>
      <c r="H57" s="183">
        <v>30</v>
      </c>
      <c r="J57" s="164">
        <v>33060414355</v>
      </c>
      <c r="K57" s="183">
        <v>42</v>
      </c>
      <c r="M57" s="9"/>
      <c r="P57" s="9"/>
      <c r="S57" s="9"/>
      <c r="V57" s="9"/>
      <c r="Y57" s="9"/>
    </row>
    <row r="58" spans="1:25" x14ac:dyDescent="0.25">
      <c r="A58" s="164">
        <v>33062362846</v>
      </c>
      <c r="B58" s="183">
        <v>4</v>
      </c>
      <c r="D58" s="164">
        <v>33060414640</v>
      </c>
      <c r="E58" s="183">
        <v>3</v>
      </c>
      <c r="F58" s="13"/>
      <c r="G58" s="164">
        <v>33060414640</v>
      </c>
      <c r="H58" s="183">
        <v>5</v>
      </c>
      <c r="J58" s="164">
        <v>33060414640</v>
      </c>
      <c r="K58" s="183">
        <v>5</v>
      </c>
      <c r="M58" s="9"/>
      <c r="P58" s="9"/>
      <c r="S58" s="9"/>
      <c r="V58" s="9"/>
      <c r="Y58" s="9"/>
    </row>
    <row r="59" spans="1:25" x14ac:dyDescent="0.25">
      <c r="A59" s="164">
        <v>33062562857</v>
      </c>
      <c r="B59" s="183">
        <v>2</v>
      </c>
      <c r="D59" s="164">
        <v>33060414641</v>
      </c>
      <c r="E59" s="183">
        <v>10</v>
      </c>
      <c r="F59" s="13"/>
      <c r="G59" s="164">
        <v>33060414641</v>
      </c>
      <c r="H59" s="183">
        <v>18</v>
      </c>
      <c r="J59" s="164">
        <v>33060414641</v>
      </c>
      <c r="K59" s="183">
        <v>35</v>
      </c>
      <c r="M59" s="9"/>
      <c r="P59" s="9"/>
      <c r="S59" s="9"/>
      <c r="V59" s="9"/>
      <c r="Y59" s="9"/>
    </row>
    <row r="60" spans="1:25" x14ac:dyDescent="0.25">
      <c r="A60" s="164">
        <v>33062562859</v>
      </c>
      <c r="B60" s="183">
        <v>1</v>
      </c>
      <c r="D60" s="164">
        <v>33060414693</v>
      </c>
      <c r="E60" s="183">
        <v>1</v>
      </c>
      <c r="F60" s="13"/>
      <c r="G60" s="164">
        <v>33060414693</v>
      </c>
      <c r="H60" s="183">
        <v>6</v>
      </c>
      <c r="J60" s="164">
        <v>33060414693</v>
      </c>
      <c r="K60" s="183">
        <v>6</v>
      </c>
      <c r="M60" s="9"/>
      <c r="P60" s="9"/>
      <c r="S60" s="9"/>
      <c r="V60" s="9"/>
      <c r="Y60" s="9"/>
    </row>
    <row r="61" spans="1:25" x14ac:dyDescent="0.25">
      <c r="A61" s="164">
        <v>33062562860</v>
      </c>
      <c r="B61" s="183">
        <v>1</v>
      </c>
      <c r="D61" s="164">
        <v>33060424258</v>
      </c>
      <c r="E61" s="183">
        <v>6</v>
      </c>
      <c r="F61" s="13"/>
      <c r="G61" s="164">
        <v>33060424258</v>
      </c>
      <c r="H61" s="183">
        <v>6</v>
      </c>
      <c r="J61" s="164">
        <v>33060424258</v>
      </c>
      <c r="K61" s="183">
        <v>6</v>
      </c>
      <c r="M61" s="9"/>
      <c r="P61" s="9"/>
      <c r="S61" s="9"/>
      <c r="V61" s="9"/>
      <c r="Y61" s="9"/>
    </row>
    <row r="62" spans="1:25" x14ac:dyDescent="0.25">
      <c r="A62" s="164">
        <v>33062562887</v>
      </c>
      <c r="B62" s="183">
        <v>1</v>
      </c>
      <c r="D62" s="164">
        <v>33060424467</v>
      </c>
      <c r="E62" s="183">
        <v>20</v>
      </c>
      <c r="F62" s="13"/>
      <c r="G62" s="164">
        <v>33060424467</v>
      </c>
      <c r="H62" s="183">
        <v>35</v>
      </c>
      <c r="J62" s="164">
        <v>33060424467</v>
      </c>
      <c r="K62" s="183">
        <v>66</v>
      </c>
      <c r="M62" s="9"/>
      <c r="P62" s="9"/>
      <c r="S62" s="9"/>
      <c r="V62" s="9"/>
      <c r="Y62" s="9"/>
    </row>
    <row r="63" spans="1:25" x14ac:dyDescent="0.25">
      <c r="A63" s="164">
        <v>33063063464</v>
      </c>
      <c r="B63" s="183">
        <v>20</v>
      </c>
      <c r="D63" s="164">
        <v>33060454137</v>
      </c>
      <c r="E63" s="183">
        <v>6</v>
      </c>
      <c r="F63" s="13"/>
      <c r="G63" s="164">
        <v>33060454137</v>
      </c>
      <c r="H63" s="183">
        <v>7</v>
      </c>
      <c r="J63" s="164">
        <v>33060454137</v>
      </c>
      <c r="K63" s="183">
        <v>13</v>
      </c>
      <c r="M63" s="9"/>
      <c r="P63" s="9"/>
      <c r="S63" s="9"/>
      <c r="V63" s="9"/>
      <c r="Y63" s="9"/>
    </row>
    <row r="64" spans="1:25" x14ac:dyDescent="0.25">
      <c r="A64" s="164">
        <v>33063063465</v>
      </c>
      <c r="B64" s="183">
        <v>20</v>
      </c>
      <c r="D64" s="164">
        <v>33060460535</v>
      </c>
      <c r="E64" s="183">
        <v>20</v>
      </c>
      <c r="F64" s="13"/>
      <c r="G64" s="164">
        <v>33060460535</v>
      </c>
      <c r="H64" s="183">
        <v>30</v>
      </c>
      <c r="J64" s="164">
        <v>33060460535</v>
      </c>
      <c r="K64" s="183">
        <v>30</v>
      </c>
      <c r="M64" s="9"/>
      <c r="P64" s="9"/>
      <c r="S64" s="9"/>
      <c r="V64" s="9"/>
      <c r="Y64" s="9"/>
    </row>
    <row r="65" spans="1:25" x14ac:dyDescent="0.25">
      <c r="A65" s="164">
        <v>33063063466</v>
      </c>
      <c r="B65" s="183">
        <v>20</v>
      </c>
      <c r="D65" s="164">
        <v>33060461187</v>
      </c>
      <c r="E65" s="183">
        <v>10</v>
      </c>
      <c r="F65" s="13"/>
      <c r="G65" s="164">
        <v>33060461187</v>
      </c>
      <c r="H65" s="183">
        <v>16</v>
      </c>
      <c r="J65" s="164">
        <v>33060461187</v>
      </c>
      <c r="K65" s="183">
        <v>28</v>
      </c>
      <c r="M65" s="9"/>
      <c r="P65" s="9"/>
      <c r="S65" s="9"/>
      <c r="V65" s="9"/>
      <c r="Y65" s="9"/>
    </row>
    <row r="66" spans="1:25" x14ac:dyDescent="0.25">
      <c r="A66" s="164">
        <v>33063063472</v>
      </c>
      <c r="B66" s="183">
        <v>20</v>
      </c>
      <c r="D66" s="164">
        <v>33060461592</v>
      </c>
      <c r="E66" s="183">
        <v>1</v>
      </c>
      <c r="F66" s="13"/>
      <c r="G66" s="164">
        <v>33060461592</v>
      </c>
      <c r="H66" s="183">
        <v>1</v>
      </c>
      <c r="J66" s="164">
        <v>33060461592</v>
      </c>
      <c r="K66" s="183">
        <v>6</v>
      </c>
      <c r="M66" s="9"/>
      <c r="P66" s="9"/>
      <c r="S66" s="9"/>
      <c r="V66" s="9"/>
      <c r="Y66" s="9"/>
    </row>
    <row r="67" spans="1:25" x14ac:dyDescent="0.25">
      <c r="A67" s="164">
        <v>33063063474</v>
      </c>
      <c r="B67" s="183">
        <v>6</v>
      </c>
      <c r="D67" s="164">
        <v>33060464908</v>
      </c>
      <c r="E67" s="183">
        <v>3</v>
      </c>
      <c r="F67" s="13"/>
      <c r="G67" s="164">
        <v>33060464908</v>
      </c>
      <c r="H67" s="183">
        <v>3</v>
      </c>
      <c r="J67" s="164">
        <v>33060464908</v>
      </c>
      <c r="K67" s="183">
        <v>3</v>
      </c>
      <c r="M67" s="9"/>
      <c r="P67" s="9"/>
      <c r="S67" s="9"/>
      <c r="V67" s="9"/>
      <c r="Y67" s="9"/>
    </row>
    <row r="68" spans="1:25" x14ac:dyDescent="0.25">
      <c r="A68" s="164">
        <v>33063063475</v>
      </c>
      <c r="B68" s="183">
        <v>12</v>
      </c>
      <c r="D68" s="164">
        <v>33060514928</v>
      </c>
      <c r="E68" s="183">
        <v>20</v>
      </c>
      <c r="F68" s="13"/>
      <c r="G68" s="164">
        <v>33060514928</v>
      </c>
      <c r="H68" s="183">
        <v>59</v>
      </c>
      <c r="J68" s="164">
        <v>33060514928</v>
      </c>
      <c r="K68" s="183">
        <v>184</v>
      </c>
      <c r="M68" s="9"/>
      <c r="P68" s="9"/>
      <c r="S68" s="9"/>
      <c r="V68" s="9"/>
      <c r="Y68" s="9"/>
    </row>
    <row r="69" spans="1:25" x14ac:dyDescent="0.25">
      <c r="A69" s="164">
        <v>33063063482</v>
      </c>
      <c r="B69" s="183">
        <v>38</v>
      </c>
      <c r="D69" s="164">
        <v>33060514990</v>
      </c>
      <c r="E69" s="183">
        <v>150</v>
      </c>
      <c r="F69" s="13"/>
      <c r="G69" s="164">
        <v>33060514990</v>
      </c>
      <c r="H69" s="183">
        <v>235</v>
      </c>
      <c r="J69" s="164">
        <v>33060514990</v>
      </c>
      <c r="K69" s="183">
        <v>1987</v>
      </c>
      <c r="M69" s="9"/>
      <c r="P69" s="9"/>
      <c r="S69" s="9"/>
      <c r="V69" s="9"/>
      <c r="Y69" s="9"/>
    </row>
    <row r="70" spans="1:25" x14ac:dyDescent="0.25">
      <c r="A70" s="164">
        <v>33063063484</v>
      </c>
      <c r="B70" s="183">
        <v>4</v>
      </c>
      <c r="D70" s="164">
        <v>33060560521</v>
      </c>
      <c r="E70" s="183">
        <v>12</v>
      </c>
      <c r="F70" s="13"/>
      <c r="G70" s="164">
        <v>33060560521</v>
      </c>
      <c r="H70" s="183">
        <v>22</v>
      </c>
      <c r="J70" s="164">
        <v>33060560521</v>
      </c>
      <c r="K70" s="183">
        <v>282</v>
      </c>
      <c r="M70" s="9"/>
      <c r="P70" s="9"/>
      <c r="S70" s="9"/>
      <c r="V70" s="9"/>
      <c r="Y70" s="9"/>
    </row>
    <row r="71" spans="1:25" x14ac:dyDescent="0.25">
      <c r="A71" s="164">
        <v>33063063490</v>
      </c>
      <c r="B71" s="183">
        <v>40</v>
      </c>
      <c r="D71" s="164">
        <v>33060560523</v>
      </c>
      <c r="E71" s="183">
        <v>10</v>
      </c>
      <c r="F71" s="13"/>
      <c r="G71" s="164">
        <v>33060560523</v>
      </c>
      <c r="H71" s="183">
        <v>20</v>
      </c>
      <c r="J71" s="164">
        <v>33060560523</v>
      </c>
      <c r="K71" s="183">
        <v>25</v>
      </c>
      <c r="M71" s="9"/>
      <c r="P71" s="9"/>
      <c r="S71" s="9"/>
      <c r="V71" s="9"/>
      <c r="Y71" s="9"/>
    </row>
    <row r="72" spans="1:25" x14ac:dyDescent="0.25">
      <c r="A72" s="164">
        <v>33063063496</v>
      </c>
      <c r="B72" s="183">
        <v>10</v>
      </c>
      <c r="D72" s="164">
        <v>33060563228</v>
      </c>
      <c r="E72" s="183">
        <v>40</v>
      </c>
      <c r="F72" s="13"/>
      <c r="G72" s="164">
        <v>33060563228</v>
      </c>
      <c r="H72" s="183">
        <v>118</v>
      </c>
      <c r="J72" s="164">
        <v>33060563228</v>
      </c>
      <c r="K72" s="183">
        <v>138</v>
      </c>
      <c r="M72" s="9"/>
      <c r="P72" s="9"/>
      <c r="S72" s="9"/>
      <c r="V72" s="9"/>
      <c r="Y72" s="9"/>
    </row>
    <row r="73" spans="1:25" x14ac:dyDescent="0.25">
      <c r="A73" s="164">
        <v>33063063498</v>
      </c>
      <c r="B73" s="183">
        <v>30</v>
      </c>
      <c r="D73" s="164">
        <v>33060714919</v>
      </c>
      <c r="E73" s="183">
        <v>2</v>
      </c>
      <c r="F73" s="13"/>
      <c r="G73" s="164">
        <v>33060714919</v>
      </c>
      <c r="H73" s="183">
        <v>2</v>
      </c>
      <c r="J73" s="164">
        <v>33060714919</v>
      </c>
      <c r="K73" s="183">
        <v>453</v>
      </c>
      <c r="M73" s="9"/>
      <c r="P73" s="9"/>
      <c r="S73" s="9"/>
      <c r="V73" s="9"/>
      <c r="Y73" s="9"/>
    </row>
    <row r="74" spans="1:25" x14ac:dyDescent="0.25">
      <c r="A74" s="164">
        <v>33063063505</v>
      </c>
      <c r="B74" s="183">
        <v>40</v>
      </c>
      <c r="D74" s="164">
        <v>33060754032</v>
      </c>
      <c r="E74" s="183">
        <v>37</v>
      </c>
      <c r="F74" s="13"/>
      <c r="G74" s="164">
        <v>33060754032</v>
      </c>
      <c r="H74" s="183">
        <v>48</v>
      </c>
      <c r="J74" s="164">
        <v>33060754032</v>
      </c>
      <c r="K74" s="183">
        <v>173</v>
      </c>
      <c r="M74" s="9"/>
      <c r="P74" s="9"/>
      <c r="S74" s="9"/>
      <c r="V74" s="9"/>
      <c r="Y74" s="9"/>
    </row>
    <row r="75" spans="1:25" x14ac:dyDescent="0.25">
      <c r="A75" s="164">
        <v>33063063506</v>
      </c>
      <c r="B75" s="183">
        <v>40</v>
      </c>
      <c r="D75" s="164">
        <v>33060763223</v>
      </c>
      <c r="E75" s="183">
        <v>75</v>
      </c>
      <c r="F75" s="13"/>
      <c r="G75" s="164">
        <v>33060763223</v>
      </c>
      <c r="H75" s="183">
        <v>101</v>
      </c>
      <c r="J75" s="164">
        <v>33060763223</v>
      </c>
      <c r="K75" s="183">
        <v>401</v>
      </c>
      <c r="M75" s="9"/>
      <c r="P75" s="9"/>
      <c r="S75" s="9"/>
      <c r="V75" s="9"/>
      <c r="Y75" s="9"/>
    </row>
    <row r="76" spans="1:25" x14ac:dyDescent="0.25">
      <c r="A76" s="164">
        <v>33063063507</v>
      </c>
      <c r="B76" s="183">
        <v>40</v>
      </c>
      <c r="D76" s="164">
        <v>33060763224</v>
      </c>
      <c r="E76" s="183">
        <v>48</v>
      </c>
      <c r="F76" s="13"/>
      <c r="G76" s="164">
        <v>33060763224</v>
      </c>
      <c r="H76" s="183">
        <v>263</v>
      </c>
      <c r="J76" s="164">
        <v>33060763224</v>
      </c>
      <c r="K76" s="183">
        <v>425</v>
      </c>
      <c r="M76" s="9"/>
      <c r="P76" s="9"/>
      <c r="S76" s="9"/>
      <c r="V76" s="9"/>
      <c r="Y76" s="9"/>
    </row>
    <row r="77" spans="1:25" x14ac:dyDescent="0.25">
      <c r="A77" s="164">
        <v>33063063508</v>
      </c>
      <c r="B77" s="183">
        <v>10</v>
      </c>
      <c r="D77" s="164">
        <v>33062062712</v>
      </c>
      <c r="E77" s="183">
        <v>24</v>
      </c>
      <c r="F77" s="13"/>
      <c r="G77" s="164">
        <v>33062062712</v>
      </c>
      <c r="H77" s="183">
        <v>24</v>
      </c>
      <c r="J77" s="164">
        <v>33062062712</v>
      </c>
      <c r="K77" s="183">
        <v>41</v>
      </c>
      <c r="M77" s="9"/>
      <c r="P77" s="9"/>
      <c r="S77" s="9"/>
      <c r="V77" s="9"/>
      <c r="Y77" s="9"/>
    </row>
    <row r="78" spans="1:25" x14ac:dyDescent="0.25">
      <c r="A78" s="164">
        <v>33063063509</v>
      </c>
      <c r="B78" s="183">
        <v>40</v>
      </c>
      <c r="D78" s="164">
        <v>33062062713</v>
      </c>
      <c r="E78" s="183">
        <v>20</v>
      </c>
      <c r="F78" s="13"/>
      <c r="G78" s="164">
        <v>33062062713</v>
      </c>
      <c r="H78" s="183">
        <v>28</v>
      </c>
      <c r="J78" s="164">
        <v>33062062713</v>
      </c>
      <c r="K78" s="183">
        <v>52</v>
      </c>
      <c r="M78" s="9"/>
      <c r="P78" s="9"/>
      <c r="S78" s="9"/>
      <c r="V78" s="9"/>
      <c r="Y78" s="9"/>
    </row>
    <row r="79" spans="1:25" x14ac:dyDescent="0.25">
      <c r="A79" s="164">
        <v>33063063510</v>
      </c>
      <c r="B79" s="183">
        <v>40</v>
      </c>
      <c r="D79" s="164">
        <v>33062062714</v>
      </c>
      <c r="E79" s="183">
        <v>35</v>
      </c>
      <c r="F79" s="13"/>
      <c r="G79" s="164">
        <v>33062062714</v>
      </c>
      <c r="H79" s="183">
        <v>42</v>
      </c>
      <c r="J79" s="164">
        <v>33062062714</v>
      </c>
      <c r="K79" s="183">
        <v>63</v>
      </c>
      <c r="M79" s="9"/>
      <c r="P79" s="9"/>
      <c r="S79" s="9"/>
      <c r="V79" s="9"/>
      <c r="Y79" s="9"/>
    </row>
    <row r="80" spans="1:25" x14ac:dyDescent="0.25">
      <c r="A80" s="164">
        <v>33063063511</v>
      </c>
      <c r="B80" s="183">
        <v>40</v>
      </c>
      <c r="D80" s="164">
        <v>33062062715</v>
      </c>
      <c r="E80" s="183">
        <v>31</v>
      </c>
      <c r="F80" s="13"/>
      <c r="G80" s="164">
        <v>33062062715</v>
      </c>
      <c r="H80" s="183">
        <v>47</v>
      </c>
      <c r="J80" s="164">
        <v>33062062715</v>
      </c>
      <c r="K80" s="183">
        <v>73</v>
      </c>
      <c r="M80" s="9"/>
      <c r="P80" s="9"/>
      <c r="S80" s="9"/>
      <c r="V80" s="9"/>
      <c r="Y80" s="9"/>
    </row>
    <row r="81" spans="1:25" x14ac:dyDescent="0.25">
      <c r="A81" s="164">
        <v>33063063512</v>
      </c>
      <c r="B81" s="183">
        <v>40</v>
      </c>
      <c r="D81" s="164">
        <v>33062062716</v>
      </c>
      <c r="E81" s="183">
        <v>9</v>
      </c>
      <c r="F81" s="13"/>
      <c r="G81" s="164">
        <v>33062062716</v>
      </c>
      <c r="H81" s="183">
        <v>21</v>
      </c>
      <c r="J81" s="164">
        <v>33062062716</v>
      </c>
      <c r="K81" s="183">
        <v>31</v>
      </c>
      <c r="M81" s="9"/>
      <c r="P81" s="9"/>
      <c r="S81" s="9"/>
      <c r="V81" s="9"/>
      <c r="Y81" s="9"/>
    </row>
    <row r="82" spans="1:25" x14ac:dyDescent="0.25">
      <c r="A82" s="164">
        <v>33063063513</v>
      </c>
      <c r="B82" s="183">
        <v>46</v>
      </c>
      <c r="D82" s="164">
        <v>33062062718</v>
      </c>
      <c r="E82" s="183">
        <v>12</v>
      </c>
      <c r="F82" s="13"/>
      <c r="G82" s="164">
        <v>33062062718</v>
      </c>
      <c r="H82" s="183">
        <v>34</v>
      </c>
      <c r="J82" s="164">
        <v>33062062718</v>
      </c>
      <c r="K82" s="183">
        <v>62</v>
      </c>
      <c r="M82" s="9"/>
      <c r="P82" s="9"/>
      <c r="S82" s="9"/>
      <c r="V82" s="9"/>
      <c r="Y82" s="9"/>
    </row>
    <row r="83" spans="1:25" x14ac:dyDescent="0.25">
      <c r="A83" s="164">
        <v>33063063520</v>
      </c>
      <c r="B83" s="182">
        <v>30</v>
      </c>
      <c r="D83" s="164">
        <v>33062062720</v>
      </c>
      <c r="E83" s="183">
        <v>4</v>
      </c>
      <c r="F83" s="13"/>
      <c r="G83" s="164">
        <v>33062062720</v>
      </c>
      <c r="H83" s="183">
        <v>4</v>
      </c>
      <c r="J83" s="164">
        <v>33062062720</v>
      </c>
      <c r="K83" s="183">
        <v>9</v>
      </c>
      <c r="M83" s="9"/>
      <c r="P83" s="9"/>
      <c r="S83" s="9"/>
      <c r="V83" s="9"/>
      <c r="Y83" s="9"/>
    </row>
    <row r="84" spans="1:25" x14ac:dyDescent="0.25">
      <c r="A84" s="159">
        <v>33063063926</v>
      </c>
      <c r="B84" s="182">
        <v>1</v>
      </c>
      <c r="D84" s="164">
        <v>33062062722</v>
      </c>
      <c r="E84" s="183">
        <v>20</v>
      </c>
      <c r="F84" s="13"/>
      <c r="G84" s="164">
        <v>33062062722</v>
      </c>
      <c r="H84" s="183">
        <v>44</v>
      </c>
      <c r="J84" s="164">
        <v>33062062722</v>
      </c>
      <c r="K84" s="183">
        <v>272</v>
      </c>
      <c r="M84" s="9"/>
      <c r="P84" s="9"/>
      <c r="S84" s="9"/>
      <c r="V84" s="9"/>
      <c r="Y84" s="9"/>
    </row>
    <row r="85" spans="1:25" x14ac:dyDescent="0.25">
      <c r="A85" s="159">
        <v>33063063927</v>
      </c>
      <c r="B85" s="182">
        <v>1</v>
      </c>
      <c r="D85" s="164">
        <v>33062062735</v>
      </c>
      <c r="E85" s="183">
        <v>5</v>
      </c>
      <c r="F85" s="13"/>
      <c r="G85" s="164">
        <v>33062062735</v>
      </c>
      <c r="H85" s="183">
        <v>9</v>
      </c>
      <c r="J85" s="164">
        <v>33062062735</v>
      </c>
      <c r="K85" s="183">
        <v>9</v>
      </c>
      <c r="M85" s="9"/>
      <c r="P85" s="9"/>
      <c r="S85" s="9"/>
      <c r="V85" s="9"/>
      <c r="Y85" s="9"/>
    </row>
    <row r="86" spans="1:25" x14ac:dyDescent="0.25">
      <c r="A86" s="159">
        <v>33063063928</v>
      </c>
      <c r="B86" s="182">
        <v>1</v>
      </c>
      <c r="D86" s="164">
        <v>33062062737</v>
      </c>
      <c r="E86" s="183">
        <v>31</v>
      </c>
      <c r="F86" s="13"/>
      <c r="G86" s="164">
        <v>33062062737</v>
      </c>
      <c r="H86" s="183">
        <v>54</v>
      </c>
      <c r="J86" s="164">
        <v>33062062737</v>
      </c>
      <c r="K86" s="183">
        <v>68</v>
      </c>
      <c r="M86" s="9"/>
      <c r="P86" s="9"/>
      <c r="S86" s="9"/>
      <c r="V86" s="9"/>
      <c r="Y86" s="9"/>
    </row>
    <row r="87" spans="1:25" x14ac:dyDescent="0.25">
      <c r="A87" s="159">
        <v>33063063931</v>
      </c>
      <c r="B87" s="182">
        <v>2</v>
      </c>
      <c r="D87" s="164">
        <v>33062062738</v>
      </c>
      <c r="E87" s="183">
        <v>4</v>
      </c>
      <c r="F87" s="13"/>
      <c r="G87" s="164">
        <v>33062062738</v>
      </c>
      <c r="H87" s="183">
        <v>4</v>
      </c>
      <c r="J87" s="164">
        <v>33062062738</v>
      </c>
      <c r="K87" s="183">
        <v>13</v>
      </c>
      <c r="M87" s="9"/>
      <c r="P87" s="9"/>
      <c r="S87" s="9"/>
      <c r="V87" s="9"/>
      <c r="Y87" s="9"/>
    </row>
    <row r="88" spans="1:25" x14ac:dyDescent="0.25">
      <c r="A88" s="159">
        <v>33070114126</v>
      </c>
      <c r="B88" s="182">
        <v>128</v>
      </c>
      <c r="D88" s="164">
        <v>33062063024</v>
      </c>
      <c r="E88" s="183">
        <v>8</v>
      </c>
      <c r="F88" s="13"/>
      <c r="G88" s="164">
        <v>33062063024</v>
      </c>
      <c r="H88" s="183">
        <v>22</v>
      </c>
      <c r="J88" s="164">
        <v>33062063024</v>
      </c>
      <c r="K88" s="183">
        <v>37</v>
      </c>
      <c r="M88" s="9"/>
      <c r="P88" s="9"/>
      <c r="S88" s="9"/>
      <c r="V88" s="9"/>
      <c r="Y88" s="9"/>
    </row>
    <row r="89" spans="1:25" x14ac:dyDescent="0.25">
      <c r="A89" s="159">
        <v>33070114788</v>
      </c>
      <c r="B89" s="182">
        <v>6</v>
      </c>
      <c r="D89" s="164">
        <v>33062063025</v>
      </c>
      <c r="E89" s="183">
        <v>3</v>
      </c>
      <c r="F89" s="13"/>
      <c r="G89" s="164">
        <v>33062063025</v>
      </c>
      <c r="H89" s="183">
        <v>5</v>
      </c>
      <c r="J89" s="164">
        <v>33062063025</v>
      </c>
      <c r="K89" s="183">
        <v>8</v>
      </c>
      <c r="M89" s="9"/>
      <c r="P89" s="9"/>
      <c r="S89" s="9"/>
      <c r="V89" s="9"/>
      <c r="Y89" s="9"/>
    </row>
    <row r="90" spans="1:25" x14ac:dyDescent="0.25">
      <c r="A90" s="159">
        <v>33070154053</v>
      </c>
      <c r="B90" s="182">
        <v>15</v>
      </c>
      <c r="D90" s="164">
        <v>33062063028</v>
      </c>
      <c r="E90" s="183">
        <v>9</v>
      </c>
      <c r="F90" s="13"/>
      <c r="G90" s="164">
        <v>33062063028</v>
      </c>
      <c r="H90" s="183">
        <v>41</v>
      </c>
      <c r="J90" s="164">
        <v>33062063028</v>
      </c>
      <c r="K90" s="183">
        <v>68</v>
      </c>
      <c r="M90" s="9"/>
      <c r="P90" s="9"/>
      <c r="S90" s="9"/>
      <c r="V90" s="9"/>
      <c r="Y90" s="9"/>
    </row>
    <row r="91" spans="1:25" x14ac:dyDescent="0.25">
      <c r="A91" s="159">
        <v>33070614012</v>
      </c>
      <c r="B91" s="182">
        <v>1</v>
      </c>
      <c r="D91" s="164">
        <v>33062063029</v>
      </c>
      <c r="E91" s="183">
        <v>12</v>
      </c>
      <c r="F91" s="13"/>
      <c r="G91" s="164">
        <v>33062063029</v>
      </c>
      <c r="H91" s="183">
        <v>37</v>
      </c>
      <c r="J91" s="164">
        <v>33062063029</v>
      </c>
      <c r="K91" s="183">
        <v>51</v>
      </c>
      <c r="M91" s="9"/>
      <c r="P91" s="9"/>
      <c r="S91" s="9"/>
      <c r="V91" s="9"/>
      <c r="Y91" s="9"/>
    </row>
    <row r="92" spans="1:25" x14ac:dyDescent="0.25">
      <c r="A92" s="159">
        <v>33070614015</v>
      </c>
      <c r="B92" s="182">
        <v>7</v>
      </c>
      <c r="D92" s="164">
        <v>33062063030</v>
      </c>
      <c r="E92" s="183">
        <v>5</v>
      </c>
      <c r="F92" s="13"/>
      <c r="G92" s="164">
        <v>33062063030</v>
      </c>
      <c r="H92" s="183">
        <v>12</v>
      </c>
      <c r="J92" s="164">
        <v>33062063030</v>
      </c>
      <c r="K92" s="183">
        <v>15</v>
      </c>
      <c r="M92" s="9"/>
      <c r="P92" s="9"/>
      <c r="S92" s="9"/>
      <c r="V92" s="9"/>
      <c r="Y92" s="9"/>
    </row>
    <row r="93" spans="1:25" x14ac:dyDescent="0.25">
      <c r="A93" s="159">
        <v>33070614016</v>
      </c>
      <c r="B93" s="182">
        <v>38</v>
      </c>
      <c r="D93" s="164">
        <v>33062063139</v>
      </c>
      <c r="E93" s="183">
        <v>57</v>
      </c>
      <c r="F93" s="13"/>
      <c r="G93" s="164">
        <v>33062063139</v>
      </c>
      <c r="H93" s="183">
        <v>96</v>
      </c>
      <c r="J93" s="164">
        <v>33062063139</v>
      </c>
      <c r="K93" s="183">
        <v>112</v>
      </c>
      <c r="M93" s="9"/>
      <c r="P93" s="9"/>
      <c r="S93" s="9"/>
      <c r="V93" s="9"/>
      <c r="Y93" s="9"/>
    </row>
    <row r="94" spans="1:25" x14ac:dyDescent="0.25">
      <c r="A94" s="159">
        <v>33070614019</v>
      </c>
      <c r="B94" s="182">
        <v>27</v>
      </c>
      <c r="D94" s="164">
        <v>33062063140</v>
      </c>
      <c r="E94" s="183">
        <v>5</v>
      </c>
      <c r="F94" s="13"/>
      <c r="G94" s="164">
        <v>33062063140</v>
      </c>
      <c r="H94" s="183">
        <v>9</v>
      </c>
      <c r="J94" s="164">
        <v>33062063140</v>
      </c>
      <c r="K94" s="183">
        <v>13</v>
      </c>
      <c r="M94" s="9"/>
      <c r="P94" s="9"/>
      <c r="S94" s="9"/>
      <c r="V94" s="9"/>
      <c r="Y94" s="9"/>
    </row>
    <row r="95" spans="1:25" x14ac:dyDescent="0.25">
      <c r="A95" s="159">
        <v>33070614021</v>
      </c>
      <c r="B95" s="182">
        <v>3</v>
      </c>
      <c r="D95" s="164">
        <v>33062063149</v>
      </c>
      <c r="E95" s="183">
        <v>5</v>
      </c>
      <c r="F95" s="13"/>
      <c r="G95" s="164">
        <v>33062063149</v>
      </c>
      <c r="H95" s="183">
        <v>11</v>
      </c>
      <c r="J95" s="164">
        <v>33062063149</v>
      </c>
      <c r="K95" s="183">
        <v>13</v>
      </c>
      <c r="M95" s="9"/>
      <c r="P95" s="9"/>
      <c r="S95" s="9"/>
      <c r="V95" s="9"/>
      <c r="Y95" s="9"/>
    </row>
    <row r="96" spans="1:25" x14ac:dyDescent="0.25">
      <c r="A96" s="159">
        <v>33070614022</v>
      </c>
      <c r="B96" s="182">
        <v>7</v>
      </c>
      <c r="D96" s="164">
        <v>33062063151</v>
      </c>
      <c r="E96" s="183">
        <v>3</v>
      </c>
      <c r="F96" s="13"/>
      <c r="G96" s="164">
        <v>33062063151</v>
      </c>
      <c r="H96" s="183">
        <v>12</v>
      </c>
      <c r="J96" s="164">
        <v>33062063151</v>
      </c>
      <c r="K96" s="183">
        <v>22</v>
      </c>
      <c r="M96" s="9"/>
      <c r="P96" s="9"/>
      <c r="S96" s="9"/>
      <c r="V96" s="9"/>
      <c r="Y96" s="9"/>
    </row>
    <row r="97" spans="1:25" x14ac:dyDescent="0.25">
      <c r="A97" s="159">
        <v>33070614023</v>
      </c>
      <c r="B97" s="182">
        <v>6</v>
      </c>
      <c r="D97" s="164">
        <v>33062063152</v>
      </c>
      <c r="E97" s="183">
        <v>1</v>
      </c>
      <c r="F97" s="13"/>
      <c r="G97" s="164">
        <v>33062063152</v>
      </c>
      <c r="H97" s="183">
        <v>2</v>
      </c>
      <c r="J97" s="164">
        <v>33062063152</v>
      </c>
      <c r="K97" s="183">
        <v>4</v>
      </c>
      <c r="M97" s="9"/>
      <c r="P97" s="9"/>
      <c r="S97" s="9"/>
      <c r="V97" s="9"/>
      <c r="Y97" s="9"/>
    </row>
    <row r="98" spans="1:25" x14ac:dyDescent="0.25">
      <c r="A98" s="159">
        <v>33070614024</v>
      </c>
      <c r="B98" s="182">
        <v>6</v>
      </c>
      <c r="D98" s="164">
        <v>33062064070</v>
      </c>
      <c r="E98" s="183">
        <v>5</v>
      </c>
      <c r="F98" s="13"/>
      <c r="G98" s="164">
        <v>33062064070</v>
      </c>
      <c r="H98" s="183">
        <v>15</v>
      </c>
      <c r="J98" s="164">
        <v>33062064070</v>
      </c>
      <c r="K98" s="183">
        <v>36</v>
      </c>
      <c r="M98" s="9"/>
      <c r="P98" s="9"/>
      <c r="S98" s="9"/>
      <c r="V98" s="9"/>
      <c r="Y98" s="9"/>
    </row>
    <row r="99" spans="1:25" x14ac:dyDescent="0.25">
      <c r="A99" s="159">
        <v>33070614026</v>
      </c>
      <c r="B99" s="182">
        <v>10</v>
      </c>
      <c r="D99" s="164">
        <v>33062064072</v>
      </c>
      <c r="E99" s="183">
        <v>9</v>
      </c>
      <c r="F99" s="13"/>
      <c r="G99" s="164">
        <v>33062064072</v>
      </c>
      <c r="H99" s="183">
        <v>10</v>
      </c>
      <c r="J99" s="164">
        <v>33062064072</v>
      </c>
      <c r="K99" s="183">
        <v>14</v>
      </c>
      <c r="M99" s="9"/>
      <c r="P99" s="9"/>
      <c r="S99" s="9"/>
      <c r="V99" s="9"/>
      <c r="Y99" s="9"/>
    </row>
    <row r="100" spans="1:25" x14ac:dyDescent="0.25">
      <c r="A100" s="159">
        <v>33070614028</v>
      </c>
      <c r="B100" s="182">
        <v>50</v>
      </c>
      <c r="D100" s="164">
        <v>33062064073</v>
      </c>
      <c r="E100" s="183">
        <v>1</v>
      </c>
      <c r="F100" s="13"/>
      <c r="G100" s="164">
        <v>33062064073</v>
      </c>
      <c r="H100" s="183">
        <v>1</v>
      </c>
      <c r="J100" s="164">
        <v>33062064073</v>
      </c>
      <c r="K100" s="183">
        <v>3</v>
      </c>
      <c r="M100" s="9"/>
      <c r="P100" s="9"/>
      <c r="S100" s="9"/>
      <c r="V100" s="9"/>
      <c r="Y100" s="9"/>
    </row>
    <row r="101" spans="1:25" x14ac:dyDescent="0.25">
      <c r="A101" s="159">
        <v>33070614030</v>
      </c>
      <c r="B101" s="182">
        <v>7</v>
      </c>
      <c r="D101" s="164">
        <v>33062064868</v>
      </c>
      <c r="E101" s="183">
        <v>2</v>
      </c>
      <c r="F101" s="13"/>
      <c r="G101" s="164">
        <v>33062064868</v>
      </c>
      <c r="H101" s="183">
        <v>2</v>
      </c>
      <c r="J101" s="164">
        <v>33062064868</v>
      </c>
      <c r="K101" s="183">
        <v>3</v>
      </c>
      <c r="M101" s="9"/>
      <c r="P101" s="9"/>
      <c r="S101" s="9"/>
      <c r="V101" s="9"/>
      <c r="Y101" s="9"/>
    </row>
    <row r="102" spans="1:25" x14ac:dyDescent="0.25">
      <c r="A102" s="159">
        <v>33070614716</v>
      </c>
      <c r="B102" s="182">
        <v>132</v>
      </c>
      <c r="D102" s="164">
        <v>33062065018</v>
      </c>
      <c r="E102" s="183">
        <v>1</v>
      </c>
      <c r="F102" s="13"/>
      <c r="G102" s="164">
        <v>33062065018</v>
      </c>
      <c r="H102" s="183">
        <v>1</v>
      </c>
      <c r="J102" s="164">
        <v>33062065018</v>
      </c>
      <c r="K102" s="183">
        <v>1</v>
      </c>
      <c r="M102" s="9"/>
      <c r="P102" s="9"/>
      <c r="S102" s="9"/>
      <c r="V102" s="9"/>
      <c r="Y102" s="9"/>
    </row>
    <row r="103" spans="1:25" x14ac:dyDescent="0.25">
      <c r="A103" s="159">
        <v>33070614717</v>
      </c>
      <c r="B103" s="182">
        <v>149</v>
      </c>
      <c r="D103" s="164">
        <v>33062065159</v>
      </c>
      <c r="E103" s="183">
        <v>2</v>
      </c>
      <c r="F103" s="13"/>
      <c r="G103" s="164">
        <v>33062065159</v>
      </c>
      <c r="H103" s="183">
        <v>2</v>
      </c>
      <c r="J103" s="164">
        <v>33062065159</v>
      </c>
      <c r="K103" s="183">
        <v>2</v>
      </c>
      <c r="M103" s="9"/>
      <c r="P103" s="9"/>
      <c r="S103" s="9"/>
      <c r="V103" s="9"/>
      <c r="Y103" s="9"/>
    </row>
    <row r="104" spans="1:25" x14ac:dyDescent="0.25">
      <c r="A104" s="159">
        <v>33070614718</v>
      </c>
      <c r="B104" s="182">
        <v>138</v>
      </c>
      <c r="D104" s="164">
        <v>33062162828</v>
      </c>
      <c r="E104" s="183">
        <v>7</v>
      </c>
      <c r="F104" s="13"/>
      <c r="G104" s="164">
        <v>33062162828</v>
      </c>
      <c r="H104" s="183">
        <v>11</v>
      </c>
      <c r="J104" s="164">
        <v>33062162828</v>
      </c>
      <c r="K104" s="183">
        <v>12</v>
      </c>
      <c r="M104" s="9"/>
      <c r="P104" s="9"/>
      <c r="S104" s="9"/>
      <c r="V104" s="9"/>
      <c r="Y104" s="9"/>
    </row>
    <row r="105" spans="1:25" x14ac:dyDescent="0.25">
      <c r="A105" s="159">
        <v>33070614719</v>
      </c>
      <c r="B105" s="182">
        <v>84</v>
      </c>
      <c r="D105" s="164">
        <v>33062162829</v>
      </c>
      <c r="E105" s="183">
        <v>2</v>
      </c>
      <c r="F105" s="13"/>
      <c r="G105" s="164">
        <v>33062162829</v>
      </c>
      <c r="H105" s="183">
        <v>6</v>
      </c>
      <c r="J105" s="164">
        <v>33062162829</v>
      </c>
      <c r="K105" s="183">
        <v>13</v>
      </c>
      <c r="M105" s="9"/>
      <c r="P105" s="9"/>
      <c r="S105" s="9"/>
      <c r="V105" s="9"/>
      <c r="Y105" s="9"/>
    </row>
    <row r="106" spans="1:25" x14ac:dyDescent="0.25">
      <c r="A106" s="159">
        <v>33070614720</v>
      </c>
      <c r="B106" s="182">
        <v>84</v>
      </c>
      <c r="D106" s="164">
        <v>33062162830</v>
      </c>
      <c r="E106" s="183">
        <v>2</v>
      </c>
      <c r="F106" s="13"/>
      <c r="G106" s="164">
        <v>33062162830</v>
      </c>
      <c r="H106" s="183">
        <v>4</v>
      </c>
      <c r="J106" s="164">
        <v>33062162830</v>
      </c>
      <c r="K106" s="183">
        <v>7</v>
      </c>
      <c r="M106" s="9"/>
      <c r="P106" s="9"/>
      <c r="S106" s="9"/>
      <c r="V106" s="9"/>
      <c r="Y106" s="9"/>
    </row>
    <row r="107" spans="1:25" x14ac:dyDescent="0.25">
      <c r="A107" s="159">
        <v>33070614721</v>
      </c>
      <c r="B107" s="182">
        <v>38</v>
      </c>
      <c r="D107" s="164">
        <v>33062262836</v>
      </c>
      <c r="E107" s="183">
        <v>1</v>
      </c>
      <c r="F107" s="13"/>
      <c r="G107" s="164">
        <v>33062262836</v>
      </c>
      <c r="H107" s="183">
        <v>2</v>
      </c>
      <c r="J107" s="164">
        <v>33062262836</v>
      </c>
      <c r="K107" s="183">
        <v>5</v>
      </c>
      <c r="M107" s="9"/>
      <c r="P107" s="9"/>
      <c r="S107" s="9"/>
      <c r="V107" s="9"/>
      <c r="Y107" s="9"/>
    </row>
    <row r="108" spans="1:25" x14ac:dyDescent="0.25">
      <c r="A108" s="159">
        <v>33070614722</v>
      </c>
      <c r="B108" s="182">
        <v>117</v>
      </c>
      <c r="D108" s="164">
        <v>33062362837</v>
      </c>
      <c r="E108" s="183">
        <v>9</v>
      </c>
      <c r="F108" s="13"/>
      <c r="G108" s="164">
        <v>33062362837</v>
      </c>
      <c r="H108" s="183">
        <v>12</v>
      </c>
      <c r="J108" s="164">
        <v>33062362837</v>
      </c>
      <c r="K108" s="183">
        <v>15</v>
      </c>
      <c r="M108" s="9"/>
      <c r="P108" s="9"/>
      <c r="S108" s="9"/>
      <c r="V108" s="9"/>
      <c r="Y108" s="9"/>
    </row>
    <row r="109" spans="1:25" x14ac:dyDescent="0.25">
      <c r="A109" s="159">
        <v>33070614723</v>
      </c>
      <c r="B109" s="182">
        <v>222</v>
      </c>
      <c r="D109" s="164">
        <v>33062362838</v>
      </c>
      <c r="E109" s="183">
        <v>2</v>
      </c>
      <c r="F109" s="13"/>
      <c r="G109" s="164">
        <v>33062362838</v>
      </c>
      <c r="H109" s="183">
        <v>8</v>
      </c>
      <c r="J109" s="164">
        <v>33062362838</v>
      </c>
      <c r="K109" s="183">
        <v>12</v>
      </c>
      <c r="M109" s="9"/>
      <c r="P109" s="9"/>
      <c r="S109" s="9"/>
      <c r="V109" s="9"/>
      <c r="Y109" s="9"/>
    </row>
    <row r="110" spans="1:25" x14ac:dyDescent="0.25">
      <c r="A110" s="159">
        <v>33070614724</v>
      </c>
      <c r="B110" s="182">
        <v>197</v>
      </c>
      <c r="D110" s="164">
        <v>33062362839</v>
      </c>
      <c r="E110" s="183">
        <v>5</v>
      </c>
      <c r="F110" s="13"/>
      <c r="G110" s="164">
        <v>33062362839</v>
      </c>
      <c r="H110" s="183">
        <v>8</v>
      </c>
      <c r="J110" s="164">
        <v>33062362839</v>
      </c>
      <c r="K110" s="183">
        <v>17</v>
      </c>
      <c r="M110" s="9"/>
      <c r="P110" s="9"/>
      <c r="S110" s="9"/>
      <c r="V110" s="9"/>
      <c r="Y110" s="9"/>
    </row>
    <row r="111" spans="1:25" x14ac:dyDescent="0.25">
      <c r="A111" s="159">
        <v>33070614727</v>
      </c>
      <c r="B111" s="182">
        <v>184</v>
      </c>
      <c r="D111" s="164">
        <v>33062362840</v>
      </c>
      <c r="E111" s="183">
        <v>2</v>
      </c>
      <c r="F111" s="13"/>
      <c r="G111" s="164">
        <v>33062362840</v>
      </c>
      <c r="H111" s="183">
        <v>2</v>
      </c>
      <c r="J111" s="164">
        <v>33062362840</v>
      </c>
      <c r="K111" s="183">
        <v>2</v>
      </c>
      <c r="M111" s="9"/>
      <c r="P111" s="9"/>
      <c r="S111" s="9"/>
      <c r="V111" s="9"/>
      <c r="Y111" s="9"/>
    </row>
    <row r="112" spans="1:25" x14ac:dyDescent="0.25">
      <c r="A112" s="159">
        <v>33070614729</v>
      </c>
      <c r="B112" s="182">
        <v>54</v>
      </c>
      <c r="D112" s="164">
        <v>33062362846</v>
      </c>
      <c r="E112" s="183">
        <v>6</v>
      </c>
      <c r="F112" s="13"/>
      <c r="G112" s="164">
        <v>33062362846</v>
      </c>
      <c r="H112" s="183">
        <v>6</v>
      </c>
      <c r="J112" s="164">
        <v>33062362846</v>
      </c>
      <c r="K112" s="183">
        <v>7</v>
      </c>
      <c r="M112" s="9"/>
      <c r="P112" s="9"/>
      <c r="S112" s="9"/>
      <c r="V112" s="9"/>
      <c r="Y112" s="9"/>
    </row>
    <row r="113" spans="1:25" x14ac:dyDescent="0.25">
      <c r="A113" s="159">
        <v>33070614730</v>
      </c>
      <c r="B113" s="182">
        <v>25</v>
      </c>
      <c r="D113" s="164">
        <v>33062364496</v>
      </c>
      <c r="E113" s="183">
        <v>1</v>
      </c>
      <c r="F113" s="13"/>
      <c r="G113" s="164">
        <v>33062364496</v>
      </c>
      <c r="H113" s="183">
        <v>1</v>
      </c>
      <c r="J113" s="164">
        <v>33062364496</v>
      </c>
      <c r="K113" s="183">
        <v>3</v>
      </c>
      <c r="M113" s="9"/>
      <c r="P113" s="9"/>
      <c r="S113" s="9"/>
      <c r="V113" s="9"/>
      <c r="Y113" s="9"/>
    </row>
    <row r="114" spans="1:25" x14ac:dyDescent="0.25">
      <c r="A114" s="159">
        <v>33070614732</v>
      </c>
      <c r="B114" s="182">
        <v>14</v>
      </c>
      <c r="D114" s="164">
        <v>33062364498</v>
      </c>
      <c r="E114" s="183">
        <v>3</v>
      </c>
      <c r="F114" s="13"/>
      <c r="G114" s="164">
        <v>33062364498</v>
      </c>
      <c r="H114" s="183">
        <v>6</v>
      </c>
      <c r="J114" s="164">
        <v>33062364498</v>
      </c>
      <c r="K114" s="183">
        <v>6</v>
      </c>
      <c r="M114" s="9"/>
      <c r="P114" s="9"/>
      <c r="S114" s="9"/>
      <c r="V114" s="9"/>
      <c r="Y114" s="9"/>
    </row>
    <row r="115" spans="1:25" x14ac:dyDescent="0.25">
      <c r="A115" s="159">
        <v>33070614733</v>
      </c>
      <c r="B115" s="182">
        <v>2</v>
      </c>
      <c r="D115" s="164">
        <v>33062562854</v>
      </c>
      <c r="E115" s="183">
        <v>1</v>
      </c>
      <c r="F115" s="13"/>
      <c r="G115" s="164">
        <v>33062562854</v>
      </c>
      <c r="H115" s="183">
        <v>1</v>
      </c>
      <c r="J115" s="164">
        <v>33062562854</v>
      </c>
      <c r="K115" s="183">
        <v>1</v>
      </c>
      <c r="M115" s="9"/>
      <c r="P115" s="9"/>
      <c r="S115" s="9"/>
      <c r="V115" s="9"/>
      <c r="Y115" s="9"/>
    </row>
    <row r="116" spans="1:25" x14ac:dyDescent="0.25">
      <c r="A116" s="159">
        <v>33070614735</v>
      </c>
      <c r="B116" s="182">
        <v>12</v>
      </c>
      <c r="D116" s="164">
        <v>33062562857</v>
      </c>
      <c r="E116" s="183">
        <v>2</v>
      </c>
      <c r="F116" s="13"/>
      <c r="G116" s="164">
        <v>33062562857</v>
      </c>
      <c r="H116" s="183">
        <v>2</v>
      </c>
      <c r="J116" s="164">
        <v>33062562857</v>
      </c>
      <c r="K116" s="183">
        <v>2</v>
      </c>
      <c r="M116" s="9"/>
      <c r="P116" s="9"/>
      <c r="S116" s="9"/>
      <c r="V116" s="9"/>
      <c r="Y116" s="9"/>
    </row>
    <row r="117" spans="1:25" x14ac:dyDescent="0.25">
      <c r="A117" s="159">
        <v>33070614741</v>
      </c>
      <c r="B117" s="182">
        <v>21</v>
      </c>
      <c r="D117" s="164">
        <v>33062562859</v>
      </c>
      <c r="E117" s="183">
        <v>1</v>
      </c>
      <c r="F117" s="13"/>
      <c r="G117" s="164">
        <v>33062562859</v>
      </c>
      <c r="H117" s="183">
        <v>2</v>
      </c>
      <c r="J117" s="164">
        <v>33062562859</v>
      </c>
      <c r="K117" s="183">
        <v>2</v>
      </c>
      <c r="M117" s="9"/>
      <c r="P117" s="9"/>
      <c r="S117" s="9"/>
      <c r="V117" s="9"/>
      <c r="Y117" s="9"/>
    </row>
    <row r="118" spans="1:25" x14ac:dyDescent="0.25">
      <c r="A118" s="159">
        <v>33070614742</v>
      </c>
      <c r="B118" s="182">
        <v>62</v>
      </c>
      <c r="D118" s="164">
        <v>33062562860</v>
      </c>
      <c r="E118" s="183">
        <v>3</v>
      </c>
      <c r="F118" s="13"/>
      <c r="G118" s="164">
        <v>33062562860</v>
      </c>
      <c r="H118" s="183">
        <v>3</v>
      </c>
      <c r="J118" s="164">
        <v>33062562860</v>
      </c>
      <c r="K118" s="183">
        <v>3</v>
      </c>
      <c r="M118" s="9"/>
      <c r="P118" s="9"/>
      <c r="S118" s="9"/>
      <c r="V118" s="9"/>
      <c r="Y118" s="9"/>
    </row>
    <row r="119" spans="1:25" x14ac:dyDescent="0.25">
      <c r="A119" s="159">
        <v>33070614744</v>
      </c>
      <c r="B119" s="182">
        <v>536</v>
      </c>
      <c r="D119" s="164">
        <v>33062562887</v>
      </c>
      <c r="E119" s="183">
        <v>1</v>
      </c>
      <c r="F119" s="13"/>
      <c r="G119" s="164">
        <v>33062562887</v>
      </c>
      <c r="H119" s="183">
        <v>2</v>
      </c>
      <c r="J119" s="164">
        <v>33062562887</v>
      </c>
      <c r="K119" s="183">
        <v>5</v>
      </c>
      <c r="M119" s="9"/>
      <c r="P119" s="9"/>
      <c r="S119" s="9"/>
      <c r="V119" s="9"/>
      <c r="Y119" s="9"/>
    </row>
    <row r="120" spans="1:25" x14ac:dyDescent="0.25">
      <c r="A120" s="159">
        <v>33070614745</v>
      </c>
      <c r="B120" s="182">
        <v>106</v>
      </c>
      <c r="D120" s="164">
        <v>33062562888</v>
      </c>
      <c r="E120" s="183">
        <v>1</v>
      </c>
      <c r="F120" s="13"/>
      <c r="G120" s="164">
        <v>33062562888</v>
      </c>
      <c r="H120" s="183">
        <v>1</v>
      </c>
      <c r="J120" s="164">
        <v>33062562888</v>
      </c>
      <c r="K120" s="183">
        <v>1</v>
      </c>
      <c r="M120" s="9"/>
      <c r="P120" s="9"/>
      <c r="S120" s="9"/>
      <c r="V120" s="9"/>
      <c r="Y120" s="9"/>
    </row>
    <row r="121" spans="1:25" x14ac:dyDescent="0.25">
      <c r="A121" s="159">
        <v>33070614748</v>
      </c>
      <c r="B121" s="182">
        <v>12</v>
      </c>
      <c r="D121" s="164">
        <v>33062562891</v>
      </c>
      <c r="E121" s="183">
        <v>20</v>
      </c>
      <c r="F121" s="13"/>
      <c r="G121" s="164">
        <v>33062562891</v>
      </c>
      <c r="H121" s="183">
        <v>21</v>
      </c>
      <c r="J121" s="164">
        <v>33062562891</v>
      </c>
      <c r="K121" s="183">
        <v>61</v>
      </c>
      <c r="M121" s="9"/>
      <c r="P121" s="9"/>
      <c r="S121" s="9"/>
      <c r="V121" s="9"/>
      <c r="Y121" s="9"/>
    </row>
    <row r="122" spans="1:25" x14ac:dyDescent="0.25">
      <c r="A122" s="159">
        <v>33070614749</v>
      </c>
      <c r="B122" s="182">
        <v>6</v>
      </c>
      <c r="D122" s="164">
        <v>33062562892</v>
      </c>
      <c r="E122" s="183">
        <v>20</v>
      </c>
      <c r="F122" s="13"/>
      <c r="G122" s="164">
        <v>33062562892</v>
      </c>
      <c r="H122" s="183">
        <v>20</v>
      </c>
      <c r="J122" s="164">
        <v>33062562892</v>
      </c>
      <c r="K122" s="183">
        <v>60</v>
      </c>
      <c r="M122" s="9"/>
      <c r="P122" s="9"/>
      <c r="S122" s="9"/>
      <c r="V122" s="9"/>
      <c r="Y122" s="9"/>
    </row>
    <row r="123" spans="1:25" x14ac:dyDescent="0.25">
      <c r="A123" s="159">
        <v>33070614750</v>
      </c>
      <c r="B123" s="182">
        <v>130</v>
      </c>
      <c r="D123" s="164">
        <v>33062562893</v>
      </c>
      <c r="E123" s="183">
        <v>50</v>
      </c>
      <c r="F123" s="13"/>
      <c r="G123" s="164">
        <v>33062562893</v>
      </c>
      <c r="H123" s="183">
        <v>50</v>
      </c>
      <c r="J123" s="164">
        <v>33062562893</v>
      </c>
      <c r="K123" s="183">
        <v>90</v>
      </c>
      <c r="M123" s="9"/>
      <c r="P123" s="9"/>
      <c r="S123" s="9"/>
      <c r="V123" s="9"/>
      <c r="Y123" s="9"/>
    </row>
    <row r="124" spans="1:25" x14ac:dyDescent="0.25">
      <c r="A124" s="159">
        <v>33070614751</v>
      </c>
      <c r="B124" s="182">
        <v>48</v>
      </c>
      <c r="D124" s="164">
        <v>33062562894</v>
      </c>
      <c r="E124" s="183">
        <v>50</v>
      </c>
      <c r="F124" s="13"/>
      <c r="G124" s="164">
        <v>33062562894</v>
      </c>
      <c r="H124" s="183">
        <v>50</v>
      </c>
      <c r="J124" s="164">
        <v>33062562894</v>
      </c>
      <c r="K124" s="183">
        <v>90</v>
      </c>
      <c r="M124" s="9"/>
      <c r="P124" s="9"/>
      <c r="S124" s="9"/>
      <c r="V124" s="9"/>
      <c r="Y124" s="9"/>
    </row>
    <row r="125" spans="1:25" x14ac:dyDescent="0.25">
      <c r="A125" s="159">
        <v>33070614752</v>
      </c>
      <c r="B125" s="182">
        <v>6</v>
      </c>
      <c r="D125" s="164">
        <v>33062562896</v>
      </c>
      <c r="E125" s="183">
        <v>10</v>
      </c>
      <c r="F125" s="13"/>
      <c r="G125" s="164">
        <v>33062562896</v>
      </c>
      <c r="H125" s="183">
        <v>10</v>
      </c>
      <c r="J125" s="164">
        <v>33062562896</v>
      </c>
      <c r="K125" s="183">
        <v>50</v>
      </c>
      <c r="M125" s="9"/>
      <c r="P125" s="9"/>
      <c r="S125" s="9"/>
      <c r="V125" s="9"/>
      <c r="Y125" s="9"/>
    </row>
    <row r="126" spans="1:25" x14ac:dyDescent="0.25">
      <c r="A126" s="159">
        <v>33070614756</v>
      </c>
      <c r="B126" s="182">
        <v>55</v>
      </c>
      <c r="D126" s="164">
        <v>33062562897</v>
      </c>
      <c r="E126" s="183">
        <v>10</v>
      </c>
      <c r="F126" s="13"/>
      <c r="G126" s="164">
        <v>33062562897</v>
      </c>
      <c r="H126" s="183">
        <v>10</v>
      </c>
      <c r="J126" s="164">
        <v>33062562897</v>
      </c>
      <c r="K126" s="183">
        <v>50</v>
      </c>
      <c r="M126" s="9"/>
      <c r="P126" s="9"/>
      <c r="S126" s="9"/>
      <c r="V126" s="9"/>
      <c r="Y126" s="9"/>
    </row>
    <row r="127" spans="1:25" x14ac:dyDescent="0.25">
      <c r="A127" s="159">
        <v>33070614757</v>
      </c>
      <c r="B127" s="182">
        <v>18</v>
      </c>
      <c r="D127" s="164">
        <v>33062562900</v>
      </c>
      <c r="E127" s="183">
        <v>50</v>
      </c>
      <c r="F127" s="13"/>
      <c r="G127" s="164">
        <v>33062562900</v>
      </c>
      <c r="H127" s="183">
        <v>50</v>
      </c>
      <c r="J127" s="164">
        <v>33062562900</v>
      </c>
      <c r="K127" s="183">
        <v>90</v>
      </c>
      <c r="M127" s="9"/>
      <c r="P127" s="9"/>
      <c r="S127" s="9"/>
      <c r="V127" s="9"/>
      <c r="Y127" s="9"/>
    </row>
    <row r="128" spans="1:25" x14ac:dyDescent="0.25">
      <c r="A128" s="159">
        <v>33070614758</v>
      </c>
      <c r="B128" s="182">
        <v>9</v>
      </c>
      <c r="D128" s="164">
        <v>33063063461</v>
      </c>
      <c r="E128" s="183">
        <v>48</v>
      </c>
      <c r="F128" s="13"/>
      <c r="G128" s="164">
        <v>33063063461</v>
      </c>
      <c r="H128" s="183">
        <v>60</v>
      </c>
      <c r="J128" s="164">
        <v>33063063461</v>
      </c>
      <c r="K128" s="183">
        <v>93</v>
      </c>
      <c r="M128" s="9"/>
      <c r="P128" s="9"/>
      <c r="S128" s="9"/>
      <c r="V128" s="9"/>
      <c r="Y128" s="9"/>
    </row>
    <row r="129" spans="1:25" x14ac:dyDescent="0.25">
      <c r="A129" s="159">
        <v>33070614759</v>
      </c>
      <c r="B129" s="182">
        <v>28</v>
      </c>
      <c r="D129" s="164">
        <v>33063063462</v>
      </c>
      <c r="E129" s="183">
        <v>31</v>
      </c>
      <c r="F129" s="13"/>
      <c r="G129" s="164">
        <v>33063063462</v>
      </c>
      <c r="H129" s="183">
        <v>43</v>
      </c>
      <c r="J129" s="164">
        <v>33063063462</v>
      </c>
      <c r="K129" s="183">
        <v>71</v>
      </c>
      <c r="M129" s="9"/>
      <c r="P129" s="9"/>
      <c r="S129" s="9"/>
      <c r="V129" s="9"/>
      <c r="Y129" s="9"/>
    </row>
    <row r="130" spans="1:25" x14ac:dyDescent="0.25">
      <c r="A130" s="159">
        <v>33070614776</v>
      </c>
      <c r="B130" s="182">
        <v>98</v>
      </c>
      <c r="D130" s="164">
        <v>33063063464</v>
      </c>
      <c r="E130" s="183">
        <v>20</v>
      </c>
      <c r="F130" s="13"/>
      <c r="G130" s="164">
        <v>33063063464</v>
      </c>
      <c r="H130" s="183">
        <v>20</v>
      </c>
      <c r="J130" s="164">
        <v>33063063464</v>
      </c>
      <c r="K130" s="183">
        <v>48</v>
      </c>
      <c r="M130" s="9"/>
      <c r="P130" s="9"/>
      <c r="S130" s="9"/>
      <c r="V130" s="9"/>
      <c r="Y130" s="9"/>
    </row>
    <row r="131" spans="1:25" x14ac:dyDescent="0.25">
      <c r="A131" s="159">
        <v>33070614778</v>
      </c>
      <c r="B131" s="182">
        <v>66</v>
      </c>
      <c r="D131" s="164">
        <v>33063063465</v>
      </c>
      <c r="E131" s="183">
        <v>20</v>
      </c>
      <c r="F131" s="13"/>
      <c r="G131" s="164">
        <v>33063063465</v>
      </c>
      <c r="H131" s="183">
        <v>20</v>
      </c>
      <c r="J131" s="164">
        <v>33063063465</v>
      </c>
      <c r="K131" s="183">
        <v>26</v>
      </c>
      <c r="M131" s="9"/>
      <c r="P131" s="9"/>
      <c r="S131" s="9"/>
      <c r="V131" s="9"/>
      <c r="Y131" s="9"/>
    </row>
    <row r="132" spans="1:25" x14ac:dyDescent="0.25">
      <c r="A132" s="159">
        <v>33070614813</v>
      </c>
      <c r="B132" s="182">
        <v>89</v>
      </c>
      <c r="D132" s="164">
        <v>33063063466</v>
      </c>
      <c r="E132" s="183">
        <v>20</v>
      </c>
      <c r="F132" s="13"/>
      <c r="G132" s="164">
        <v>33063063466</v>
      </c>
      <c r="H132" s="183">
        <v>20</v>
      </c>
      <c r="J132" s="164">
        <v>33063063466</v>
      </c>
      <c r="K132" s="183">
        <v>29</v>
      </c>
      <c r="M132" s="9"/>
      <c r="P132" s="9"/>
      <c r="S132" s="9"/>
      <c r="V132" s="9"/>
      <c r="Y132" s="9"/>
    </row>
    <row r="133" spans="1:25" x14ac:dyDescent="0.25">
      <c r="A133" s="159">
        <v>33070614828</v>
      </c>
      <c r="B133" s="182">
        <v>1</v>
      </c>
      <c r="D133" s="164">
        <v>33063063468</v>
      </c>
      <c r="E133" s="183">
        <v>10</v>
      </c>
      <c r="F133" s="13"/>
      <c r="G133" s="164">
        <v>33063063468</v>
      </c>
      <c r="H133" s="183">
        <v>34</v>
      </c>
      <c r="J133" s="164">
        <v>33063063468</v>
      </c>
      <c r="K133" s="183">
        <v>34</v>
      </c>
      <c r="M133" s="9"/>
      <c r="P133" s="9"/>
      <c r="S133" s="9"/>
      <c r="V133" s="9"/>
      <c r="Y133" s="9"/>
    </row>
    <row r="134" spans="1:25" x14ac:dyDescent="0.25">
      <c r="A134" s="159">
        <v>33070614830</v>
      </c>
      <c r="B134" s="182">
        <v>200</v>
      </c>
      <c r="D134" s="164">
        <v>33063063470</v>
      </c>
      <c r="E134" s="183">
        <v>15</v>
      </c>
      <c r="F134" s="13"/>
      <c r="G134" s="164">
        <v>33063063470</v>
      </c>
      <c r="H134" s="183">
        <v>27</v>
      </c>
      <c r="J134" s="164">
        <v>33063063470</v>
      </c>
      <c r="K134" s="183">
        <v>47</v>
      </c>
      <c r="M134" s="9"/>
      <c r="P134" s="9"/>
      <c r="S134" s="9"/>
      <c r="V134" s="9"/>
      <c r="Y134" s="9"/>
    </row>
    <row r="135" spans="1:25" x14ac:dyDescent="0.25">
      <c r="A135" s="159">
        <v>33070614831</v>
      </c>
      <c r="B135" s="182">
        <v>117</v>
      </c>
      <c r="D135" s="164">
        <v>33063063472</v>
      </c>
      <c r="E135" s="183">
        <v>20</v>
      </c>
      <c r="F135" s="13"/>
      <c r="G135" s="164">
        <v>33063063472</v>
      </c>
      <c r="H135" s="183">
        <v>20</v>
      </c>
      <c r="J135" s="164">
        <v>33063063472</v>
      </c>
      <c r="K135" s="183">
        <v>43</v>
      </c>
      <c r="M135" s="9"/>
      <c r="P135" s="9"/>
      <c r="S135" s="9"/>
      <c r="V135" s="9"/>
      <c r="Y135" s="9"/>
    </row>
    <row r="136" spans="1:25" x14ac:dyDescent="0.25">
      <c r="A136" s="159">
        <v>33070614895</v>
      </c>
      <c r="B136" s="182">
        <v>32</v>
      </c>
      <c r="D136" s="164">
        <v>33063063473</v>
      </c>
      <c r="E136" s="183">
        <v>3</v>
      </c>
      <c r="F136" s="13"/>
      <c r="G136" s="164">
        <v>33063063473</v>
      </c>
      <c r="H136" s="183">
        <v>3</v>
      </c>
      <c r="J136" s="164">
        <v>33063063473</v>
      </c>
      <c r="K136" s="183">
        <v>26</v>
      </c>
      <c r="M136" s="9"/>
      <c r="P136" s="9"/>
      <c r="S136" s="9"/>
      <c r="V136" s="9"/>
      <c r="Y136" s="9"/>
    </row>
    <row r="137" spans="1:25" x14ac:dyDescent="0.25">
      <c r="A137" s="159">
        <v>33070614897</v>
      </c>
      <c r="B137" s="182">
        <v>10</v>
      </c>
      <c r="D137" s="164">
        <v>33063063474</v>
      </c>
      <c r="E137" s="183">
        <v>12</v>
      </c>
      <c r="F137" s="13"/>
      <c r="G137" s="164">
        <v>33063063474</v>
      </c>
      <c r="H137" s="183">
        <v>12</v>
      </c>
      <c r="J137" s="164">
        <v>33063063474</v>
      </c>
      <c r="K137" s="183">
        <v>15</v>
      </c>
      <c r="M137" s="9"/>
      <c r="P137" s="9"/>
      <c r="S137" s="9"/>
      <c r="V137" s="9"/>
      <c r="Y137" s="9"/>
    </row>
    <row r="138" spans="1:25" x14ac:dyDescent="0.25">
      <c r="A138" s="159">
        <v>33070614898</v>
      </c>
      <c r="B138" s="182">
        <v>66</v>
      </c>
      <c r="D138" s="164">
        <v>33063063475</v>
      </c>
      <c r="E138" s="183">
        <v>12</v>
      </c>
      <c r="F138" s="13"/>
      <c r="G138" s="164">
        <v>33063063475</v>
      </c>
      <c r="H138" s="183">
        <v>13</v>
      </c>
      <c r="J138" s="164">
        <v>33063063475</v>
      </c>
      <c r="K138" s="183">
        <v>23</v>
      </c>
      <c r="M138" s="9"/>
      <c r="P138" s="9"/>
      <c r="S138" s="9"/>
      <c r="V138" s="9"/>
      <c r="Y138" s="9"/>
    </row>
    <row r="139" spans="1:25" x14ac:dyDescent="0.25">
      <c r="A139" s="159">
        <v>33070614906</v>
      </c>
      <c r="B139" s="182">
        <v>32</v>
      </c>
      <c r="D139" s="164">
        <v>33063063476</v>
      </c>
      <c r="E139" s="183">
        <v>1</v>
      </c>
      <c r="F139" s="13"/>
      <c r="G139" s="164">
        <v>33063063476</v>
      </c>
      <c r="H139" s="183">
        <v>2</v>
      </c>
      <c r="J139" s="164">
        <v>33063063476</v>
      </c>
      <c r="K139" s="183">
        <v>14</v>
      </c>
      <c r="M139" s="9"/>
      <c r="P139" s="9"/>
      <c r="S139" s="9"/>
      <c r="V139" s="9"/>
      <c r="Y139" s="9"/>
    </row>
    <row r="140" spans="1:25" x14ac:dyDescent="0.25">
      <c r="A140" s="159">
        <v>33070614907</v>
      </c>
      <c r="B140" s="182">
        <v>1</v>
      </c>
      <c r="D140" s="164">
        <v>33063063482</v>
      </c>
      <c r="E140" s="183">
        <v>38</v>
      </c>
      <c r="F140" s="13"/>
      <c r="G140" s="164">
        <v>33063063482</v>
      </c>
      <c r="H140" s="183">
        <v>38</v>
      </c>
      <c r="J140" s="164">
        <v>33063063482</v>
      </c>
      <c r="K140" s="183">
        <v>59</v>
      </c>
      <c r="M140" s="9"/>
      <c r="P140" s="9"/>
      <c r="S140" s="9"/>
      <c r="V140" s="9"/>
      <c r="Y140" s="9"/>
    </row>
    <row r="141" spans="1:25" x14ac:dyDescent="0.25">
      <c r="A141" s="159">
        <v>33070614908</v>
      </c>
      <c r="B141" s="182">
        <v>7</v>
      </c>
      <c r="D141" s="164">
        <v>33063063484</v>
      </c>
      <c r="E141" s="183">
        <v>4</v>
      </c>
      <c r="F141" s="13"/>
      <c r="G141" s="164">
        <v>33063063484</v>
      </c>
      <c r="H141" s="183">
        <v>4</v>
      </c>
      <c r="J141" s="164">
        <v>33063063484</v>
      </c>
      <c r="K141" s="183">
        <v>11</v>
      </c>
      <c r="M141" s="9"/>
      <c r="P141" s="9"/>
      <c r="S141" s="9"/>
      <c r="V141" s="9"/>
      <c r="Y141" s="9"/>
    </row>
    <row r="142" spans="1:25" x14ac:dyDescent="0.25">
      <c r="A142" s="159">
        <v>33070614909</v>
      </c>
      <c r="B142" s="182">
        <v>49</v>
      </c>
      <c r="D142" s="164">
        <v>33063063490</v>
      </c>
      <c r="E142" s="183">
        <v>40</v>
      </c>
      <c r="F142" s="13"/>
      <c r="G142" s="164">
        <v>33063063490</v>
      </c>
      <c r="H142" s="183">
        <v>88</v>
      </c>
      <c r="J142" s="164">
        <v>33063063490</v>
      </c>
      <c r="K142" s="183">
        <v>513</v>
      </c>
      <c r="M142" s="9"/>
      <c r="P142" s="9"/>
      <c r="S142" s="9"/>
      <c r="V142" s="9"/>
      <c r="Y142" s="9"/>
    </row>
    <row r="143" spans="1:25" x14ac:dyDescent="0.25">
      <c r="A143" s="159">
        <v>33070614910</v>
      </c>
      <c r="B143" s="182">
        <v>8</v>
      </c>
      <c r="D143" s="164">
        <v>33063063493</v>
      </c>
      <c r="E143" s="183">
        <v>6</v>
      </c>
      <c r="F143" s="13"/>
      <c r="G143" s="164">
        <v>33063063493</v>
      </c>
      <c r="H143" s="183">
        <v>56</v>
      </c>
      <c r="J143" s="164">
        <v>33063063493</v>
      </c>
      <c r="K143" s="183">
        <v>476</v>
      </c>
      <c r="M143" s="9"/>
      <c r="P143" s="9"/>
      <c r="S143" s="9"/>
      <c r="V143" s="9"/>
      <c r="Y143" s="9"/>
    </row>
    <row r="144" spans="1:25" x14ac:dyDescent="0.25">
      <c r="A144" s="159">
        <v>33070614913</v>
      </c>
      <c r="B144" s="182">
        <v>15</v>
      </c>
      <c r="D144" s="164">
        <v>33063063495</v>
      </c>
      <c r="E144" s="183">
        <v>1</v>
      </c>
      <c r="F144" s="13"/>
      <c r="G144" s="164">
        <v>33063063495</v>
      </c>
      <c r="H144" s="183">
        <v>1</v>
      </c>
      <c r="J144" s="164">
        <v>33063063495</v>
      </c>
      <c r="K144" s="183">
        <v>71</v>
      </c>
      <c r="M144" s="9"/>
      <c r="P144" s="9"/>
      <c r="S144" s="9"/>
      <c r="V144" s="9"/>
      <c r="Y144" s="9"/>
    </row>
    <row r="145" spans="1:25" x14ac:dyDescent="0.25">
      <c r="A145" s="159">
        <v>33070614923</v>
      </c>
      <c r="B145" s="182">
        <v>17</v>
      </c>
      <c r="D145" s="164">
        <v>33063063496</v>
      </c>
      <c r="E145" s="183">
        <v>10</v>
      </c>
      <c r="F145" s="13"/>
      <c r="G145" s="164">
        <v>33063063496</v>
      </c>
      <c r="H145" s="183">
        <v>10</v>
      </c>
      <c r="J145" s="164">
        <v>33063063496</v>
      </c>
      <c r="K145" s="183">
        <v>60</v>
      </c>
      <c r="M145" s="9"/>
      <c r="P145" s="9"/>
      <c r="S145" s="9"/>
      <c r="V145" s="9"/>
      <c r="Y145" s="9"/>
    </row>
    <row r="146" spans="1:25" x14ac:dyDescent="0.25">
      <c r="A146" s="159">
        <v>33070614924</v>
      </c>
      <c r="B146" s="182">
        <v>7</v>
      </c>
      <c r="D146" s="164">
        <v>33063063498</v>
      </c>
      <c r="E146" s="183">
        <v>30</v>
      </c>
      <c r="F146" s="13"/>
      <c r="G146" s="164">
        <v>33063063498</v>
      </c>
      <c r="H146" s="183">
        <v>30</v>
      </c>
      <c r="J146" s="164">
        <v>33063063498</v>
      </c>
      <c r="K146" s="183">
        <v>110</v>
      </c>
      <c r="M146" s="9"/>
      <c r="P146" s="9"/>
      <c r="S146" s="9"/>
      <c r="V146" s="9"/>
      <c r="Y146" s="9"/>
    </row>
    <row r="147" spans="1:25" x14ac:dyDescent="0.25">
      <c r="A147" s="159">
        <v>33070614925</v>
      </c>
      <c r="B147" s="182">
        <v>37</v>
      </c>
      <c r="D147" s="164">
        <v>33063063501</v>
      </c>
      <c r="E147" s="183">
        <v>4</v>
      </c>
      <c r="F147" s="13"/>
      <c r="G147" s="164">
        <v>33063063501</v>
      </c>
      <c r="H147" s="183">
        <v>9</v>
      </c>
      <c r="J147" s="164">
        <v>33063063501</v>
      </c>
      <c r="K147" s="183">
        <v>74</v>
      </c>
      <c r="M147" s="9"/>
      <c r="P147" s="9"/>
      <c r="S147" s="9"/>
      <c r="V147" s="9"/>
      <c r="Y147" s="9"/>
    </row>
    <row r="148" spans="1:25" x14ac:dyDescent="0.25">
      <c r="A148" s="159">
        <v>33070614926</v>
      </c>
      <c r="B148" s="182">
        <v>17</v>
      </c>
      <c r="D148" s="164">
        <v>33063063505</v>
      </c>
      <c r="E148" s="183">
        <v>40</v>
      </c>
      <c r="F148" s="13"/>
      <c r="G148" s="164">
        <v>33063063505</v>
      </c>
      <c r="H148" s="183">
        <v>41</v>
      </c>
      <c r="J148" s="164">
        <v>33063063505</v>
      </c>
      <c r="K148" s="183">
        <v>70</v>
      </c>
      <c r="M148" s="9"/>
      <c r="P148" s="9"/>
      <c r="S148" s="9"/>
      <c r="V148" s="9"/>
      <c r="Y148" s="9"/>
    </row>
    <row r="149" spans="1:25" x14ac:dyDescent="0.25">
      <c r="A149" s="159">
        <v>33070614927</v>
      </c>
      <c r="B149" s="182">
        <v>6</v>
      </c>
      <c r="D149" s="164">
        <v>33063063506</v>
      </c>
      <c r="E149" s="183">
        <v>40</v>
      </c>
      <c r="F149" s="13"/>
      <c r="G149" s="164">
        <v>33063063506</v>
      </c>
      <c r="H149" s="183">
        <v>40</v>
      </c>
      <c r="J149" s="164">
        <v>33063063506</v>
      </c>
      <c r="K149" s="183">
        <v>69</v>
      </c>
      <c r="M149" s="9"/>
      <c r="P149" s="9"/>
      <c r="S149" s="9"/>
      <c r="V149" s="9"/>
      <c r="Y149" s="9"/>
    </row>
    <row r="150" spans="1:25" x14ac:dyDescent="0.25">
      <c r="A150" s="159">
        <v>33070654001</v>
      </c>
      <c r="B150" s="182">
        <v>55</v>
      </c>
      <c r="D150" s="164">
        <v>33063063507</v>
      </c>
      <c r="E150" s="183">
        <v>40</v>
      </c>
      <c r="F150" s="13"/>
      <c r="G150" s="164">
        <v>33063063507</v>
      </c>
      <c r="H150" s="183">
        <v>40</v>
      </c>
      <c r="J150" s="164">
        <v>33063063507</v>
      </c>
      <c r="K150" s="183">
        <v>69</v>
      </c>
      <c r="M150" s="9"/>
      <c r="P150" s="9"/>
      <c r="S150" s="9"/>
      <c r="V150" s="9"/>
      <c r="Y150" s="9"/>
    </row>
    <row r="151" spans="1:25" x14ac:dyDescent="0.25">
      <c r="A151" s="159">
        <v>33070654135</v>
      </c>
      <c r="B151" s="182">
        <v>25</v>
      </c>
      <c r="D151" s="164">
        <v>33063063508</v>
      </c>
      <c r="E151" s="183">
        <v>11</v>
      </c>
      <c r="F151" s="13"/>
      <c r="G151" s="164">
        <v>33063063508</v>
      </c>
      <c r="H151" s="183">
        <v>51</v>
      </c>
      <c r="J151" s="164">
        <v>33063063508</v>
      </c>
      <c r="K151" s="183">
        <v>213</v>
      </c>
      <c r="M151" s="9"/>
      <c r="P151" s="9"/>
      <c r="S151" s="9"/>
      <c r="V151" s="9"/>
      <c r="Y151" s="9"/>
    </row>
    <row r="152" spans="1:25" x14ac:dyDescent="0.25">
      <c r="A152" s="159">
        <v>33070654136</v>
      </c>
      <c r="B152" s="182">
        <v>628</v>
      </c>
      <c r="D152" s="164">
        <v>33063063509</v>
      </c>
      <c r="E152" s="183">
        <v>40</v>
      </c>
      <c r="F152" s="13"/>
      <c r="G152" s="164">
        <v>33063063509</v>
      </c>
      <c r="H152" s="183">
        <v>40</v>
      </c>
      <c r="J152" s="164">
        <v>33063063509</v>
      </c>
      <c r="K152" s="183">
        <v>197</v>
      </c>
      <c r="M152" s="9"/>
      <c r="P152" s="9"/>
      <c r="S152" s="9"/>
      <c r="V152" s="9"/>
      <c r="Y152" s="9"/>
    </row>
    <row r="153" spans="1:25" x14ac:dyDescent="0.25">
      <c r="A153" s="159">
        <v>33070660353</v>
      </c>
      <c r="B153" s="182">
        <v>20</v>
      </c>
      <c r="D153" s="164">
        <v>33063063510</v>
      </c>
      <c r="E153" s="183">
        <v>40</v>
      </c>
      <c r="F153" s="13"/>
      <c r="G153" s="164">
        <v>33063063510</v>
      </c>
      <c r="H153" s="183">
        <v>40</v>
      </c>
      <c r="J153" s="164">
        <v>33063063510</v>
      </c>
      <c r="K153" s="183">
        <v>202</v>
      </c>
      <c r="M153" s="9"/>
      <c r="P153" s="9"/>
      <c r="S153" s="9"/>
      <c r="V153" s="9"/>
      <c r="Y153" s="9"/>
    </row>
    <row r="154" spans="1:25" x14ac:dyDescent="0.25">
      <c r="A154" s="159">
        <v>33070660354</v>
      </c>
      <c r="B154" s="182">
        <v>38</v>
      </c>
      <c r="D154" s="164">
        <v>33063063511</v>
      </c>
      <c r="E154" s="183">
        <v>40</v>
      </c>
      <c r="F154" s="13"/>
      <c r="G154" s="164">
        <v>33063063511</v>
      </c>
      <c r="H154" s="183">
        <v>40</v>
      </c>
      <c r="J154" s="164">
        <v>33063063511</v>
      </c>
      <c r="K154" s="183">
        <v>88</v>
      </c>
      <c r="M154" s="9"/>
      <c r="P154" s="9"/>
      <c r="S154" s="9"/>
      <c r="V154" s="9"/>
      <c r="Y154" s="9"/>
    </row>
    <row r="155" spans="1:25" x14ac:dyDescent="0.25">
      <c r="A155" s="159">
        <v>33070660825</v>
      </c>
      <c r="B155" s="182">
        <v>21</v>
      </c>
      <c r="D155" s="164">
        <v>33063063512</v>
      </c>
      <c r="E155" s="183">
        <v>40</v>
      </c>
      <c r="F155" s="13"/>
      <c r="G155" s="164">
        <v>33063063512</v>
      </c>
      <c r="H155" s="183">
        <v>40</v>
      </c>
      <c r="J155" s="164">
        <v>33063063512</v>
      </c>
      <c r="K155" s="183">
        <v>83</v>
      </c>
      <c r="M155" s="9"/>
      <c r="P155" s="9"/>
      <c r="S155" s="9"/>
      <c r="V155" s="9"/>
      <c r="Y155" s="9"/>
    </row>
    <row r="156" spans="1:25" x14ac:dyDescent="0.25">
      <c r="A156" s="159">
        <v>33070660894</v>
      </c>
      <c r="B156" s="182">
        <v>54</v>
      </c>
      <c r="D156" s="164">
        <v>33063063513</v>
      </c>
      <c r="E156" s="183">
        <v>52</v>
      </c>
      <c r="F156" s="13"/>
      <c r="G156" s="164">
        <v>33063063513</v>
      </c>
      <c r="H156" s="183">
        <v>65</v>
      </c>
      <c r="J156" s="164">
        <v>33063063513</v>
      </c>
      <c r="K156" s="183">
        <v>113</v>
      </c>
      <c r="M156" s="9"/>
      <c r="P156" s="9"/>
      <c r="S156" s="9"/>
      <c r="V156" s="9"/>
      <c r="Y156" s="9"/>
    </row>
    <row r="157" spans="1:25" x14ac:dyDescent="0.25">
      <c r="A157" s="159">
        <v>33070661131</v>
      </c>
      <c r="B157" s="182">
        <v>13</v>
      </c>
      <c r="D157" s="164">
        <v>33063063520</v>
      </c>
      <c r="E157" s="183">
        <v>30</v>
      </c>
      <c r="F157" s="13"/>
      <c r="G157" s="164">
        <v>33063063520</v>
      </c>
      <c r="H157" s="183">
        <v>30</v>
      </c>
      <c r="J157" s="164">
        <v>33063063520</v>
      </c>
      <c r="K157" s="183">
        <v>46</v>
      </c>
      <c r="M157" s="9"/>
      <c r="P157" s="9"/>
      <c r="S157" s="9"/>
      <c r="V157" s="9"/>
      <c r="Y157" s="9"/>
    </row>
    <row r="158" spans="1:25" x14ac:dyDescent="0.25">
      <c r="A158" s="159">
        <v>33070661132</v>
      </c>
      <c r="B158" s="182">
        <v>13</v>
      </c>
      <c r="D158" s="164">
        <v>33063063521</v>
      </c>
      <c r="E158" s="183">
        <v>6</v>
      </c>
      <c r="F158" s="13"/>
      <c r="G158" s="164">
        <v>33063063521</v>
      </c>
      <c r="H158" s="183">
        <v>6</v>
      </c>
      <c r="J158" s="164">
        <v>33063063521</v>
      </c>
      <c r="K158" s="183">
        <v>21</v>
      </c>
      <c r="M158" s="9"/>
      <c r="P158" s="9"/>
      <c r="S158" s="9"/>
      <c r="V158" s="9"/>
      <c r="Y158" s="9"/>
    </row>
    <row r="159" spans="1:25" x14ac:dyDescent="0.25">
      <c r="A159" s="159">
        <v>33070661133</v>
      </c>
      <c r="B159" s="182">
        <v>21</v>
      </c>
      <c r="D159" s="164">
        <v>33063063926</v>
      </c>
      <c r="E159" s="183">
        <v>19</v>
      </c>
      <c r="F159" s="13"/>
      <c r="G159" s="164">
        <v>33063063926</v>
      </c>
      <c r="H159" s="183">
        <v>20</v>
      </c>
      <c r="J159" s="164">
        <v>33063063926</v>
      </c>
      <c r="K159" s="183">
        <v>42</v>
      </c>
      <c r="M159" s="9"/>
      <c r="P159" s="9"/>
      <c r="S159" s="9"/>
      <c r="V159" s="9"/>
      <c r="Y159" s="9"/>
    </row>
    <row r="160" spans="1:25" x14ac:dyDescent="0.25">
      <c r="A160" s="159">
        <v>33070661635</v>
      </c>
      <c r="B160" s="182">
        <v>7</v>
      </c>
      <c r="D160" s="164">
        <v>33063063927</v>
      </c>
      <c r="E160" s="183">
        <v>8</v>
      </c>
      <c r="F160" s="13"/>
      <c r="G160" s="164">
        <v>33063063927</v>
      </c>
      <c r="H160" s="183">
        <v>13</v>
      </c>
      <c r="J160" s="164">
        <v>33063063927</v>
      </c>
      <c r="K160" s="183">
        <v>48</v>
      </c>
      <c r="M160" s="9"/>
      <c r="P160" s="9"/>
      <c r="S160" s="9"/>
      <c r="V160" s="9"/>
      <c r="Y160" s="9"/>
    </row>
    <row r="161" spans="1:25" x14ac:dyDescent="0.25">
      <c r="A161" s="159">
        <v>33070661636</v>
      </c>
      <c r="B161" s="182">
        <v>35</v>
      </c>
      <c r="D161" s="164">
        <v>33063063928</v>
      </c>
      <c r="E161" s="183">
        <v>27</v>
      </c>
      <c r="F161" s="13"/>
      <c r="G161" s="164">
        <v>33063063928</v>
      </c>
      <c r="H161" s="183">
        <v>31</v>
      </c>
      <c r="J161" s="164">
        <v>33063063928</v>
      </c>
      <c r="K161" s="183">
        <v>65</v>
      </c>
      <c r="M161" s="9"/>
      <c r="P161" s="9"/>
      <c r="S161" s="9"/>
      <c r="V161" s="9"/>
      <c r="Y161" s="9"/>
    </row>
    <row r="162" spans="1:25" x14ac:dyDescent="0.25">
      <c r="A162" s="159">
        <v>33070661992</v>
      </c>
      <c r="B162" s="182">
        <v>1</v>
      </c>
      <c r="D162" s="164">
        <v>33063063931</v>
      </c>
      <c r="E162" s="183">
        <v>4</v>
      </c>
      <c r="F162" s="13"/>
      <c r="G162" s="164">
        <v>33063063931</v>
      </c>
      <c r="H162" s="183">
        <v>36</v>
      </c>
      <c r="J162" s="164">
        <v>33063063931</v>
      </c>
      <c r="K162" s="183">
        <v>55</v>
      </c>
      <c r="M162" s="9"/>
      <c r="P162" s="9"/>
      <c r="S162" s="9"/>
      <c r="V162" s="9"/>
      <c r="Y162" s="9"/>
    </row>
    <row r="163" spans="1:25" x14ac:dyDescent="0.25">
      <c r="A163" s="159">
        <v>33070663175</v>
      </c>
      <c r="B163" s="182">
        <v>12</v>
      </c>
      <c r="D163" s="164">
        <v>33063063932</v>
      </c>
      <c r="E163" s="183">
        <v>3</v>
      </c>
      <c r="F163" s="13"/>
      <c r="G163" s="164">
        <v>33063063932</v>
      </c>
      <c r="H163" s="183">
        <v>27</v>
      </c>
      <c r="J163" s="164">
        <v>33063063932</v>
      </c>
      <c r="K163" s="183">
        <v>46</v>
      </c>
      <c r="M163" s="9"/>
      <c r="P163" s="9"/>
      <c r="S163" s="9"/>
      <c r="V163" s="9"/>
      <c r="Y163" s="9"/>
    </row>
    <row r="164" spans="1:25" x14ac:dyDescent="0.25">
      <c r="A164" s="159">
        <v>33070663176</v>
      </c>
      <c r="B164" s="182">
        <v>19</v>
      </c>
      <c r="D164" s="164">
        <v>33063063933</v>
      </c>
      <c r="E164" s="183">
        <v>48</v>
      </c>
      <c r="F164" s="13"/>
      <c r="G164" s="164">
        <v>33063063933</v>
      </c>
      <c r="H164" s="183">
        <v>141</v>
      </c>
      <c r="J164" s="164">
        <v>33063063933</v>
      </c>
      <c r="K164" s="183">
        <v>203</v>
      </c>
      <c r="M164" s="9"/>
      <c r="P164" s="9"/>
      <c r="S164" s="9"/>
      <c r="V164" s="9"/>
      <c r="Y164" s="9"/>
    </row>
    <row r="165" spans="1:25" x14ac:dyDescent="0.25">
      <c r="A165" s="159">
        <v>33070663218</v>
      </c>
      <c r="B165" s="182">
        <v>114</v>
      </c>
      <c r="D165" s="164">
        <v>33063263353</v>
      </c>
      <c r="E165" s="183">
        <v>1</v>
      </c>
      <c r="F165" s="13"/>
      <c r="G165" s="164">
        <v>33063263353</v>
      </c>
      <c r="H165" s="183">
        <v>1</v>
      </c>
      <c r="J165" s="164">
        <v>33063263353</v>
      </c>
      <c r="K165" s="183">
        <v>51</v>
      </c>
      <c r="M165" s="9"/>
      <c r="P165" s="9"/>
      <c r="S165" s="9"/>
      <c r="V165" s="9"/>
      <c r="Y165" s="9"/>
    </row>
    <row r="166" spans="1:25" x14ac:dyDescent="0.25">
      <c r="A166" s="159">
        <v>33070663584</v>
      </c>
      <c r="B166" s="182">
        <v>14</v>
      </c>
      <c r="D166" s="164">
        <v>33063263354</v>
      </c>
      <c r="E166" s="183">
        <v>1</v>
      </c>
      <c r="F166" s="13"/>
      <c r="G166" s="164">
        <v>33063263354</v>
      </c>
      <c r="H166" s="183">
        <v>1</v>
      </c>
      <c r="J166" s="164">
        <v>33063263354</v>
      </c>
      <c r="K166" s="183">
        <v>51</v>
      </c>
      <c r="M166" s="9"/>
      <c r="P166" s="9"/>
      <c r="S166" s="9"/>
      <c r="V166" s="9"/>
      <c r="Y166" s="9"/>
    </row>
    <row r="167" spans="1:25" x14ac:dyDescent="0.25">
      <c r="A167" s="159">
        <v>33070663585</v>
      </c>
      <c r="B167" s="182">
        <v>7</v>
      </c>
      <c r="D167" s="164">
        <v>33063263355</v>
      </c>
      <c r="E167" s="183">
        <v>2</v>
      </c>
      <c r="F167" s="13"/>
      <c r="G167" s="164">
        <v>33063263355</v>
      </c>
      <c r="H167" s="183">
        <v>2</v>
      </c>
      <c r="J167" s="164">
        <v>33063263355</v>
      </c>
      <c r="K167" s="183">
        <v>52</v>
      </c>
      <c r="M167" s="9"/>
      <c r="P167" s="9"/>
      <c r="S167" s="9"/>
      <c r="V167" s="9"/>
      <c r="Y167" s="9"/>
    </row>
    <row r="168" spans="1:25" x14ac:dyDescent="0.25">
      <c r="A168" s="159">
        <v>33070663687</v>
      </c>
      <c r="B168" s="182">
        <v>49</v>
      </c>
      <c r="D168" s="164">
        <v>33070114126</v>
      </c>
      <c r="E168" s="183">
        <v>617</v>
      </c>
      <c r="F168" s="13"/>
      <c r="G168" s="164">
        <v>33070114126</v>
      </c>
      <c r="H168" s="183">
        <v>766</v>
      </c>
      <c r="J168" s="164">
        <v>33070114126</v>
      </c>
      <c r="K168" s="183">
        <v>1528</v>
      </c>
      <c r="M168" s="9"/>
      <c r="P168" s="9"/>
      <c r="S168" s="9"/>
      <c r="V168" s="9"/>
      <c r="Y168" s="9"/>
    </row>
    <row r="169" spans="1:25" x14ac:dyDescent="0.25">
      <c r="A169" s="159">
        <v>33070663714</v>
      </c>
      <c r="B169" s="182">
        <v>52</v>
      </c>
      <c r="D169" s="164">
        <v>33070114128</v>
      </c>
      <c r="E169" s="183">
        <v>2</v>
      </c>
      <c r="F169" s="13"/>
      <c r="G169" s="164">
        <v>33070114128</v>
      </c>
      <c r="H169" s="183">
        <v>2</v>
      </c>
      <c r="J169" s="164">
        <v>33070114128</v>
      </c>
      <c r="K169" s="183">
        <v>8</v>
      </c>
      <c r="M169" s="9"/>
      <c r="P169" s="9"/>
      <c r="S169" s="9"/>
      <c r="V169" s="9"/>
      <c r="Y169" s="9"/>
    </row>
    <row r="170" spans="1:25" x14ac:dyDescent="0.25">
      <c r="A170" s="159">
        <v>33070663719</v>
      </c>
      <c r="B170" s="182">
        <v>12</v>
      </c>
      <c r="D170" s="164">
        <v>33070114788</v>
      </c>
      <c r="E170" s="183">
        <v>42</v>
      </c>
      <c r="F170" s="13"/>
      <c r="G170" s="164">
        <v>33070114788</v>
      </c>
      <c r="H170" s="183">
        <v>207</v>
      </c>
      <c r="J170" s="164">
        <v>33070114788</v>
      </c>
      <c r="K170" s="183">
        <v>468</v>
      </c>
      <c r="M170" s="9"/>
      <c r="P170" s="9"/>
      <c r="S170" s="9"/>
      <c r="V170" s="9"/>
      <c r="Y170" s="9"/>
    </row>
    <row r="171" spans="1:25" x14ac:dyDescent="0.25">
      <c r="A171" s="159">
        <v>33070663720</v>
      </c>
      <c r="B171" s="182">
        <v>24</v>
      </c>
      <c r="D171" s="164">
        <v>33070154053</v>
      </c>
      <c r="E171" s="183">
        <v>17</v>
      </c>
      <c r="F171" s="13"/>
      <c r="G171" s="164">
        <v>33070154053</v>
      </c>
      <c r="H171" s="183">
        <v>27</v>
      </c>
      <c r="J171" s="164">
        <v>33070154053</v>
      </c>
      <c r="K171" s="183">
        <v>47</v>
      </c>
      <c r="M171" s="9"/>
      <c r="P171" s="9"/>
      <c r="S171" s="9"/>
      <c r="V171" s="9"/>
      <c r="Y171" s="9"/>
    </row>
    <row r="172" spans="1:25" x14ac:dyDescent="0.25">
      <c r="A172" s="159">
        <v>33070663721</v>
      </c>
      <c r="B172" s="182">
        <v>29</v>
      </c>
      <c r="D172" s="164">
        <v>33070160714</v>
      </c>
      <c r="E172" s="183">
        <v>2</v>
      </c>
      <c r="F172" s="13"/>
      <c r="G172" s="164">
        <v>33070160714</v>
      </c>
      <c r="H172" s="183">
        <v>3</v>
      </c>
      <c r="J172" s="164">
        <v>33070160714</v>
      </c>
      <c r="K172" s="183">
        <v>81</v>
      </c>
      <c r="M172" s="9"/>
      <c r="P172" s="9"/>
      <c r="S172" s="9"/>
      <c r="V172" s="9"/>
      <c r="Y172" s="9"/>
    </row>
    <row r="173" spans="1:25" x14ac:dyDescent="0.25">
      <c r="A173" s="159">
        <v>33070663722</v>
      </c>
      <c r="B173" s="182">
        <v>6</v>
      </c>
      <c r="D173" s="164">
        <v>33070414530</v>
      </c>
      <c r="E173" s="183">
        <v>4</v>
      </c>
      <c r="F173" s="13"/>
      <c r="G173" s="164">
        <v>33070414530</v>
      </c>
      <c r="H173" s="183">
        <v>34</v>
      </c>
      <c r="J173" s="164">
        <v>33070414530</v>
      </c>
      <c r="K173" s="183">
        <v>59</v>
      </c>
      <c r="M173" s="9"/>
      <c r="P173" s="9"/>
      <c r="S173" s="9"/>
      <c r="V173" s="9"/>
      <c r="Y173" s="9"/>
    </row>
    <row r="174" spans="1:25" x14ac:dyDescent="0.25">
      <c r="A174" s="180">
        <v>33070663727</v>
      </c>
      <c r="B174" s="181">
        <v>1701</v>
      </c>
      <c r="D174" s="164">
        <v>33070424531</v>
      </c>
      <c r="E174" s="183">
        <v>4</v>
      </c>
      <c r="F174" s="13"/>
      <c r="G174" s="164">
        <v>33070424531</v>
      </c>
      <c r="H174" s="183">
        <v>19</v>
      </c>
      <c r="J174" s="164">
        <v>33070424531</v>
      </c>
      <c r="K174" s="183">
        <v>19</v>
      </c>
      <c r="M174" s="9"/>
      <c r="P174" s="9"/>
      <c r="S174" s="9"/>
      <c r="V174" s="9"/>
      <c r="Y174" s="9"/>
    </row>
    <row r="175" spans="1:25" x14ac:dyDescent="0.25">
      <c r="A175" s="180">
        <v>33070663728</v>
      </c>
      <c r="B175" s="181">
        <v>244</v>
      </c>
      <c r="D175" s="164">
        <v>33070561589</v>
      </c>
      <c r="E175" s="183">
        <v>12</v>
      </c>
      <c r="F175" s="13"/>
      <c r="G175" s="164">
        <v>33070561589</v>
      </c>
      <c r="H175" s="183">
        <v>16</v>
      </c>
      <c r="J175" s="164">
        <v>33070561589</v>
      </c>
      <c r="K175" s="183">
        <v>46</v>
      </c>
      <c r="M175" s="9"/>
      <c r="P175" s="9"/>
      <c r="S175" s="9"/>
      <c r="V175" s="9"/>
      <c r="Y175" s="9"/>
    </row>
    <row r="176" spans="1:25" x14ac:dyDescent="0.25">
      <c r="A176" s="180">
        <v>33070663729</v>
      </c>
      <c r="B176" s="181">
        <v>232</v>
      </c>
      <c r="D176" s="164">
        <v>33070614012</v>
      </c>
      <c r="E176" s="183">
        <v>4</v>
      </c>
      <c r="F176" s="13"/>
      <c r="G176" s="164">
        <v>33070614012</v>
      </c>
      <c r="H176" s="183">
        <v>4</v>
      </c>
      <c r="J176" s="164">
        <v>33070614012</v>
      </c>
      <c r="K176" s="183">
        <v>10</v>
      </c>
      <c r="M176" s="9"/>
      <c r="P176" s="9"/>
      <c r="S176" s="9"/>
      <c r="V176" s="9"/>
      <c r="Y176" s="9"/>
    </row>
    <row r="177" spans="1:25" x14ac:dyDescent="0.25">
      <c r="A177" s="180">
        <v>33070663730</v>
      </c>
      <c r="B177" s="181">
        <v>18</v>
      </c>
      <c r="D177" s="164">
        <v>33070614015</v>
      </c>
      <c r="E177" s="183">
        <v>31</v>
      </c>
      <c r="F177" s="13"/>
      <c r="G177" s="164">
        <v>33070614015</v>
      </c>
      <c r="H177" s="183">
        <v>38</v>
      </c>
      <c r="J177" s="164">
        <v>33070614015</v>
      </c>
      <c r="K177" s="183">
        <v>142</v>
      </c>
      <c r="M177" s="9"/>
      <c r="P177" s="9"/>
      <c r="S177" s="9"/>
      <c r="V177" s="9"/>
      <c r="Y177" s="9"/>
    </row>
    <row r="178" spans="1:25" x14ac:dyDescent="0.25">
      <c r="A178" s="180">
        <v>33070663731</v>
      </c>
      <c r="B178" s="181">
        <v>75</v>
      </c>
      <c r="D178" s="164">
        <v>33070614016</v>
      </c>
      <c r="E178" s="183">
        <v>92</v>
      </c>
      <c r="F178" s="13"/>
      <c r="G178" s="164">
        <v>33070614016</v>
      </c>
      <c r="H178" s="183">
        <v>123</v>
      </c>
      <c r="J178" s="164">
        <v>33070614016</v>
      </c>
      <c r="K178" s="183">
        <v>288</v>
      </c>
      <c r="M178" s="9"/>
      <c r="P178" s="9"/>
      <c r="S178" s="9"/>
      <c r="V178" s="9"/>
      <c r="Y178" s="9"/>
    </row>
    <row r="179" spans="1:25" x14ac:dyDescent="0.25">
      <c r="A179" s="180">
        <v>33070663732</v>
      </c>
      <c r="B179" s="181">
        <v>18</v>
      </c>
      <c r="D179" s="164">
        <v>33070614019</v>
      </c>
      <c r="E179" s="183">
        <v>43</v>
      </c>
      <c r="F179" s="13"/>
      <c r="G179" s="164">
        <v>33070614019</v>
      </c>
      <c r="H179" s="183">
        <v>71</v>
      </c>
      <c r="J179" s="164">
        <v>33070614019</v>
      </c>
      <c r="K179" s="183">
        <v>151</v>
      </c>
      <c r="M179" s="9"/>
      <c r="P179" s="9"/>
      <c r="S179" s="9"/>
      <c r="V179" s="9"/>
      <c r="Y179" s="9"/>
    </row>
    <row r="180" spans="1:25" x14ac:dyDescent="0.25">
      <c r="A180" s="180">
        <v>33070663733</v>
      </c>
      <c r="B180" s="181">
        <v>37</v>
      </c>
      <c r="D180" s="164">
        <v>33070614021</v>
      </c>
      <c r="E180" s="183">
        <v>29</v>
      </c>
      <c r="F180" s="13"/>
      <c r="G180" s="164">
        <v>33070614021</v>
      </c>
      <c r="H180" s="183">
        <v>41</v>
      </c>
      <c r="J180" s="164">
        <v>33070614021</v>
      </c>
      <c r="K180" s="183">
        <v>122</v>
      </c>
      <c r="M180" s="9"/>
      <c r="P180" s="9"/>
      <c r="S180" s="9"/>
      <c r="V180" s="9"/>
      <c r="Y180" s="9"/>
    </row>
    <row r="181" spans="1:25" x14ac:dyDescent="0.25">
      <c r="A181" s="180">
        <v>33070663734</v>
      </c>
      <c r="B181" s="181">
        <v>1</v>
      </c>
      <c r="D181" s="164">
        <v>33070614022</v>
      </c>
      <c r="E181" s="183">
        <v>17</v>
      </c>
      <c r="F181" s="13"/>
      <c r="G181" s="164">
        <v>33070614022</v>
      </c>
      <c r="H181" s="183">
        <v>26</v>
      </c>
      <c r="J181" s="164">
        <v>33070614022</v>
      </c>
      <c r="K181" s="183">
        <v>70</v>
      </c>
      <c r="M181" s="9"/>
      <c r="P181" s="9"/>
      <c r="S181" s="9"/>
      <c r="V181" s="9"/>
      <c r="Y181" s="9"/>
    </row>
    <row r="182" spans="1:25" x14ac:dyDescent="0.25">
      <c r="A182" s="180">
        <v>33070664013</v>
      </c>
      <c r="B182" s="181">
        <v>102</v>
      </c>
      <c r="D182" s="164">
        <v>33070614023</v>
      </c>
      <c r="E182" s="183">
        <v>8</v>
      </c>
      <c r="F182" s="13"/>
      <c r="G182" s="164">
        <v>33070614023</v>
      </c>
      <c r="H182" s="183">
        <v>9</v>
      </c>
      <c r="J182" s="164">
        <v>33070614023</v>
      </c>
      <c r="K182" s="183">
        <v>23</v>
      </c>
      <c r="M182" s="9"/>
      <c r="P182" s="9"/>
      <c r="S182" s="9"/>
      <c r="V182" s="9"/>
      <c r="Y182" s="9"/>
    </row>
    <row r="183" spans="1:25" x14ac:dyDescent="0.25">
      <c r="A183" s="180">
        <v>33070664309</v>
      </c>
      <c r="B183" s="181">
        <v>18</v>
      </c>
      <c r="D183" s="164">
        <v>33070614024</v>
      </c>
      <c r="E183" s="183">
        <v>12</v>
      </c>
      <c r="F183" s="13"/>
      <c r="G183" s="164">
        <v>33070614024</v>
      </c>
      <c r="H183" s="183">
        <v>18</v>
      </c>
      <c r="J183" s="164">
        <v>33070614024</v>
      </c>
      <c r="K183" s="183">
        <v>37</v>
      </c>
      <c r="M183" s="9"/>
      <c r="P183" s="9"/>
      <c r="S183" s="9"/>
      <c r="V183" s="9"/>
      <c r="Y183" s="9"/>
    </row>
    <row r="184" spans="1:25" x14ac:dyDescent="0.25">
      <c r="A184" s="180">
        <v>33070664312</v>
      </c>
      <c r="B184" s="181">
        <v>6</v>
      </c>
      <c r="D184" s="164">
        <v>33070614026</v>
      </c>
      <c r="E184" s="183">
        <v>30</v>
      </c>
      <c r="F184" s="13"/>
      <c r="G184" s="164">
        <v>33070614026</v>
      </c>
      <c r="H184" s="183">
        <v>33</v>
      </c>
      <c r="J184" s="164">
        <v>33070614026</v>
      </c>
      <c r="K184" s="183">
        <v>76</v>
      </c>
      <c r="M184" s="9"/>
      <c r="P184" s="9"/>
      <c r="S184" s="9"/>
      <c r="V184" s="9"/>
      <c r="Y184" s="9"/>
    </row>
    <row r="185" spans="1:25" x14ac:dyDescent="0.25">
      <c r="A185" s="180">
        <v>33070664313</v>
      </c>
      <c r="B185" s="181">
        <v>1</v>
      </c>
      <c r="D185" s="164">
        <v>33070614028</v>
      </c>
      <c r="E185" s="183">
        <v>115</v>
      </c>
      <c r="F185" s="13"/>
      <c r="G185" s="164">
        <v>33070614028</v>
      </c>
      <c r="H185" s="183">
        <v>234</v>
      </c>
      <c r="J185" s="164">
        <v>33070614028</v>
      </c>
      <c r="K185" s="183">
        <v>567</v>
      </c>
      <c r="M185" s="9"/>
      <c r="P185" s="9"/>
      <c r="S185" s="9"/>
      <c r="V185" s="9"/>
      <c r="Y185" s="9"/>
    </row>
    <row r="186" spans="1:25" x14ac:dyDescent="0.25">
      <c r="A186" s="180">
        <v>33070664314</v>
      </c>
      <c r="B186" s="181">
        <v>6</v>
      </c>
      <c r="D186" s="164">
        <v>33070614030</v>
      </c>
      <c r="E186" s="183">
        <v>13</v>
      </c>
      <c r="F186" s="13"/>
      <c r="G186" s="164">
        <v>33070614030</v>
      </c>
      <c r="H186" s="183">
        <v>13</v>
      </c>
      <c r="J186" s="164">
        <v>33070614030</v>
      </c>
      <c r="K186" s="183">
        <v>55</v>
      </c>
      <c r="M186" s="9"/>
      <c r="P186" s="9"/>
      <c r="S186" s="9"/>
      <c r="V186" s="9"/>
      <c r="Y186" s="9"/>
    </row>
    <row r="187" spans="1:25" x14ac:dyDescent="0.25">
      <c r="A187" s="180">
        <v>33070664315</v>
      </c>
      <c r="B187" s="181">
        <v>2</v>
      </c>
      <c r="D187" s="164">
        <v>33070614716</v>
      </c>
      <c r="E187" s="183">
        <v>216</v>
      </c>
      <c r="F187" s="13"/>
      <c r="G187" s="164">
        <v>33070614716</v>
      </c>
      <c r="H187" s="183">
        <v>268</v>
      </c>
      <c r="J187" s="164">
        <v>33070614716</v>
      </c>
      <c r="K187" s="183">
        <v>509</v>
      </c>
      <c r="M187" s="9"/>
      <c r="P187" s="9"/>
      <c r="S187" s="9"/>
      <c r="V187" s="9"/>
      <c r="Y187" s="9"/>
    </row>
    <row r="188" spans="1:25" x14ac:dyDescent="0.25">
      <c r="A188" s="180">
        <v>33070664518</v>
      </c>
      <c r="B188" s="181">
        <v>24</v>
      </c>
      <c r="D188" s="164">
        <v>33070614717</v>
      </c>
      <c r="E188" s="183">
        <v>260</v>
      </c>
      <c r="F188" s="13"/>
      <c r="G188" s="164">
        <v>33070614717</v>
      </c>
      <c r="H188" s="183">
        <v>400</v>
      </c>
      <c r="J188" s="164">
        <v>33070614717</v>
      </c>
      <c r="K188" s="183">
        <v>900</v>
      </c>
      <c r="M188" s="9"/>
      <c r="P188" s="9"/>
      <c r="S188" s="9"/>
      <c r="V188" s="9"/>
      <c r="Y188" s="9"/>
    </row>
    <row r="189" spans="1:25" x14ac:dyDescent="0.25">
      <c r="A189" s="180">
        <v>33070664795</v>
      </c>
      <c r="B189" s="181">
        <v>12</v>
      </c>
      <c r="D189" s="164">
        <v>33070614718</v>
      </c>
      <c r="E189" s="183">
        <v>297</v>
      </c>
      <c r="F189" s="13"/>
      <c r="G189" s="164">
        <v>33070614718</v>
      </c>
      <c r="H189" s="183">
        <v>473</v>
      </c>
      <c r="J189" s="164">
        <v>33070614718</v>
      </c>
      <c r="K189" s="183">
        <v>1538</v>
      </c>
      <c r="M189" s="9"/>
      <c r="P189" s="9"/>
      <c r="S189" s="9"/>
      <c r="V189" s="9"/>
      <c r="Y189" s="9"/>
    </row>
    <row r="190" spans="1:25" x14ac:dyDescent="0.25">
      <c r="A190" s="180">
        <v>33070664796</v>
      </c>
      <c r="B190" s="181">
        <v>15</v>
      </c>
      <c r="D190" s="164">
        <v>33070614719</v>
      </c>
      <c r="E190" s="183">
        <v>216</v>
      </c>
      <c r="F190" s="13"/>
      <c r="G190" s="164">
        <v>33070614719</v>
      </c>
      <c r="H190" s="183">
        <v>334</v>
      </c>
      <c r="J190" s="164">
        <v>33070614719</v>
      </c>
      <c r="K190" s="183">
        <v>696</v>
      </c>
      <c r="M190" s="9"/>
      <c r="P190" s="9"/>
      <c r="S190" s="9"/>
      <c r="V190" s="9"/>
      <c r="Y190" s="9"/>
    </row>
    <row r="191" spans="1:25" x14ac:dyDescent="0.25">
      <c r="A191" s="180">
        <v>33070664797</v>
      </c>
      <c r="B191" s="181">
        <v>19</v>
      </c>
      <c r="D191" s="164">
        <v>33070614720</v>
      </c>
      <c r="E191" s="183">
        <v>150</v>
      </c>
      <c r="F191" s="13"/>
      <c r="G191" s="164">
        <v>33070614720</v>
      </c>
      <c r="H191" s="183">
        <v>303</v>
      </c>
      <c r="J191" s="164">
        <v>33070614720</v>
      </c>
      <c r="K191" s="183">
        <v>637</v>
      </c>
      <c r="M191" s="9"/>
      <c r="P191" s="9"/>
      <c r="S191" s="9"/>
      <c r="V191" s="9"/>
      <c r="Y191" s="9"/>
    </row>
    <row r="192" spans="1:25" x14ac:dyDescent="0.25">
      <c r="A192" s="180">
        <v>33070665095</v>
      </c>
      <c r="B192" s="181">
        <v>14</v>
      </c>
      <c r="D192" s="164">
        <v>33070614721</v>
      </c>
      <c r="E192" s="183">
        <v>278</v>
      </c>
      <c r="F192" s="13"/>
      <c r="G192" s="164">
        <v>33070614721</v>
      </c>
      <c r="H192" s="183">
        <v>410</v>
      </c>
      <c r="J192" s="164">
        <v>33070614721</v>
      </c>
      <c r="K192" s="183">
        <v>821</v>
      </c>
      <c r="M192" s="9"/>
      <c r="P192" s="9"/>
      <c r="S192" s="9"/>
      <c r="V192" s="9"/>
      <c r="Y192" s="9"/>
    </row>
    <row r="193" spans="1:25" x14ac:dyDescent="0.25">
      <c r="A193" s="180">
        <v>33070665222</v>
      </c>
      <c r="B193" s="181">
        <v>502</v>
      </c>
      <c r="D193" s="164">
        <v>33070614722</v>
      </c>
      <c r="E193" s="165">
        <v>177</v>
      </c>
      <c r="F193" s="13"/>
      <c r="G193" s="164">
        <v>33070614722</v>
      </c>
      <c r="H193" s="183">
        <v>189</v>
      </c>
      <c r="J193" s="164">
        <v>33070614722</v>
      </c>
      <c r="K193" s="183">
        <v>368</v>
      </c>
      <c r="M193" s="9"/>
      <c r="P193" s="9"/>
      <c r="S193" s="9"/>
      <c r="V193" s="9"/>
      <c r="Y193" s="9"/>
    </row>
    <row r="194" spans="1:25" x14ac:dyDescent="0.25">
      <c r="A194" s="180">
        <v>33070665295</v>
      </c>
      <c r="B194" s="181">
        <v>8</v>
      </c>
      <c r="D194" s="164">
        <v>33070614723</v>
      </c>
      <c r="E194" s="165">
        <v>955</v>
      </c>
      <c r="F194" s="13"/>
      <c r="G194" s="164">
        <v>33070614723</v>
      </c>
      <c r="H194" s="183">
        <v>1524</v>
      </c>
      <c r="J194" s="164">
        <v>33070614723</v>
      </c>
      <c r="K194" s="183">
        <v>2992</v>
      </c>
      <c r="M194" s="9"/>
      <c r="P194" s="9"/>
      <c r="S194" s="9"/>
      <c r="V194" s="9"/>
      <c r="Y194" s="9"/>
    </row>
    <row r="195" spans="1:25" x14ac:dyDescent="0.25">
      <c r="A195" s="180">
        <v>33070665296</v>
      </c>
      <c r="B195" s="181">
        <v>18</v>
      </c>
      <c r="D195" s="164">
        <v>33070614724</v>
      </c>
      <c r="E195" s="165">
        <v>1107</v>
      </c>
      <c r="F195" s="13"/>
      <c r="G195" s="164">
        <v>33070614724</v>
      </c>
      <c r="H195" s="183">
        <v>2067</v>
      </c>
      <c r="J195" s="164">
        <v>33070614724</v>
      </c>
      <c r="K195" s="183">
        <v>3876</v>
      </c>
      <c r="M195" s="9"/>
      <c r="P195" s="9"/>
      <c r="S195" s="9"/>
      <c r="V195" s="9"/>
      <c r="Y195" s="9"/>
    </row>
    <row r="196" spans="1:25" x14ac:dyDescent="0.25">
      <c r="A196" s="180">
        <v>33070665297</v>
      </c>
      <c r="B196" s="181">
        <v>15</v>
      </c>
      <c r="D196" s="164">
        <v>33070614727</v>
      </c>
      <c r="E196" s="165">
        <v>483</v>
      </c>
      <c r="F196" s="13"/>
      <c r="G196" s="164">
        <v>33070614727</v>
      </c>
      <c r="H196" s="183">
        <v>844</v>
      </c>
      <c r="J196" s="164">
        <v>33070614727</v>
      </c>
      <c r="K196" s="183">
        <v>2332</v>
      </c>
      <c r="M196" s="9"/>
      <c r="P196" s="9"/>
      <c r="S196" s="9"/>
      <c r="V196" s="9"/>
      <c r="Y196" s="9"/>
    </row>
    <row r="197" spans="1:25" x14ac:dyDescent="0.25">
      <c r="A197" s="180">
        <v>33070665298</v>
      </c>
      <c r="B197" s="181">
        <v>6</v>
      </c>
      <c r="D197" s="164">
        <v>33070614729</v>
      </c>
      <c r="E197" s="165">
        <v>78</v>
      </c>
      <c r="F197" s="13"/>
      <c r="G197" s="164">
        <v>33070614729</v>
      </c>
      <c r="H197" s="183">
        <v>122</v>
      </c>
      <c r="J197" s="164">
        <v>33070614729</v>
      </c>
      <c r="K197" s="183">
        <v>267</v>
      </c>
      <c r="M197" s="9"/>
      <c r="P197" s="9"/>
      <c r="S197" s="9"/>
      <c r="V197" s="9"/>
      <c r="Y197" s="9"/>
    </row>
    <row r="198" spans="1:25" x14ac:dyDescent="0.25">
      <c r="A198" s="180">
        <v>33070665319</v>
      </c>
      <c r="B198" s="181">
        <v>7</v>
      </c>
      <c r="D198" s="164">
        <v>33070614730</v>
      </c>
      <c r="E198" s="165">
        <v>51</v>
      </c>
      <c r="F198" s="13"/>
      <c r="G198" s="164">
        <v>33070614730</v>
      </c>
      <c r="H198" s="183">
        <v>57</v>
      </c>
      <c r="J198" s="164">
        <v>33070614730</v>
      </c>
      <c r="K198" s="183">
        <v>112</v>
      </c>
      <c r="M198" s="9"/>
      <c r="P198" s="9"/>
      <c r="S198" s="9"/>
      <c r="V198" s="9"/>
      <c r="Y198" s="9"/>
    </row>
    <row r="199" spans="1:25" x14ac:dyDescent="0.25">
      <c r="A199" s="180">
        <v>33070665320</v>
      </c>
      <c r="B199" s="181">
        <v>6</v>
      </c>
      <c r="D199" s="164">
        <v>33070614731</v>
      </c>
      <c r="E199" s="165">
        <v>4</v>
      </c>
      <c r="F199" s="13"/>
      <c r="G199" s="164">
        <v>33070614731</v>
      </c>
      <c r="H199" s="165">
        <v>4</v>
      </c>
      <c r="J199" s="164">
        <v>33070614731</v>
      </c>
      <c r="K199" s="183">
        <v>27</v>
      </c>
      <c r="M199" s="9"/>
      <c r="P199" s="9"/>
      <c r="S199" s="9"/>
      <c r="V199" s="9"/>
      <c r="Y199" s="9"/>
    </row>
    <row r="200" spans="1:25" x14ac:dyDescent="0.25">
      <c r="A200" s="180">
        <v>33070665327</v>
      </c>
      <c r="B200" s="181">
        <v>6</v>
      </c>
      <c r="D200" s="164">
        <v>33070614732</v>
      </c>
      <c r="E200" s="165">
        <v>47</v>
      </c>
      <c r="F200" s="13"/>
      <c r="G200" s="164">
        <v>33070614732</v>
      </c>
      <c r="H200" s="165">
        <v>72</v>
      </c>
      <c r="J200" s="164">
        <v>33070614732</v>
      </c>
      <c r="K200" s="183">
        <v>236</v>
      </c>
      <c r="M200" s="9"/>
      <c r="P200" s="9"/>
      <c r="S200" s="9"/>
      <c r="V200" s="9"/>
      <c r="Y200" s="9"/>
    </row>
    <row r="201" spans="1:25" x14ac:dyDescent="0.25">
      <c r="A201" s="180">
        <v>33102163123</v>
      </c>
      <c r="B201" s="181">
        <v>32</v>
      </c>
      <c r="D201" s="164">
        <v>33070614733</v>
      </c>
      <c r="E201" s="165">
        <v>10</v>
      </c>
      <c r="F201" s="13"/>
      <c r="G201" s="164">
        <v>33070614733</v>
      </c>
      <c r="H201" s="165">
        <v>15</v>
      </c>
      <c r="J201" s="164">
        <v>33070614733</v>
      </c>
      <c r="K201" s="183">
        <v>38</v>
      </c>
      <c r="M201" s="9"/>
      <c r="P201" s="9"/>
      <c r="S201" s="9"/>
      <c r="V201" s="9"/>
      <c r="Y201" s="9"/>
    </row>
    <row r="202" spans="1:25" x14ac:dyDescent="0.25">
      <c r="A202" s="180">
        <v>33102163124</v>
      </c>
      <c r="B202" s="181">
        <v>66</v>
      </c>
      <c r="D202" s="164">
        <v>33070614735</v>
      </c>
      <c r="E202" s="165">
        <v>12</v>
      </c>
      <c r="F202" s="13"/>
      <c r="G202" s="164">
        <v>33070614735</v>
      </c>
      <c r="H202" s="165">
        <v>12</v>
      </c>
      <c r="J202" s="164">
        <v>33070614735</v>
      </c>
      <c r="K202" s="183">
        <v>12</v>
      </c>
      <c r="M202" s="9"/>
      <c r="P202" s="9"/>
      <c r="S202" s="9"/>
      <c r="V202" s="9"/>
      <c r="Y202" s="9"/>
    </row>
    <row r="203" spans="1:25" x14ac:dyDescent="0.25">
      <c r="A203" s="180">
        <v>33102163125</v>
      </c>
      <c r="B203" s="181">
        <v>20</v>
      </c>
      <c r="D203" s="164">
        <v>33070614741</v>
      </c>
      <c r="E203" s="165">
        <v>55</v>
      </c>
      <c r="F203" s="13"/>
      <c r="G203" s="164">
        <v>33070614741</v>
      </c>
      <c r="H203" s="165">
        <v>82</v>
      </c>
      <c r="J203" s="164">
        <v>33070614741</v>
      </c>
      <c r="K203" s="183">
        <v>277</v>
      </c>
      <c r="M203" s="9"/>
      <c r="P203" s="9"/>
      <c r="S203" s="9"/>
      <c r="V203" s="9"/>
      <c r="Y203" s="9"/>
    </row>
    <row r="204" spans="1:25" x14ac:dyDescent="0.25">
      <c r="A204" s="180">
        <v>33102163126</v>
      </c>
      <c r="B204" s="181">
        <v>41</v>
      </c>
      <c r="D204" s="164">
        <v>33070614742</v>
      </c>
      <c r="E204" s="165">
        <v>168</v>
      </c>
      <c r="F204" s="13"/>
      <c r="G204" s="164">
        <v>33070614742</v>
      </c>
      <c r="H204" s="165">
        <v>275</v>
      </c>
      <c r="J204" s="164">
        <v>33070614742</v>
      </c>
      <c r="K204" s="165">
        <v>761</v>
      </c>
      <c r="M204" s="9"/>
      <c r="P204" s="9"/>
      <c r="S204" s="9"/>
      <c r="V204" s="9"/>
      <c r="Y204" s="9"/>
    </row>
    <row r="205" spans="1:25" x14ac:dyDescent="0.25">
      <c r="A205" s="180">
        <v>33102163127</v>
      </c>
      <c r="B205" s="181">
        <v>20</v>
      </c>
      <c r="D205" s="164">
        <v>33070614744</v>
      </c>
      <c r="E205" s="165">
        <v>2309</v>
      </c>
      <c r="F205" s="13"/>
      <c r="G205" s="164">
        <v>33070614744</v>
      </c>
      <c r="H205" s="165">
        <v>5323</v>
      </c>
      <c r="J205" s="164">
        <v>33070614744</v>
      </c>
      <c r="K205" s="165">
        <v>10158</v>
      </c>
      <c r="M205" s="9"/>
      <c r="P205" s="9"/>
      <c r="S205" s="9"/>
      <c r="V205" s="9"/>
      <c r="Y205" s="9"/>
    </row>
    <row r="206" spans="1:25" x14ac:dyDescent="0.25">
      <c r="A206" s="180">
        <v>33102164050</v>
      </c>
      <c r="B206" s="181">
        <v>5</v>
      </c>
      <c r="D206" s="164">
        <v>33070614745</v>
      </c>
      <c r="E206" s="165">
        <v>345</v>
      </c>
      <c r="F206" s="13"/>
      <c r="G206" s="164">
        <v>33070614745</v>
      </c>
      <c r="H206" s="165">
        <v>357</v>
      </c>
      <c r="J206" s="164">
        <v>33070614745</v>
      </c>
      <c r="K206" s="165">
        <v>620</v>
      </c>
      <c r="M206" s="9"/>
      <c r="P206" s="9"/>
      <c r="S206" s="9"/>
      <c r="V206" s="9"/>
      <c r="Y206" s="9"/>
    </row>
    <row r="207" spans="1:25" x14ac:dyDescent="0.25">
      <c r="A207" s="180">
        <v>33102263135</v>
      </c>
      <c r="B207" s="181">
        <v>1</v>
      </c>
      <c r="D207" s="164">
        <v>33070614747</v>
      </c>
      <c r="E207" s="165">
        <v>46</v>
      </c>
      <c r="F207" s="13"/>
      <c r="G207" s="164">
        <v>33070614747</v>
      </c>
      <c r="H207" s="165">
        <v>166</v>
      </c>
      <c r="J207" s="164">
        <v>33070614747</v>
      </c>
      <c r="K207" s="165">
        <v>474</v>
      </c>
      <c r="M207" s="9"/>
      <c r="P207" s="9"/>
      <c r="S207" s="9"/>
      <c r="V207" s="9"/>
      <c r="Y207" s="9"/>
    </row>
    <row r="208" spans="1:25" x14ac:dyDescent="0.25">
      <c r="A208" s="180">
        <v>33105063088</v>
      </c>
      <c r="B208" s="181">
        <v>1</v>
      </c>
      <c r="D208" s="164">
        <v>33070614748</v>
      </c>
      <c r="E208" s="165">
        <v>36</v>
      </c>
      <c r="F208" s="13"/>
      <c r="G208" s="164">
        <v>33070614748</v>
      </c>
      <c r="H208" s="165">
        <v>77</v>
      </c>
      <c r="J208" s="164">
        <v>33070614748</v>
      </c>
      <c r="K208" s="165">
        <v>103</v>
      </c>
      <c r="M208" s="9"/>
      <c r="P208" s="9"/>
      <c r="S208" s="9"/>
      <c r="V208" s="9"/>
      <c r="Y208" s="9"/>
    </row>
    <row r="209" spans="1:25" x14ac:dyDescent="0.25">
      <c r="A209" s="180">
        <v>33105263888</v>
      </c>
      <c r="B209" s="181">
        <v>2</v>
      </c>
      <c r="D209" s="164">
        <v>33070614749</v>
      </c>
      <c r="E209" s="165">
        <v>12</v>
      </c>
      <c r="F209" s="13"/>
      <c r="G209" s="164">
        <v>33070614749</v>
      </c>
      <c r="H209" s="165">
        <v>18</v>
      </c>
      <c r="J209" s="164">
        <v>33070614749</v>
      </c>
      <c r="K209" s="165">
        <v>72</v>
      </c>
      <c r="M209" s="9"/>
      <c r="P209" s="9"/>
      <c r="S209" s="9"/>
      <c r="V209" s="9"/>
      <c r="Y209" s="9"/>
    </row>
    <row r="210" spans="1:25" x14ac:dyDescent="0.25">
      <c r="A210" s="180"/>
      <c r="B210" s="181"/>
      <c r="D210" s="164">
        <v>33070614750</v>
      </c>
      <c r="E210" s="165">
        <v>337</v>
      </c>
      <c r="F210" s="13"/>
      <c r="G210" s="164">
        <v>33070614750</v>
      </c>
      <c r="H210" s="165">
        <v>692</v>
      </c>
      <c r="J210" s="164">
        <v>33070614750</v>
      </c>
      <c r="K210" s="165">
        <v>1901</v>
      </c>
      <c r="M210" s="9"/>
      <c r="P210" s="9"/>
      <c r="S210" s="9"/>
      <c r="V210" s="9"/>
      <c r="Y210" s="9"/>
    </row>
    <row r="211" spans="1:25" x14ac:dyDescent="0.25">
      <c r="A211" s="180"/>
      <c r="B211" s="181"/>
      <c r="D211" s="164">
        <v>33070614751</v>
      </c>
      <c r="E211" s="165">
        <v>129</v>
      </c>
      <c r="F211" s="13"/>
      <c r="G211" s="164">
        <v>33070614751</v>
      </c>
      <c r="H211" s="165">
        <v>184</v>
      </c>
      <c r="J211" s="164">
        <v>33070614751</v>
      </c>
      <c r="K211" s="165">
        <v>483</v>
      </c>
      <c r="M211" s="9"/>
      <c r="P211" s="9"/>
      <c r="S211" s="9"/>
      <c r="V211" s="9"/>
      <c r="Y211" s="9"/>
    </row>
    <row r="212" spans="1:25" x14ac:dyDescent="0.25">
      <c r="A212" s="180"/>
      <c r="B212" s="181"/>
      <c r="D212" s="164">
        <v>33070614752</v>
      </c>
      <c r="E212" s="165">
        <v>144</v>
      </c>
      <c r="F212" s="13"/>
      <c r="G212" s="164">
        <v>33070614752</v>
      </c>
      <c r="H212" s="165">
        <v>192</v>
      </c>
      <c r="J212" s="164">
        <v>33070614752</v>
      </c>
      <c r="K212" s="165">
        <v>270</v>
      </c>
      <c r="M212" s="9"/>
      <c r="P212" s="9"/>
      <c r="S212" s="9"/>
      <c r="V212" s="9"/>
      <c r="Y212" s="9"/>
    </row>
    <row r="213" spans="1:25" x14ac:dyDescent="0.25">
      <c r="A213" s="180"/>
      <c r="B213" s="181"/>
      <c r="D213" s="164">
        <v>33070614753</v>
      </c>
      <c r="E213" s="165">
        <v>6</v>
      </c>
      <c r="F213" s="13"/>
      <c r="G213" s="164">
        <v>33070614753</v>
      </c>
      <c r="H213" s="165">
        <v>6</v>
      </c>
      <c r="J213" s="164">
        <v>33070614753</v>
      </c>
      <c r="K213" s="165">
        <v>12</v>
      </c>
      <c r="M213" s="9"/>
      <c r="P213" s="9"/>
      <c r="S213" s="9"/>
      <c r="V213" s="9"/>
      <c r="Y213" s="9"/>
    </row>
    <row r="214" spans="1:25" x14ac:dyDescent="0.25">
      <c r="A214" s="180"/>
      <c r="B214" s="181"/>
      <c r="D214" s="164">
        <v>33070614756</v>
      </c>
      <c r="E214" s="165">
        <v>355</v>
      </c>
      <c r="F214" s="13"/>
      <c r="G214" s="164">
        <v>33070614756</v>
      </c>
      <c r="H214" s="165">
        <v>677</v>
      </c>
      <c r="J214" s="164">
        <v>33070614756</v>
      </c>
      <c r="K214" s="165">
        <v>2027</v>
      </c>
      <c r="M214" s="9"/>
      <c r="P214" s="9"/>
      <c r="S214" s="9"/>
      <c r="V214" s="9"/>
      <c r="Y214" s="9"/>
    </row>
    <row r="215" spans="1:25" x14ac:dyDescent="0.25">
      <c r="A215" s="180"/>
      <c r="B215" s="181"/>
      <c r="D215" s="164">
        <v>33070614757</v>
      </c>
      <c r="E215" s="165">
        <v>29</v>
      </c>
      <c r="F215" s="13"/>
      <c r="G215" s="164">
        <v>33070614757</v>
      </c>
      <c r="H215" s="165">
        <v>37</v>
      </c>
      <c r="J215" s="164">
        <v>33070614757</v>
      </c>
      <c r="K215" s="165">
        <v>117</v>
      </c>
      <c r="M215" s="9"/>
      <c r="P215" s="9"/>
      <c r="S215" s="9"/>
      <c r="V215" s="9"/>
      <c r="Y215" s="9"/>
    </row>
    <row r="216" spans="1:25" x14ac:dyDescent="0.25">
      <c r="A216" s="180"/>
      <c r="B216" s="181"/>
      <c r="D216" s="164">
        <v>33070614758</v>
      </c>
      <c r="E216" s="165">
        <v>36</v>
      </c>
      <c r="F216" s="13"/>
      <c r="G216" s="164">
        <v>33070614758</v>
      </c>
      <c r="H216" s="165">
        <v>57</v>
      </c>
      <c r="J216" s="164">
        <v>33070614758</v>
      </c>
      <c r="K216" s="165">
        <v>163</v>
      </c>
      <c r="M216" s="9"/>
      <c r="P216" s="9"/>
      <c r="S216" s="9"/>
      <c r="V216" s="9"/>
      <c r="Y216" s="9"/>
    </row>
    <row r="217" spans="1:25" x14ac:dyDescent="0.25">
      <c r="A217" s="180"/>
      <c r="B217" s="181"/>
      <c r="D217" s="164">
        <v>33070614759</v>
      </c>
      <c r="E217" s="165">
        <v>95</v>
      </c>
      <c r="F217" s="13"/>
      <c r="G217" s="164">
        <v>33070614759</v>
      </c>
      <c r="H217" s="165">
        <v>117</v>
      </c>
      <c r="J217" s="164">
        <v>33070614759</v>
      </c>
      <c r="K217" s="165">
        <v>271</v>
      </c>
      <c r="M217" s="9"/>
      <c r="P217" s="9"/>
      <c r="S217" s="9"/>
      <c r="V217" s="9"/>
      <c r="Y217" s="9"/>
    </row>
    <row r="218" spans="1:25" x14ac:dyDescent="0.25">
      <c r="A218" s="180"/>
      <c r="B218" s="181"/>
      <c r="D218" s="164">
        <v>33070614776</v>
      </c>
      <c r="E218" s="165">
        <v>368</v>
      </c>
      <c r="F218" s="13"/>
      <c r="G218" s="164">
        <v>33070614776</v>
      </c>
      <c r="H218" s="165">
        <v>766</v>
      </c>
      <c r="J218" s="164">
        <v>33070614776</v>
      </c>
      <c r="K218" s="165">
        <v>1462</v>
      </c>
      <c r="M218" s="9"/>
      <c r="P218" s="9"/>
      <c r="S218" s="9"/>
      <c r="V218" s="9"/>
      <c r="Y218" s="9"/>
    </row>
    <row r="219" spans="1:25" x14ac:dyDescent="0.25">
      <c r="A219" s="180"/>
      <c r="B219" s="181"/>
      <c r="D219" s="164">
        <v>33070614778</v>
      </c>
      <c r="E219" s="165">
        <v>340</v>
      </c>
      <c r="F219" s="13"/>
      <c r="G219" s="164">
        <v>33070614778</v>
      </c>
      <c r="H219" s="165">
        <v>708</v>
      </c>
      <c r="J219" s="164">
        <v>33070614778</v>
      </c>
      <c r="K219" s="165">
        <v>1551</v>
      </c>
      <c r="M219" s="9"/>
      <c r="P219" s="9"/>
      <c r="S219" s="9"/>
      <c r="V219" s="9"/>
      <c r="Y219" s="9"/>
    </row>
    <row r="220" spans="1:25" x14ac:dyDescent="0.25">
      <c r="A220" s="180"/>
      <c r="B220" s="181"/>
      <c r="D220" s="164">
        <v>33070614812</v>
      </c>
      <c r="E220" s="165">
        <v>7</v>
      </c>
      <c r="F220" s="13"/>
      <c r="G220" s="164">
        <v>33070614812</v>
      </c>
      <c r="H220" s="165">
        <v>7</v>
      </c>
      <c r="J220" s="164">
        <v>33070614812</v>
      </c>
      <c r="K220" s="165">
        <v>19</v>
      </c>
      <c r="M220" s="9"/>
      <c r="P220" s="9"/>
      <c r="S220" s="9"/>
      <c r="V220" s="9"/>
      <c r="Y220" s="9"/>
    </row>
    <row r="221" spans="1:25" x14ac:dyDescent="0.25">
      <c r="A221" s="180"/>
      <c r="B221" s="181"/>
      <c r="D221" s="164">
        <v>33070614813</v>
      </c>
      <c r="E221" s="165">
        <v>172</v>
      </c>
      <c r="F221" s="13"/>
      <c r="G221" s="164">
        <v>33070614813</v>
      </c>
      <c r="H221" s="165">
        <v>336</v>
      </c>
      <c r="J221" s="164">
        <v>33070614813</v>
      </c>
      <c r="K221" s="165">
        <v>786</v>
      </c>
      <c r="M221" s="9"/>
      <c r="P221" s="9"/>
      <c r="S221" s="9"/>
      <c r="V221" s="9"/>
      <c r="Y221" s="9"/>
    </row>
    <row r="222" spans="1:25" x14ac:dyDescent="0.25">
      <c r="A222" s="180"/>
      <c r="B222" s="181"/>
      <c r="D222" s="164">
        <v>33070614828</v>
      </c>
      <c r="E222" s="165">
        <v>1</v>
      </c>
      <c r="F222" s="13"/>
      <c r="G222" s="164">
        <v>33070614828</v>
      </c>
      <c r="H222" s="165">
        <v>1</v>
      </c>
      <c r="J222" s="164">
        <v>33070614828</v>
      </c>
      <c r="K222" s="165">
        <v>1</v>
      </c>
      <c r="M222" s="9"/>
      <c r="P222" s="9"/>
      <c r="S222" s="9"/>
      <c r="V222" s="9"/>
      <c r="Y222" s="9"/>
    </row>
    <row r="223" spans="1:25" x14ac:dyDescent="0.25">
      <c r="A223" s="180"/>
      <c r="B223" s="181"/>
      <c r="D223" s="164">
        <v>33070614829</v>
      </c>
      <c r="E223" s="165">
        <v>22</v>
      </c>
      <c r="F223" s="13"/>
      <c r="G223" s="164">
        <v>33070614829</v>
      </c>
      <c r="H223" s="165">
        <v>27</v>
      </c>
      <c r="J223" s="164">
        <v>33070614829</v>
      </c>
      <c r="K223" s="165">
        <v>59</v>
      </c>
      <c r="M223" s="9"/>
      <c r="P223" s="9"/>
      <c r="S223" s="9"/>
      <c r="V223" s="9"/>
      <c r="Y223" s="9"/>
    </row>
    <row r="224" spans="1:25" x14ac:dyDescent="0.25">
      <c r="A224" s="180"/>
      <c r="B224" s="181"/>
      <c r="D224" s="164">
        <v>33070614830</v>
      </c>
      <c r="E224" s="165">
        <v>530</v>
      </c>
      <c r="F224" s="13"/>
      <c r="G224" s="164">
        <v>33070614830</v>
      </c>
      <c r="H224" s="165">
        <v>741</v>
      </c>
      <c r="J224" s="164">
        <v>33070614830</v>
      </c>
      <c r="K224" s="165">
        <v>1361</v>
      </c>
      <c r="M224" s="9"/>
      <c r="P224" s="9"/>
      <c r="S224" s="9"/>
      <c r="V224" s="9"/>
      <c r="Y224" s="9"/>
    </row>
    <row r="225" spans="1:25" x14ac:dyDescent="0.25">
      <c r="A225" s="180"/>
      <c r="B225" s="181"/>
      <c r="D225" s="164">
        <v>33070614831</v>
      </c>
      <c r="E225" s="165">
        <v>258</v>
      </c>
      <c r="F225" s="13"/>
      <c r="G225" s="164">
        <v>33070614831</v>
      </c>
      <c r="H225" s="165">
        <v>428</v>
      </c>
      <c r="J225" s="164">
        <v>33070614831</v>
      </c>
      <c r="K225" s="165">
        <v>1086</v>
      </c>
      <c r="M225" s="9"/>
      <c r="P225" s="9"/>
      <c r="S225" s="9"/>
      <c r="V225" s="9"/>
      <c r="Y225" s="9"/>
    </row>
    <row r="226" spans="1:25" x14ac:dyDescent="0.25">
      <c r="A226" s="180"/>
      <c r="B226" s="181"/>
      <c r="D226" s="164">
        <v>33070614895</v>
      </c>
      <c r="E226" s="165">
        <v>107</v>
      </c>
      <c r="F226" s="13"/>
      <c r="G226" s="164">
        <v>33070614895</v>
      </c>
      <c r="H226" s="165">
        <v>120</v>
      </c>
      <c r="J226" s="164">
        <v>33070614895</v>
      </c>
      <c r="K226" s="165">
        <v>264</v>
      </c>
      <c r="M226" s="9"/>
      <c r="P226" s="9"/>
      <c r="S226" s="9"/>
      <c r="V226" s="9"/>
      <c r="Y226" s="9"/>
    </row>
    <row r="227" spans="1:25" x14ac:dyDescent="0.25">
      <c r="A227" s="180"/>
      <c r="B227" s="181"/>
      <c r="D227" s="164">
        <v>33070614897</v>
      </c>
      <c r="E227" s="165">
        <v>35</v>
      </c>
      <c r="F227" s="13"/>
      <c r="G227" s="164">
        <v>33070614897</v>
      </c>
      <c r="H227" s="165">
        <v>52</v>
      </c>
      <c r="J227" s="164">
        <v>33070614897</v>
      </c>
      <c r="K227" s="165">
        <v>179</v>
      </c>
      <c r="M227" s="9"/>
      <c r="P227" s="9"/>
      <c r="S227" s="9"/>
      <c r="V227" s="9"/>
      <c r="Y227" s="9"/>
    </row>
    <row r="228" spans="1:25" x14ac:dyDescent="0.25">
      <c r="A228" s="180"/>
      <c r="B228" s="181"/>
      <c r="D228" s="164">
        <v>33070614898</v>
      </c>
      <c r="E228" s="165">
        <v>85</v>
      </c>
      <c r="F228" s="13"/>
      <c r="G228" s="164">
        <v>33070614898</v>
      </c>
      <c r="H228" s="165">
        <v>181</v>
      </c>
      <c r="J228" s="164">
        <v>33070614898</v>
      </c>
      <c r="K228" s="165">
        <v>415</v>
      </c>
      <c r="M228" s="9"/>
      <c r="P228" s="9"/>
      <c r="S228" s="9"/>
      <c r="V228" s="9"/>
      <c r="Y228" s="9"/>
    </row>
    <row r="229" spans="1:25" x14ac:dyDescent="0.25">
      <c r="A229" s="180"/>
      <c r="B229" s="181"/>
      <c r="D229" s="164">
        <v>33070614906</v>
      </c>
      <c r="E229" s="165">
        <v>95</v>
      </c>
      <c r="F229" s="13"/>
      <c r="G229" s="164">
        <v>33070614906</v>
      </c>
      <c r="H229" s="165">
        <v>115</v>
      </c>
      <c r="J229" s="164">
        <v>33070614906</v>
      </c>
      <c r="K229" s="165">
        <v>260</v>
      </c>
      <c r="M229" s="9"/>
      <c r="P229" s="9"/>
      <c r="S229" s="9"/>
      <c r="V229" s="9"/>
      <c r="Y229" s="9"/>
    </row>
    <row r="230" spans="1:25" x14ac:dyDescent="0.25">
      <c r="A230" s="180"/>
      <c r="B230" s="181"/>
      <c r="D230" s="164">
        <v>33070614907</v>
      </c>
      <c r="E230" s="165">
        <v>22</v>
      </c>
      <c r="F230" s="13"/>
      <c r="G230" s="164">
        <v>33070614907</v>
      </c>
      <c r="H230" s="165">
        <v>23</v>
      </c>
      <c r="J230" s="164">
        <v>33070614907</v>
      </c>
      <c r="K230" s="165">
        <v>116</v>
      </c>
      <c r="M230" s="9"/>
      <c r="P230" s="9"/>
      <c r="S230" s="9"/>
      <c r="V230" s="9"/>
      <c r="Y230" s="9"/>
    </row>
    <row r="231" spans="1:25" x14ac:dyDescent="0.25">
      <c r="A231" s="180"/>
      <c r="B231" s="181"/>
      <c r="D231" s="164">
        <v>33070614908</v>
      </c>
      <c r="E231" s="165">
        <v>58</v>
      </c>
      <c r="F231" s="13"/>
      <c r="G231" s="164">
        <v>33070614908</v>
      </c>
      <c r="H231" s="165">
        <v>186</v>
      </c>
      <c r="J231" s="164">
        <v>33070614908</v>
      </c>
      <c r="K231" s="165">
        <v>281</v>
      </c>
      <c r="M231" s="9"/>
      <c r="P231" s="9"/>
      <c r="S231" s="9"/>
      <c r="V231" s="9"/>
      <c r="Y231" s="9"/>
    </row>
    <row r="232" spans="1:25" x14ac:dyDescent="0.25">
      <c r="A232" s="180"/>
      <c r="B232" s="181"/>
      <c r="D232" s="164">
        <v>33070614909</v>
      </c>
      <c r="E232" s="165">
        <v>59</v>
      </c>
      <c r="F232" s="13"/>
      <c r="G232" s="164">
        <v>33070614909</v>
      </c>
      <c r="H232" s="165">
        <v>104</v>
      </c>
      <c r="J232" s="164">
        <v>33070614909</v>
      </c>
      <c r="K232" s="165">
        <v>205</v>
      </c>
      <c r="M232" s="9"/>
      <c r="P232" s="9"/>
      <c r="S232" s="9"/>
      <c r="V232" s="9"/>
      <c r="Y232" s="9"/>
    </row>
    <row r="233" spans="1:25" x14ac:dyDescent="0.25">
      <c r="A233" s="180"/>
      <c r="B233" s="181"/>
      <c r="D233" s="164">
        <v>33070614910</v>
      </c>
      <c r="E233" s="165">
        <v>41</v>
      </c>
      <c r="F233" s="13"/>
      <c r="G233" s="164">
        <v>33070614910</v>
      </c>
      <c r="H233" s="165">
        <v>55</v>
      </c>
      <c r="J233" s="164">
        <v>33070614910</v>
      </c>
      <c r="K233" s="165">
        <v>162</v>
      </c>
      <c r="M233" s="9"/>
      <c r="P233" s="9"/>
      <c r="S233" s="9"/>
      <c r="V233" s="9"/>
      <c r="Y233" s="9"/>
    </row>
    <row r="234" spans="1:25" x14ac:dyDescent="0.25">
      <c r="A234" s="180"/>
      <c r="B234" s="181"/>
      <c r="D234" s="164">
        <v>33070614912</v>
      </c>
      <c r="E234" s="165">
        <v>32</v>
      </c>
      <c r="F234" s="13"/>
      <c r="G234" s="164">
        <v>33070614912</v>
      </c>
      <c r="H234" s="165">
        <v>44</v>
      </c>
      <c r="J234" s="164">
        <v>33070614912</v>
      </c>
      <c r="K234" s="165">
        <v>64</v>
      </c>
      <c r="M234" s="9"/>
      <c r="P234" s="9"/>
      <c r="S234" s="9"/>
      <c r="V234" s="9"/>
      <c r="Y234" s="9"/>
    </row>
    <row r="235" spans="1:25" x14ac:dyDescent="0.25">
      <c r="A235" s="180"/>
      <c r="B235" s="181"/>
      <c r="D235" s="164">
        <v>33070614913</v>
      </c>
      <c r="E235" s="165">
        <v>30</v>
      </c>
      <c r="F235" s="13"/>
      <c r="G235" s="164">
        <v>33070614913</v>
      </c>
      <c r="H235" s="165">
        <v>36</v>
      </c>
      <c r="J235" s="164">
        <v>33070614913</v>
      </c>
      <c r="K235" s="165">
        <v>98</v>
      </c>
      <c r="M235" s="9"/>
      <c r="P235" s="9"/>
      <c r="S235" s="9"/>
      <c r="V235" s="9"/>
      <c r="Y235" s="9"/>
    </row>
    <row r="236" spans="1:25" x14ac:dyDescent="0.25">
      <c r="A236" s="180"/>
      <c r="B236" s="181"/>
      <c r="D236" s="164">
        <v>33070614922</v>
      </c>
      <c r="E236" s="165">
        <v>25</v>
      </c>
      <c r="F236" s="13"/>
      <c r="G236" s="164">
        <v>33070614922</v>
      </c>
      <c r="H236" s="165">
        <v>25</v>
      </c>
      <c r="J236" s="164">
        <v>33070614922</v>
      </c>
      <c r="K236" s="165">
        <v>47</v>
      </c>
      <c r="M236" s="9"/>
      <c r="P236" s="9"/>
      <c r="S236" s="9"/>
      <c r="V236" s="9"/>
      <c r="Y236" s="9"/>
    </row>
    <row r="237" spans="1:25" x14ac:dyDescent="0.25">
      <c r="A237" s="180"/>
      <c r="B237" s="181"/>
      <c r="D237" s="164">
        <v>33070614923</v>
      </c>
      <c r="E237" s="165">
        <v>21</v>
      </c>
      <c r="F237" s="13"/>
      <c r="G237" s="164">
        <v>33070614923</v>
      </c>
      <c r="H237" s="165">
        <v>22</v>
      </c>
      <c r="J237" s="164">
        <v>33070614923</v>
      </c>
      <c r="K237" s="165">
        <v>77</v>
      </c>
      <c r="M237" s="9"/>
      <c r="P237" s="9"/>
      <c r="S237" s="9"/>
      <c r="V237" s="9"/>
      <c r="Y237" s="9"/>
    </row>
    <row r="238" spans="1:25" x14ac:dyDescent="0.25">
      <c r="A238" s="180"/>
      <c r="B238" s="181"/>
      <c r="D238" s="164">
        <v>33070614924</v>
      </c>
      <c r="E238" s="165">
        <v>11</v>
      </c>
      <c r="F238" s="13"/>
      <c r="G238" s="164">
        <v>33070614924</v>
      </c>
      <c r="H238" s="165">
        <v>11</v>
      </c>
      <c r="J238" s="164">
        <v>33070614924</v>
      </c>
      <c r="K238" s="165">
        <v>52</v>
      </c>
      <c r="M238" s="9"/>
      <c r="P238" s="9"/>
      <c r="S238" s="9"/>
      <c r="V238" s="9"/>
      <c r="Y238" s="9"/>
    </row>
    <row r="239" spans="1:25" x14ac:dyDescent="0.25">
      <c r="A239" s="180"/>
      <c r="B239" s="181"/>
      <c r="D239" s="164">
        <v>33070614925</v>
      </c>
      <c r="E239" s="165">
        <v>92</v>
      </c>
      <c r="F239" s="13"/>
      <c r="G239" s="164">
        <v>33070614925</v>
      </c>
      <c r="H239" s="165">
        <v>129</v>
      </c>
      <c r="J239" s="164">
        <v>33070614925</v>
      </c>
      <c r="K239" s="165">
        <v>277</v>
      </c>
      <c r="M239" s="9"/>
      <c r="P239" s="9"/>
      <c r="S239" s="9"/>
      <c r="V239" s="9"/>
      <c r="Y239" s="9"/>
    </row>
    <row r="240" spans="1:25" x14ac:dyDescent="0.25">
      <c r="A240" s="180"/>
      <c r="B240" s="181"/>
      <c r="D240" s="164">
        <v>33070614926</v>
      </c>
      <c r="E240" s="165">
        <v>47</v>
      </c>
      <c r="F240" s="13"/>
      <c r="G240" s="164">
        <v>33070614926</v>
      </c>
      <c r="H240" s="165">
        <v>68</v>
      </c>
      <c r="J240" s="164">
        <v>33070614926</v>
      </c>
      <c r="K240" s="165">
        <v>144</v>
      </c>
      <c r="M240" s="9"/>
      <c r="P240" s="9"/>
      <c r="S240" s="9"/>
      <c r="V240" s="9"/>
      <c r="Y240" s="9"/>
    </row>
    <row r="241" spans="1:25" x14ac:dyDescent="0.25">
      <c r="A241" s="180"/>
      <c r="B241" s="181"/>
      <c r="D241" s="164">
        <v>33070614927</v>
      </c>
      <c r="E241" s="165">
        <v>16</v>
      </c>
      <c r="F241" s="13"/>
      <c r="G241" s="164">
        <v>33070614927</v>
      </c>
      <c r="H241" s="165">
        <v>27</v>
      </c>
      <c r="J241" s="164">
        <v>33070614927</v>
      </c>
      <c r="K241" s="165">
        <v>81</v>
      </c>
      <c r="M241" s="9"/>
      <c r="P241" s="9"/>
      <c r="S241" s="9"/>
      <c r="V241" s="9"/>
      <c r="Y241" s="9"/>
    </row>
    <row r="242" spans="1:25" x14ac:dyDescent="0.25">
      <c r="A242" s="180"/>
      <c r="B242" s="181"/>
      <c r="D242" s="164">
        <v>33070614999</v>
      </c>
      <c r="E242" s="165">
        <v>6</v>
      </c>
      <c r="F242" s="13"/>
      <c r="G242" s="164">
        <v>33070614999</v>
      </c>
      <c r="H242" s="165">
        <v>6</v>
      </c>
      <c r="J242" s="164">
        <v>33070614999</v>
      </c>
      <c r="K242" s="165">
        <v>6</v>
      </c>
      <c r="M242" s="9"/>
      <c r="P242" s="9"/>
      <c r="S242" s="9"/>
      <c r="V242" s="9"/>
      <c r="Y242" s="9"/>
    </row>
    <row r="243" spans="1:25" x14ac:dyDescent="0.25">
      <c r="A243" s="180"/>
      <c r="B243" s="181"/>
      <c r="D243" s="164">
        <v>33070654001</v>
      </c>
      <c r="E243" s="165">
        <v>101</v>
      </c>
      <c r="F243" s="13"/>
      <c r="G243" s="164">
        <v>33070654001</v>
      </c>
      <c r="H243" s="165">
        <v>168</v>
      </c>
      <c r="J243" s="164">
        <v>33070654001</v>
      </c>
      <c r="K243" s="165">
        <v>316</v>
      </c>
      <c r="M243" s="9"/>
      <c r="P243" s="9"/>
      <c r="S243" s="9"/>
      <c r="V243" s="9"/>
      <c r="Y243" s="9"/>
    </row>
    <row r="244" spans="1:25" x14ac:dyDescent="0.25">
      <c r="A244" s="180"/>
      <c r="B244" s="181"/>
      <c r="D244" s="164">
        <v>33070654135</v>
      </c>
      <c r="E244" s="165">
        <v>34</v>
      </c>
      <c r="F244" s="13"/>
      <c r="G244" s="164">
        <v>33070654135</v>
      </c>
      <c r="H244" s="165">
        <v>68</v>
      </c>
      <c r="J244" s="164">
        <v>33070654135</v>
      </c>
      <c r="K244" s="165">
        <v>236</v>
      </c>
      <c r="M244" s="9"/>
      <c r="P244" s="9"/>
      <c r="S244" s="9"/>
      <c r="V244" s="9"/>
      <c r="Y244" s="9"/>
    </row>
    <row r="245" spans="1:25" x14ac:dyDescent="0.25">
      <c r="A245" s="180"/>
      <c r="B245" s="181"/>
      <c r="D245" s="164">
        <v>33070654136</v>
      </c>
      <c r="E245" s="165">
        <v>1130</v>
      </c>
      <c r="F245" s="13"/>
      <c r="G245" s="164">
        <v>33070654136</v>
      </c>
      <c r="H245" s="165">
        <v>1491</v>
      </c>
      <c r="J245" s="164">
        <v>33070654136</v>
      </c>
      <c r="K245" s="165">
        <v>2825</v>
      </c>
      <c r="M245" s="9"/>
      <c r="P245" s="9"/>
      <c r="S245" s="9"/>
      <c r="V245" s="9"/>
      <c r="Y245" s="9"/>
    </row>
    <row r="246" spans="1:25" x14ac:dyDescent="0.25">
      <c r="A246" s="180"/>
      <c r="B246" s="181"/>
      <c r="D246" s="164">
        <v>33070660353</v>
      </c>
      <c r="E246" s="165">
        <v>44</v>
      </c>
      <c r="F246" s="13"/>
      <c r="G246" s="164">
        <v>33070660353</v>
      </c>
      <c r="H246" s="165">
        <v>112</v>
      </c>
      <c r="J246" s="164">
        <v>33070660353</v>
      </c>
      <c r="K246" s="165">
        <v>211</v>
      </c>
      <c r="M246" s="9"/>
      <c r="P246" s="9"/>
      <c r="S246" s="9"/>
      <c r="V246" s="9"/>
      <c r="Y246" s="9"/>
    </row>
    <row r="247" spans="1:25" x14ac:dyDescent="0.25">
      <c r="A247" s="180"/>
      <c r="B247" s="181"/>
      <c r="D247" s="164">
        <v>33070660354</v>
      </c>
      <c r="E247" s="165">
        <v>47</v>
      </c>
      <c r="F247" s="13"/>
      <c r="G247" s="164">
        <v>33070660354</v>
      </c>
      <c r="H247" s="165">
        <v>107</v>
      </c>
      <c r="J247" s="164">
        <v>33070660354</v>
      </c>
      <c r="K247" s="165">
        <v>155</v>
      </c>
      <c r="M247" s="9"/>
      <c r="P247" s="9"/>
      <c r="S247" s="9"/>
      <c r="V247" s="9"/>
      <c r="Y247" s="9"/>
    </row>
    <row r="248" spans="1:25" x14ac:dyDescent="0.25">
      <c r="A248" s="180"/>
      <c r="B248" s="181"/>
      <c r="D248" s="164">
        <v>33070660825</v>
      </c>
      <c r="E248" s="165">
        <v>27</v>
      </c>
      <c r="F248" s="13"/>
      <c r="G248" s="164">
        <v>33070660825</v>
      </c>
      <c r="H248" s="165">
        <v>65</v>
      </c>
      <c r="J248" s="164">
        <v>33070660825</v>
      </c>
      <c r="K248" s="165">
        <v>131</v>
      </c>
      <c r="M248" s="9"/>
      <c r="P248" s="9"/>
      <c r="S248" s="9"/>
      <c r="V248" s="9"/>
      <c r="Y248" s="9"/>
    </row>
    <row r="249" spans="1:25" x14ac:dyDescent="0.25">
      <c r="A249" s="180"/>
      <c r="B249" s="181"/>
      <c r="D249" s="164">
        <v>33070660894</v>
      </c>
      <c r="E249" s="165">
        <v>118</v>
      </c>
      <c r="F249" s="13"/>
      <c r="G249" s="164">
        <v>33070660894</v>
      </c>
      <c r="H249" s="165">
        <v>230</v>
      </c>
      <c r="J249" s="164">
        <v>33070660894</v>
      </c>
      <c r="K249" s="165">
        <v>571</v>
      </c>
      <c r="M249" s="9"/>
      <c r="P249" s="9"/>
      <c r="S249" s="9"/>
      <c r="V249" s="9"/>
      <c r="Y249" s="9"/>
    </row>
    <row r="250" spans="1:25" x14ac:dyDescent="0.25">
      <c r="A250" s="180"/>
      <c r="B250" s="181"/>
      <c r="D250" s="164">
        <v>33070661131</v>
      </c>
      <c r="E250" s="165">
        <v>25</v>
      </c>
      <c r="F250" s="13"/>
      <c r="G250" s="164">
        <v>33070661131</v>
      </c>
      <c r="H250" s="165">
        <v>90</v>
      </c>
      <c r="J250" s="164">
        <v>33070661131</v>
      </c>
      <c r="K250" s="165">
        <v>185</v>
      </c>
      <c r="M250" s="9"/>
      <c r="P250" s="9"/>
      <c r="S250" s="9"/>
      <c r="V250" s="9"/>
      <c r="Y250" s="9"/>
    </row>
    <row r="251" spans="1:25" x14ac:dyDescent="0.25">
      <c r="A251" s="180"/>
      <c r="B251" s="181"/>
      <c r="D251" s="164">
        <v>33070661132</v>
      </c>
      <c r="E251" s="165">
        <v>35</v>
      </c>
      <c r="F251" s="13"/>
      <c r="G251" s="164">
        <v>33070661132</v>
      </c>
      <c r="H251" s="165">
        <v>45</v>
      </c>
      <c r="J251" s="164">
        <v>33070661132</v>
      </c>
      <c r="K251" s="165">
        <v>122</v>
      </c>
      <c r="M251" s="9"/>
      <c r="P251" s="9"/>
      <c r="S251" s="9"/>
      <c r="V251" s="9"/>
      <c r="Y251" s="9"/>
    </row>
    <row r="252" spans="1:25" x14ac:dyDescent="0.25">
      <c r="A252" s="180"/>
      <c r="B252" s="181"/>
      <c r="D252" s="164">
        <v>33070661133</v>
      </c>
      <c r="E252" s="165">
        <v>30</v>
      </c>
      <c r="F252" s="13"/>
      <c r="G252" s="164">
        <v>33070661133</v>
      </c>
      <c r="H252" s="165">
        <v>43</v>
      </c>
      <c r="J252" s="164">
        <v>33070661133</v>
      </c>
      <c r="K252" s="165">
        <v>135</v>
      </c>
      <c r="M252" s="9"/>
      <c r="P252" s="9"/>
      <c r="S252" s="9"/>
      <c r="V252" s="9"/>
      <c r="Y252" s="9"/>
    </row>
    <row r="253" spans="1:25" x14ac:dyDescent="0.25">
      <c r="A253" s="180"/>
      <c r="B253" s="181"/>
      <c r="D253" s="164">
        <v>33070661635</v>
      </c>
      <c r="E253" s="165">
        <v>29</v>
      </c>
      <c r="F253" s="13"/>
      <c r="G253" s="164">
        <v>33070661635</v>
      </c>
      <c r="H253" s="165">
        <v>29</v>
      </c>
      <c r="J253" s="164">
        <v>33070661635</v>
      </c>
      <c r="K253" s="165">
        <v>92</v>
      </c>
      <c r="M253" s="9"/>
      <c r="P253" s="9"/>
      <c r="S253" s="9"/>
      <c r="V253" s="9"/>
      <c r="Y253" s="9"/>
    </row>
    <row r="254" spans="1:25" x14ac:dyDescent="0.25">
      <c r="A254" s="180"/>
      <c r="B254" s="181"/>
      <c r="D254" s="164">
        <v>33070661636</v>
      </c>
      <c r="E254" s="165">
        <v>224</v>
      </c>
      <c r="F254" s="13"/>
      <c r="G254" s="164">
        <v>33070661636</v>
      </c>
      <c r="H254" s="165">
        <v>278</v>
      </c>
      <c r="J254" s="164">
        <v>33070661636</v>
      </c>
      <c r="K254" s="165">
        <v>543</v>
      </c>
      <c r="M254" s="9"/>
      <c r="P254" s="9"/>
      <c r="S254" s="9"/>
      <c r="V254" s="9"/>
      <c r="Y254" s="9"/>
    </row>
    <row r="255" spans="1:25" x14ac:dyDescent="0.25">
      <c r="A255" s="180"/>
      <c r="B255" s="181"/>
      <c r="D255" s="164">
        <v>33070661992</v>
      </c>
      <c r="E255" s="165">
        <v>57</v>
      </c>
      <c r="F255" s="13"/>
      <c r="G255" s="164">
        <v>33070661992</v>
      </c>
      <c r="H255" s="165">
        <v>87</v>
      </c>
      <c r="J255" s="164">
        <v>33070661992</v>
      </c>
      <c r="K255" s="165">
        <v>149</v>
      </c>
      <c r="M255" s="9"/>
      <c r="P255" s="9"/>
      <c r="S255" s="9"/>
      <c r="V255" s="9"/>
      <c r="Y255" s="9"/>
    </row>
    <row r="256" spans="1:25" x14ac:dyDescent="0.25">
      <c r="A256" s="72"/>
      <c r="B256" s="73"/>
      <c r="D256" s="164">
        <v>33070662972</v>
      </c>
      <c r="E256" s="165">
        <v>3</v>
      </c>
      <c r="F256" s="13"/>
      <c r="G256" s="164">
        <v>33070662972</v>
      </c>
      <c r="H256" s="165">
        <v>75</v>
      </c>
      <c r="J256" s="164">
        <v>33070662972</v>
      </c>
      <c r="K256" s="165">
        <v>173</v>
      </c>
      <c r="M256" s="9"/>
      <c r="P256" s="9"/>
      <c r="S256" s="9"/>
      <c r="V256" s="9"/>
      <c r="Y256" s="9"/>
    </row>
    <row r="257" spans="1:25" x14ac:dyDescent="0.25">
      <c r="A257" s="72"/>
      <c r="B257" s="73"/>
      <c r="D257" s="164">
        <v>33070663175</v>
      </c>
      <c r="E257" s="165">
        <v>51</v>
      </c>
      <c r="F257" s="13"/>
      <c r="G257" s="164">
        <v>33070663175</v>
      </c>
      <c r="H257" s="165">
        <v>69</v>
      </c>
      <c r="J257" s="164">
        <v>33070663175</v>
      </c>
      <c r="K257" s="165">
        <v>133</v>
      </c>
      <c r="M257" s="9"/>
      <c r="P257" s="9"/>
      <c r="S257" s="9"/>
      <c r="V257" s="9"/>
      <c r="Y257" s="9"/>
    </row>
    <row r="258" spans="1:25" x14ac:dyDescent="0.25">
      <c r="A258" s="72"/>
      <c r="B258" s="73"/>
      <c r="D258" s="164">
        <v>33070663176</v>
      </c>
      <c r="E258" s="165">
        <v>39</v>
      </c>
      <c r="F258" s="13"/>
      <c r="G258" s="164">
        <v>33070663176</v>
      </c>
      <c r="H258" s="165">
        <v>45</v>
      </c>
      <c r="J258" s="164">
        <v>33070663176</v>
      </c>
      <c r="K258" s="165">
        <v>117</v>
      </c>
      <c r="M258" s="9"/>
      <c r="P258" s="9"/>
      <c r="S258" s="9"/>
      <c r="V258" s="9"/>
      <c r="Y258" s="9"/>
    </row>
    <row r="259" spans="1:25" x14ac:dyDescent="0.25">
      <c r="D259" s="164">
        <v>33070663218</v>
      </c>
      <c r="E259" s="165">
        <v>245</v>
      </c>
      <c r="F259" s="13"/>
      <c r="G259" s="164">
        <v>33070663218</v>
      </c>
      <c r="H259" s="165">
        <v>542</v>
      </c>
      <c r="J259" s="164">
        <v>33070663218</v>
      </c>
      <c r="K259" s="165">
        <v>1227</v>
      </c>
      <c r="M259" s="9"/>
      <c r="P259" s="9"/>
      <c r="S259" s="9"/>
      <c r="V259" s="9"/>
      <c r="Y259" s="9"/>
    </row>
    <row r="260" spans="1:25" x14ac:dyDescent="0.25">
      <c r="D260" s="164">
        <v>33070663219</v>
      </c>
      <c r="E260" s="165">
        <v>13</v>
      </c>
      <c r="F260" s="13"/>
      <c r="G260" s="164">
        <v>33070663219</v>
      </c>
      <c r="H260" s="165">
        <v>21</v>
      </c>
      <c r="J260" s="164">
        <v>33070663219</v>
      </c>
      <c r="K260" s="165">
        <v>244</v>
      </c>
      <c r="M260" s="9"/>
      <c r="P260" s="9"/>
      <c r="S260" s="9"/>
      <c r="V260" s="9"/>
      <c r="Y260" s="9"/>
    </row>
    <row r="261" spans="1:25" x14ac:dyDescent="0.25">
      <c r="D261" s="164">
        <v>33070663584</v>
      </c>
      <c r="E261" s="165">
        <v>17</v>
      </c>
      <c r="F261" s="13"/>
      <c r="G261" s="164">
        <v>33070663584</v>
      </c>
      <c r="H261" s="165">
        <v>17</v>
      </c>
      <c r="J261" s="164">
        <v>33070663584</v>
      </c>
      <c r="K261" s="165">
        <v>35</v>
      </c>
      <c r="M261" s="9"/>
      <c r="P261" s="9"/>
      <c r="S261" s="9"/>
      <c r="V261" s="9"/>
      <c r="Y261" s="9"/>
    </row>
    <row r="262" spans="1:25" x14ac:dyDescent="0.25">
      <c r="D262" s="164">
        <v>33070663585</v>
      </c>
      <c r="E262" s="165">
        <v>13</v>
      </c>
      <c r="F262" s="13"/>
      <c r="G262" s="164">
        <v>33070663585</v>
      </c>
      <c r="H262" s="165">
        <v>19</v>
      </c>
      <c r="J262" s="164">
        <v>33070663585</v>
      </c>
      <c r="K262" s="165">
        <v>27</v>
      </c>
      <c r="M262" s="9"/>
      <c r="P262" s="9"/>
      <c r="S262" s="9"/>
      <c r="V262" s="9"/>
      <c r="Y262" s="9"/>
    </row>
    <row r="263" spans="1:25" x14ac:dyDescent="0.25">
      <c r="D263" s="164">
        <v>33070663687</v>
      </c>
      <c r="E263" s="165">
        <v>137</v>
      </c>
      <c r="F263" s="13"/>
      <c r="G263" s="164">
        <v>33070663687</v>
      </c>
      <c r="H263" s="165">
        <v>149</v>
      </c>
      <c r="J263" s="164">
        <v>33070663687</v>
      </c>
      <c r="K263" s="165">
        <v>254</v>
      </c>
      <c r="M263" s="9"/>
      <c r="P263" s="9"/>
      <c r="S263" s="9"/>
      <c r="V263" s="9"/>
      <c r="Y263" s="9"/>
    </row>
    <row r="264" spans="1:25" x14ac:dyDescent="0.25">
      <c r="D264" s="164">
        <v>33070663714</v>
      </c>
      <c r="E264" s="165">
        <v>124</v>
      </c>
      <c r="F264" s="13"/>
      <c r="G264" s="164">
        <v>33070663714</v>
      </c>
      <c r="H264" s="165">
        <v>356</v>
      </c>
      <c r="J264" s="164">
        <v>33070663714</v>
      </c>
      <c r="K264" s="165">
        <v>795</v>
      </c>
      <c r="M264" s="9"/>
      <c r="P264" s="9"/>
      <c r="S264" s="9"/>
      <c r="V264" s="9"/>
      <c r="Y264" s="9"/>
    </row>
    <row r="265" spans="1:25" x14ac:dyDescent="0.25">
      <c r="D265" s="164">
        <v>33070663719</v>
      </c>
      <c r="E265" s="165">
        <v>178</v>
      </c>
      <c r="F265" s="13"/>
      <c r="G265" s="164">
        <v>33070663719</v>
      </c>
      <c r="H265" s="165">
        <v>203</v>
      </c>
      <c r="J265" s="164">
        <v>33070663719</v>
      </c>
      <c r="K265" s="165">
        <v>455</v>
      </c>
      <c r="M265" s="9"/>
      <c r="P265" s="9"/>
      <c r="S265" s="9"/>
      <c r="V265" s="9"/>
      <c r="Y265" s="9"/>
    </row>
    <row r="266" spans="1:25" x14ac:dyDescent="0.25">
      <c r="D266" s="164">
        <v>33070663720</v>
      </c>
      <c r="E266" s="165">
        <v>33</v>
      </c>
      <c r="F266" s="13"/>
      <c r="G266" s="164">
        <v>33070663720</v>
      </c>
      <c r="H266" s="165">
        <v>33</v>
      </c>
      <c r="J266" s="164">
        <v>33070663720</v>
      </c>
      <c r="K266" s="165">
        <v>33</v>
      </c>
      <c r="M266" s="9"/>
      <c r="P266" s="9"/>
      <c r="S266" s="9"/>
      <c r="V266" s="9"/>
      <c r="Y266" s="9"/>
    </row>
    <row r="267" spans="1:25" x14ac:dyDescent="0.25">
      <c r="D267" s="164">
        <v>33070663721</v>
      </c>
      <c r="E267" s="165">
        <v>163</v>
      </c>
      <c r="F267" s="13"/>
      <c r="G267" s="164">
        <v>33070663721</v>
      </c>
      <c r="H267" s="165">
        <v>179</v>
      </c>
      <c r="J267" s="164">
        <v>33070663721</v>
      </c>
      <c r="K267" s="165">
        <v>333</v>
      </c>
      <c r="M267" s="9"/>
      <c r="P267" s="9"/>
      <c r="S267" s="9"/>
      <c r="V267" s="9"/>
      <c r="Y267" s="9"/>
    </row>
    <row r="268" spans="1:25" x14ac:dyDescent="0.25">
      <c r="D268" s="164">
        <v>33070663722</v>
      </c>
      <c r="E268" s="165">
        <v>30</v>
      </c>
      <c r="F268" s="13"/>
      <c r="G268" s="164">
        <v>33070663722</v>
      </c>
      <c r="H268" s="165">
        <v>42</v>
      </c>
      <c r="J268" s="164">
        <v>33070663722</v>
      </c>
      <c r="K268" s="165">
        <v>98</v>
      </c>
      <c r="M268" s="9"/>
      <c r="P268" s="9"/>
      <c r="S268" s="9"/>
      <c r="V268" s="9"/>
      <c r="Y268" s="9"/>
    </row>
    <row r="269" spans="1:25" x14ac:dyDescent="0.25">
      <c r="D269" s="164">
        <v>33070663723</v>
      </c>
      <c r="E269" s="165">
        <v>18</v>
      </c>
      <c r="F269" s="13"/>
      <c r="G269" s="164">
        <v>33070663723</v>
      </c>
      <c r="H269" s="165">
        <v>24</v>
      </c>
      <c r="J269" s="164">
        <v>33070663723</v>
      </c>
      <c r="K269" s="165">
        <v>56</v>
      </c>
      <c r="M269" s="9"/>
      <c r="P269" s="9"/>
      <c r="S269" s="9"/>
      <c r="V269" s="9"/>
      <c r="Y269" s="9"/>
    </row>
    <row r="270" spans="1:25" x14ac:dyDescent="0.25">
      <c r="D270" s="164">
        <v>33070663724</v>
      </c>
      <c r="E270" s="165">
        <v>6</v>
      </c>
      <c r="F270" s="13"/>
      <c r="G270" s="164">
        <v>33070663724</v>
      </c>
      <c r="H270" s="165">
        <v>12</v>
      </c>
      <c r="J270" s="164">
        <v>33070663724</v>
      </c>
      <c r="K270" s="165">
        <v>36</v>
      </c>
      <c r="M270" s="9"/>
      <c r="P270" s="9"/>
      <c r="S270" s="9"/>
      <c r="V270" s="9"/>
      <c r="Y270" s="9"/>
    </row>
    <row r="271" spans="1:25" x14ac:dyDescent="0.25">
      <c r="D271" s="164">
        <v>33070663725</v>
      </c>
      <c r="E271" s="165">
        <v>6</v>
      </c>
      <c r="F271" s="13"/>
      <c r="G271" s="164">
        <v>33070663725</v>
      </c>
      <c r="H271" s="165">
        <v>12</v>
      </c>
      <c r="J271" s="164">
        <v>33070663725</v>
      </c>
      <c r="K271" s="165">
        <v>18</v>
      </c>
      <c r="M271" s="9"/>
      <c r="P271" s="9"/>
      <c r="S271" s="9"/>
      <c r="V271" s="9"/>
      <c r="Y271" s="9"/>
    </row>
    <row r="272" spans="1:25" x14ac:dyDescent="0.25">
      <c r="D272" s="164">
        <v>33070663726</v>
      </c>
      <c r="E272" s="165">
        <v>6</v>
      </c>
      <c r="F272" s="13"/>
      <c r="G272" s="164">
        <v>33070663726</v>
      </c>
      <c r="H272" s="165">
        <v>12</v>
      </c>
      <c r="J272" s="164">
        <v>33070663726</v>
      </c>
      <c r="K272" s="165">
        <v>12</v>
      </c>
      <c r="M272" s="9"/>
      <c r="P272" s="9"/>
      <c r="S272" s="9"/>
      <c r="V272" s="9"/>
      <c r="Y272" s="9"/>
    </row>
    <row r="273" spans="4:25" x14ac:dyDescent="0.25">
      <c r="D273" s="164">
        <v>33070663727</v>
      </c>
      <c r="E273" s="165">
        <v>4653</v>
      </c>
      <c r="F273" s="13"/>
      <c r="G273" s="164">
        <v>33070663727</v>
      </c>
      <c r="H273" s="165">
        <v>14504</v>
      </c>
      <c r="J273" s="164">
        <v>33070663727</v>
      </c>
      <c r="K273" s="165">
        <v>56254</v>
      </c>
      <c r="M273" s="9"/>
      <c r="P273" s="9"/>
      <c r="S273" s="9"/>
      <c r="V273" s="9"/>
      <c r="Y273" s="9"/>
    </row>
    <row r="274" spans="4:25" x14ac:dyDescent="0.25">
      <c r="D274" s="164">
        <v>33070663728</v>
      </c>
      <c r="E274" s="165">
        <v>652</v>
      </c>
      <c r="F274" s="13"/>
      <c r="G274" s="164">
        <v>33070663728</v>
      </c>
      <c r="H274" s="165">
        <v>1006</v>
      </c>
      <c r="J274" s="164">
        <v>33070663728</v>
      </c>
      <c r="K274" s="165">
        <v>1784</v>
      </c>
      <c r="M274" s="9"/>
      <c r="P274" s="9"/>
      <c r="S274" s="9"/>
      <c r="V274" s="9"/>
      <c r="Y274" s="9"/>
    </row>
    <row r="275" spans="4:25" x14ac:dyDescent="0.25">
      <c r="D275" s="164">
        <v>33070663729</v>
      </c>
      <c r="E275" s="165">
        <v>645</v>
      </c>
      <c r="F275" s="13"/>
      <c r="G275" s="164">
        <v>33070663729</v>
      </c>
      <c r="H275" s="165">
        <v>1215</v>
      </c>
      <c r="J275" s="164">
        <v>33070663729</v>
      </c>
      <c r="K275" s="165">
        <v>2747</v>
      </c>
      <c r="M275" s="9"/>
      <c r="P275" s="9"/>
      <c r="S275" s="9"/>
      <c r="V275" s="9"/>
      <c r="Y275" s="9"/>
    </row>
    <row r="276" spans="4:25" x14ac:dyDescent="0.25">
      <c r="D276" s="164">
        <v>33070663730</v>
      </c>
      <c r="E276" s="165">
        <v>21</v>
      </c>
      <c r="F276" s="13"/>
      <c r="G276" s="164">
        <v>33070663730</v>
      </c>
      <c r="H276" s="165">
        <v>30</v>
      </c>
      <c r="J276" s="164">
        <v>33070663730</v>
      </c>
      <c r="K276" s="165">
        <v>122</v>
      </c>
      <c r="M276" s="9"/>
      <c r="P276" s="9"/>
      <c r="S276" s="9"/>
      <c r="V276" s="9"/>
      <c r="Y276" s="9"/>
    </row>
    <row r="277" spans="4:25" x14ac:dyDescent="0.25">
      <c r="D277" s="164">
        <v>33070663731</v>
      </c>
      <c r="E277" s="165">
        <v>115</v>
      </c>
      <c r="F277" s="13"/>
      <c r="G277" s="164">
        <v>33070663731</v>
      </c>
      <c r="H277" s="165">
        <v>153</v>
      </c>
      <c r="J277" s="164">
        <v>33070663731</v>
      </c>
      <c r="K277" s="165">
        <v>259</v>
      </c>
      <c r="M277" s="9"/>
      <c r="P277" s="9"/>
      <c r="S277" s="9"/>
      <c r="V277" s="9"/>
      <c r="Y277" s="9"/>
    </row>
    <row r="278" spans="4:25" x14ac:dyDescent="0.25">
      <c r="D278" s="164">
        <v>33070663732</v>
      </c>
      <c r="E278" s="165">
        <v>42</v>
      </c>
      <c r="F278" s="13"/>
      <c r="G278" s="164">
        <v>33070663732</v>
      </c>
      <c r="H278" s="165">
        <v>42</v>
      </c>
      <c r="J278" s="164">
        <v>33070663732</v>
      </c>
      <c r="K278" s="165">
        <v>62</v>
      </c>
      <c r="M278" s="9"/>
      <c r="P278" s="9"/>
      <c r="S278" s="9"/>
      <c r="V278" s="9"/>
      <c r="Y278" s="9"/>
    </row>
    <row r="279" spans="4:25" x14ac:dyDescent="0.25">
      <c r="D279" s="164">
        <v>33070663733</v>
      </c>
      <c r="E279" s="165">
        <v>73</v>
      </c>
      <c r="F279" s="13"/>
      <c r="G279" s="164">
        <v>33070663733</v>
      </c>
      <c r="H279" s="165">
        <v>102</v>
      </c>
      <c r="J279" s="164">
        <v>33070663733</v>
      </c>
      <c r="K279" s="165">
        <v>202</v>
      </c>
      <c r="M279" s="9"/>
      <c r="P279" s="9"/>
      <c r="S279" s="9"/>
      <c r="V279" s="9"/>
      <c r="Y279" s="9"/>
    </row>
    <row r="280" spans="4:25" x14ac:dyDescent="0.25">
      <c r="D280" s="164">
        <v>33070663734</v>
      </c>
      <c r="E280" s="165">
        <v>19</v>
      </c>
      <c r="F280" s="13"/>
      <c r="G280" s="164">
        <v>33070663734</v>
      </c>
      <c r="H280" s="165">
        <v>32</v>
      </c>
      <c r="J280" s="164">
        <v>33070663734</v>
      </c>
      <c r="K280" s="165">
        <v>117</v>
      </c>
      <c r="M280" s="9"/>
      <c r="P280" s="9"/>
      <c r="S280" s="9"/>
      <c r="V280" s="9"/>
      <c r="Y280" s="9"/>
    </row>
    <row r="281" spans="4:25" x14ac:dyDescent="0.25">
      <c r="D281" s="164">
        <v>33070664013</v>
      </c>
      <c r="E281" s="165">
        <v>136</v>
      </c>
      <c r="F281" s="13"/>
      <c r="G281" s="164">
        <v>33070664013</v>
      </c>
      <c r="H281" s="165">
        <v>227</v>
      </c>
      <c r="J281" s="164">
        <v>33070664013</v>
      </c>
      <c r="K281" s="165">
        <v>464</v>
      </c>
      <c r="M281" s="9"/>
      <c r="P281" s="9"/>
      <c r="S281" s="9"/>
      <c r="V281" s="9"/>
      <c r="Y281" s="9"/>
    </row>
    <row r="282" spans="4:25" x14ac:dyDescent="0.25">
      <c r="D282" s="164">
        <v>33070664016</v>
      </c>
      <c r="E282" s="165">
        <v>3</v>
      </c>
      <c r="F282" s="13"/>
      <c r="G282" s="164">
        <v>33070664016</v>
      </c>
      <c r="H282" s="165">
        <v>3</v>
      </c>
      <c r="J282" s="164">
        <v>33070664016</v>
      </c>
      <c r="K282" s="165">
        <v>6</v>
      </c>
      <c r="M282" s="9"/>
      <c r="P282" s="9"/>
      <c r="S282" s="9"/>
      <c r="V282" s="9"/>
      <c r="Y282" s="9"/>
    </row>
    <row r="283" spans="4:25" x14ac:dyDescent="0.25">
      <c r="D283" s="164">
        <v>33070664309</v>
      </c>
      <c r="E283" s="165">
        <v>53</v>
      </c>
      <c r="F283" s="13"/>
      <c r="G283" s="164">
        <v>33070664309</v>
      </c>
      <c r="H283" s="165">
        <v>59</v>
      </c>
      <c r="J283" s="164">
        <v>33070664309</v>
      </c>
      <c r="K283" s="165">
        <v>89</v>
      </c>
      <c r="M283" s="9"/>
      <c r="P283" s="9"/>
      <c r="S283" s="9"/>
      <c r="V283" s="9"/>
      <c r="Y283" s="9"/>
    </row>
    <row r="284" spans="4:25" x14ac:dyDescent="0.25">
      <c r="D284" s="164">
        <v>33070664310</v>
      </c>
      <c r="E284" s="165">
        <v>18</v>
      </c>
      <c r="F284" s="13"/>
      <c r="G284" s="164">
        <v>33070664310</v>
      </c>
      <c r="H284" s="165">
        <v>18</v>
      </c>
      <c r="J284" s="164">
        <v>33070664310</v>
      </c>
      <c r="K284" s="165">
        <v>20</v>
      </c>
      <c r="M284" s="9"/>
      <c r="P284" s="9"/>
      <c r="S284" s="9"/>
      <c r="V284" s="9"/>
      <c r="Y284" s="9"/>
    </row>
    <row r="285" spans="4:25" x14ac:dyDescent="0.25">
      <c r="D285" s="164">
        <v>33070664311</v>
      </c>
      <c r="E285" s="165">
        <v>3</v>
      </c>
      <c r="F285" s="13"/>
      <c r="G285" s="164">
        <v>33070664311</v>
      </c>
      <c r="H285" s="165">
        <v>3</v>
      </c>
      <c r="J285" s="164">
        <v>33070664311</v>
      </c>
      <c r="K285" s="165">
        <v>21</v>
      </c>
      <c r="M285" s="9"/>
      <c r="P285" s="9"/>
      <c r="S285" s="9"/>
      <c r="V285" s="9"/>
      <c r="Y285" s="9"/>
    </row>
    <row r="286" spans="4:25" x14ac:dyDescent="0.25">
      <c r="D286" s="164">
        <v>33070664312</v>
      </c>
      <c r="E286" s="165">
        <v>32</v>
      </c>
      <c r="F286" s="13"/>
      <c r="G286" s="164">
        <v>33070664312</v>
      </c>
      <c r="H286" s="165">
        <v>38</v>
      </c>
      <c r="J286" s="164">
        <v>33070664312</v>
      </c>
      <c r="K286" s="165">
        <v>38</v>
      </c>
      <c r="M286" s="9"/>
      <c r="P286" s="9"/>
      <c r="S286" s="9"/>
      <c r="V286" s="9"/>
      <c r="Y286" s="9"/>
    </row>
    <row r="287" spans="4:25" x14ac:dyDescent="0.25">
      <c r="D287" s="164">
        <v>33070664313</v>
      </c>
      <c r="E287" s="165">
        <v>7</v>
      </c>
      <c r="F287" s="13"/>
      <c r="G287" s="164">
        <v>33070664313</v>
      </c>
      <c r="H287" s="165">
        <v>7</v>
      </c>
      <c r="J287" s="164">
        <v>33070664313</v>
      </c>
      <c r="K287" s="165">
        <v>13</v>
      </c>
      <c r="M287" s="9"/>
      <c r="P287" s="9"/>
      <c r="S287" s="9"/>
      <c r="V287" s="9"/>
      <c r="Y287" s="9"/>
    </row>
    <row r="288" spans="4:25" x14ac:dyDescent="0.25">
      <c r="D288" s="164">
        <v>33070664314</v>
      </c>
      <c r="E288" s="165">
        <v>67</v>
      </c>
      <c r="F288" s="13"/>
      <c r="G288" s="164">
        <v>33070664314</v>
      </c>
      <c r="H288" s="165">
        <v>73</v>
      </c>
      <c r="J288" s="164">
        <v>33070664314</v>
      </c>
      <c r="K288" s="165">
        <v>261</v>
      </c>
      <c r="M288" s="9"/>
      <c r="P288" s="9"/>
      <c r="S288" s="9"/>
      <c r="V288" s="9"/>
      <c r="Y288" s="9"/>
    </row>
    <row r="289" spans="4:25" x14ac:dyDescent="0.25">
      <c r="D289" s="164">
        <v>33070664315</v>
      </c>
      <c r="E289" s="165">
        <v>11</v>
      </c>
      <c r="F289" s="13"/>
      <c r="G289" s="164">
        <v>33070664315</v>
      </c>
      <c r="H289" s="165">
        <v>11</v>
      </c>
      <c r="J289" s="164">
        <v>33070664315</v>
      </c>
      <c r="K289" s="165">
        <v>11</v>
      </c>
      <c r="M289" s="9"/>
      <c r="P289" s="9"/>
      <c r="S289" s="9"/>
      <c r="V289" s="9"/>
      <c r="Y289" s="9"/>
    </row>
    <row r="290" spans="4:25" x14ac:dyDescent="0.25">
      <c r="D290" s="164">
        <v>33070664316</v>
      </c>
      <c r="E290" s="165">
        <v>12</v>
      </c>
      <c r="F290" s="13"/>
      <c r="G290" s="164">
        <v>33070664316</v>
      </c>
      <c r="H290" s="165">
        <v>12</v>
      </c>
      <c r="J290" s="164">
        <v>33070664316</v>
      </c>
      <c r="K290" s="165">
        <v>52</v>
      </c>
      <c r="M290" s="9"/>
      <c r="P290" s="9"/>
      <c r="S290" s="9"/>
      <c r="V290" s="9"/>
      <c r="Y290" s="9"/>
    </row>
    <row r="291" spans="4:25" x14ac:dyDescent="0.25">
      <c r="D291" s="164">
        <v>33070664517</v>
      </c>
      <c r="E291" s="165">
        <v>42</v>
      </c>
      <c r="F291" s="13"/>
      <c r="G291" s="164">
        <v>33070664517</v>
      </c>
      <c r="H291" s="165">
        <v>42</v>
      </c>
      <c r="J291" s="164">
        <v>33070664517</v>
      </c>
      <c r="K291" s="165">
        <v>69</v>
      </c>
      <c r="M291" s="9"/>
      <c r="P291" s="9"/>
      <c r="S291" s="9"/>
      <c r="V291" s="9"/>
      <c r="Y291" s="9"/>
    </row>
    <row r="292" spans="4:25" x14ac:dyDescent="0.25">
      <c r="D292" s="164">
        <v>33070664518</v>
      </c>
      <c r="E292" s="165">
        <v>42</v>
      </c>
      <c r="F292" s="13"/>
      <c r="G292" s="164">
        <v>33070664518</v>
      </c>
      <c r="H292" s="165">
        <v>60</v>
      </c>
      <c r="J292" s="164">
        <v>33070664518</v>
      </c>
      <c r="K292" s="165">
        <v>72</v>
      </c>
      <c r="M292" s="9"/>
      <c r="P292" s="9"/>
      <c r="S292" s="9"/>
      <c r="V292" s="9"/>
      <c r="Y292" s="9"/>
    </row>
    <row r="293" spans="4:25" x14ac:dyDescent="0.25">
      <c r="D293" s="164">
        <v>33070664519</v>
      </c>
      <c r="E293" s="165">
        <v>12</v>
      </c>
      <c r="F293" s="13"/>
      <c r="G293" s="164">
        <v>33070664519</v>
      </c>
      <c r="H293" s="165">
        <v>18</v>
      </c>
      <c r="J293" s="164">
        <v>33070664519</v>
      </c>
      <c r="K293" s="165">
        <v>72</v>
      </c>
      <c r="M293" s="9"/>
      <c r="P293" s="9"/>
      <c r="S293" s="9"/>
      <c r="V293" s="9"/>
      <c r="Y293" s="9"/>
    </row>
    <row r="294" spans="4:25" x14ac:dyDescent="0.25">
      <c r="D294" s="164">
        <v>33070664795</v>
      </c>
      <c r="E294" s="165">
        <v>22</v>
      </c>
      <c r="F294" s="13"/>
      <c r="G294" s="164">
        <v>33070664795</v>
      </c>
      <c r="H294" s="165">
        <v>28</v>
      </c>
      <c r="J294" s="164">
        <v>33070664795</v>
      </c>
      <c r="K294" s="165">
        <v>76</v>
      </c>
      <c r="M294" s="9"/>
      <c r="P294" s="9"/>
      <c r="S294" s="9"/>
      <c r="V294" s="9"/>
      <c r="Y294" s="9"/>
    </row>
    <row r="295" spans="4:25" x14ac:dyDescent="0.25">
      <c r="D295" s="164">
        <v>33070664796</v>
      </c>
      <c r="E295" s="165">
        <v>21</v>
      </c>
      <c r="F295" s="13"/>
      <c r="G295" s="164">
        <v>33070664796</v>
      </c>
      <c r="H295" s="165">
        <v>27</v>
      </c>
      <c r="J295" s="164">
        <v>33070664796</v>
      </c>
      <c r="K295" s="165">
        <v>117</v>
      </c>
      <c r="M295" s="9"/>
      <c r="P295" s="9"/>
      <c r="S295" s="9"/>
      <c r="V295" s="9"/>
      <c r="Y295" s="9"/>
    </row>
    <row r="296" spans="4:25" x14ac:dyDescent="0.25">
      <c r="D296" s="164">
        <v>33070664797</v>
      </c>
      <c r="E296" s="165">
        <v>141</v>
      </c>
      <c r="F296" s="13"/>
      <c r="G296" s="164">
        <v>33070664797</v>
      </c>
      <c r="H296" s="165">
        <v>147</v>
      </c>
      <c r="J296" s="164">
        <v>33070664797</v>
      </c>
      <c r="K296" s="165">
        <v>237</v>
      </c>
      <c r="M296" s="9"/>
      <c r="P296" s="9"/>
      <c r="S296" s="9"/>
      <c r="V296" s="9"/>
      <c r="Y296" s="9"/>
    </row>
    <row r="297" spans="4:25" x14ac:dyDescent="0.25">
      <c r="D297" s="164">
        <v>33070665095</v>
      </c>
      <c r="E297" s="165">
        <v>96</v>
      </c>
      <c r="F297" s="13"/>
      <c r="G297" s="164">
        <v>33070665095</v>
      </c>
      <c r="H297" s="165">
        <v>117</v>
      </c>
      <c r="J297" s="164">
        <v>33070665095</v>
      </c>
      <c r="K297" s="165">
        <v>272</v>
      </c>
      <c r="M297" s="9"/>
      <c r="P297" s="9"/>
      <c r="S297" s="9"/>
      <c r="V297" s="9"/>
      <c r="Y297" s="9"/>
    </row>
    <row r="298" spans="4:25" x14ac:dyDescent="0.25">
      <c r="D298" s="164">
        <v>33070665222</v>
      </c>
      <c r="E298" s="165">
        <v>4399</v>
      </c>
      <c r="F298" s="13"/>
      <c r="G298" s="164">
        <v>33070665222</v>
      </c>
      <c r="H298" s="165">
        <v>5937</v>
      </c>
      <c r="J298" s="164">
        <v>33070665222</v>
      </c>
      <c r="K298" s="165">
        <v>5943</v>
      </c>
      <c r="M298" s="9"/>
      <c r="P298" s="9"/>
      <c r="S298" s="9"/>
      <c r="V298" s="9"/>
      <c r="Y298" s="9"/>
    </row>
    <row r="299" spans="4:25" x14ac:dyDescent="0.25">
      <c r="D299" s="164">
        <v>33070665295</v>
      </c>
      <c r="E299" s="165">
        <v>14</v>
      </c>
      <c r="F299" s="13"/>
      <c r="G299" s="164">
        <v>33070665295</v>
      </c>
      <c r="H299" s="165">
        <v>14</v>
      </c>
      <c r="J299" s="164">
        <v>33070665295</v>
      </c>
      <c r="K299" s="165">
        <v>14</v>
      </c>
      <c r="M299" s="9"/>
      <c r="P299" s="9"/>
      <c r="S299" s="9"/>
      <c r="V299" s="9"/>
      <c r="Y299" s="9"/>
    </row>
    <row r="300" spans="4:25" x14ac:dyDescent="0.25">
      <c r="D300" s="164">
        <v>33070665296</v>
      </c>
      <c r="E300" s="165">
        <v>24</v>
      </c>
      <c r="F300" s="13"/>
      <c r="G300" s="164">
        <v>33070665296</v>
      </c>
      <c r="H300" s="165">
        <v>24</v>
      </c>
      <c r="J300" s="164">
        <v>33070665296</v>
      </c>
      <c r="K300" s="165">
        <v>24</v>
      </c>
      <c r="M300" s="9"/>
      <c r="P300" s="9"/>
      <c r="S300" s="9"/>
      <c r="V300" s="9"/>
      <c r="Y300" s="9"/>
    </row>
    <row r="301" spans="4:25" x14ac:dyDescent="0.25">
      <c r="D301" s="164">
        <v>33070665297</v>
      </c>
      <c r="E301" s="165">
        <v>21</v>
      </c>
      <c r="F301" s="13"/>
      <c r="G301" s="164">
        <v>33070665297</v>
      </c>
      <c r="H301" s="165">
        <v>21</v>
      </c>
      <c r="J301" s="164">
        <v>33070665297</v>
      </c>
      <c r="K301" s="165">
        <v>21</v>
      </c>
      <c r="M301" s="9"/>
      <c r="P301" s="9"/>
      <c r="S301" s="9"/>
      <c r="V301" s="9"/>
      <c r="Y301" s="9"/>
    </row>
    <row r="302" spans="4:25" x14ac:dyDescent="0.25">
      <c r="D302" s="164">
        <v>33070665298</v>
      </c>
      <c r="E302" s="165">
        <v>6</v>
      </c>
      <c r="F302" s="13"/>
      <c r="G302" s="164">
        <v>33070665298</v>
      </c>
      <c r="H302" s="165">
        <v>6</v>
      </c>
      <c r="J302" s="164">
        <v>33070665298</v>
      </c>
      <c r="K302" s="165">
        <v>6</v>
      </c>
      <c r="M302" s="9"/>
      <c r="P302" s="9"/>
      <c r="S302" s="9"/>
      <c r="V302" s="9"/>
      <c r="Y302" s="9"/>
    </row>
    <row r="303" spans="4:25" x14ac:dyDescent="0.25">
      <c r="D303" s="164">
        <v>33070665319</v>
      </c>
      <c r="E303" s="165">
        <v>7</v>
      </c>
      <c r="F303" s="13"/>
      <c r="G303" s="164">
        <v>33070665319</v>
      </c>
      <c r="H303" s="165">
        <v>7</v>
      </c>
      <c r="J303" s="164">
        <v>33070665319</v>
      </c>
      <c r="K303" s="165">
        <v>7</v>
      </c>
      <c r="M303" s="9"/>
      <c r="P303" s="9"/>
      <c r="S303" s="9"/>
      <c r="V303" s="9"/>
      <c r="Y303" s="9"/>
    </row>
    <row r="304" spans="4:25" x14ac:dyDescent="0.25">
      <c r="D304" s="164">
        <v>33070665320</v>
      </c>
      <c r="E304" s="165">
        <v>6</v>
      </c>
      <c r="F304" s="13"/>
      <c r="G304" s="164">
        <v>33070665320</v>
      </c>
      <c r="H304" s="165">
        <v>6</v>
      </c>
      <c r="J304" s="164">
        <v>33070665320</v>
      </c>
      <c r="K304" s="165">
        <v>6</v>
      </c>
      <c r="M304" s="9"/>
      <c r="P304" s="9"/>
      <c r="S304" s="9"/>
      <c r="V304" s="9"/>
      <c r="Y304" s="9"/>
    </row>
    <row r="305" spans="4:25" x14ac:dyDescent="0.25">
      <c r="D305" s="164">
        <v>33070665327</v>
      </c>
      <c r="E305" s="165">
        <v>6</v>
      </c>
      <c r="F305" s="13"/>
      <c r="G305" s="164">
        <v>33070665327</v>
      </c>
      <c r="H305" s="165">
        <v>6</v>
      </c>
      <c r="J305" s="164">
        <v>33070665327</v>
      </c>
      <c r="K305" s="165">
        <v>6</v>
      </c>
      <c r="M305" s="9"/>
      <c r="P305" s="9"/>
      <c r="S305" s="9"/>
      <c r="V305" s="9"/>
      <c r="Y305" s="9"/>
    </row>
    <row r="306" spans="4:25" x14ac:dyDescent="0.25">
      <c r="D306" s="164">
        <v>33070754045</v>
      </c>
      <c r="E306" s="165">
        <v>2</v>
      </c>
      <c r="F306" s="13"/>
      <c r="G306" s="164">
        <v>33070754045</v>
      </c>
      <c r="H306" s="165">
        <v>2</v>
      </c>
      <c r="J306" s="164">
        <v>33070754045</v>
      </c>
      <c r="K306" s="165">
        <v>2</v>
      </c>
      <c r="M306" s="9"/>
      <c r="P306" s="9"/>
      <c r="S306" s="9"/>
      <c r="V306" s="9"/>
      <c r="Y306" s="9"/>
    </row>
    <row r="307" spans="4:25" x14ac:dyDescent="0.25">
      <c r="D307" s="164">
        <v>33070754128</v>
      </c>
      <c r="E307" s="165">
        <v>1</v>
      </c>
      <c r="F307" s="13"/>
      <c r="G307" s="164">
        <v>33070754128</v>
      </c>
      <c r="H307" s="165">
        <v>1</v>
      </c>
      <c r="J307" s="164">
        <v>33070754128</v>
      </c>
      <c r="K307" s="165">
        <v>1</v>
      </c>
      <c r="M307" s="9"/>
      <c r="P307" s="9"/>
      <c r="S307" s="9"/>
      <c r="V307" s="9"/>
      <c r="Y307" s="9"/>
    </row>
    <row r="308" spans="4:25" x14ac:dyDescent="0.25">
      <c r="D308" s="164">
        <v>33070760266</v>
      </c>
      <c r="E308" s="165">
        <v>9</v>
      </c>
      <c r="F308" s="13"/>
      <c r="G308" s="164">
        <v>33070760266</v>
      </c>
      <c r="H308" s="165">
        <v>9</v>
      </c>
      <c r="J308" s="164">
        <v>33070760266</v>
      </c>
      <c r="K308" s="165">
        <v>12</v>
      </c>
      <c r="M308" s="9"/>
      <c r="P308" s="9"/>
      <c r="S308" s="9"/>
      <c r="V308" s="9"/>
      <c r="Y308" s="9"/>
    </row>
    <row r="309" spans="4:25" x14ac:dyDescent="0.25">
      <c r="D309" s="164">
        <v>33102163123</v>
      </c>
      <c r="E309" s="165">
        <v>69</v>
      </c>
      <c r="F309" s="13"/>
      <c r="G309" s="164">
        <v>33102163123</v>
      </c>
      <c r="H309" s="165">
        <v>69</v>
      </c>
      <c r="J309" s="164">
        <v>33102163123</v>
      </c>
      <c r="K309" s="165">
        <v>171</v>
      </c>
      <c r="M309" s="9"/>
      <c r="P309" s="9"/>
      <c r="S309" s="9"/>
      <c r="V309" s="9"/>
      <c r="Y309" s="9"/>
    </row>
    <row r="310" spans="4:25" x14ac:dyDescent="0.25">
      <c r="D310" s="164">
        <v>33102163124</v>
      </c>
      <c r="E310" s="165">
        <v>131</v>
      </c>
      <c r="F310" s="13"/>
      <c r="G310" s="164">
        <v>33102163124</v>
      </c>
      <c r="H310" s="165">
        <v>132</v>
      </c>
      <c r="J310" s="164">
        <v>33102163124</v>
      </c>
      <c r="K310" s="165">
        <v>411</v>
      </c>
      <c r="M310" s="9"/>
      <c r="P310" s="9"/>
      <c r="S310" s="9"/>
      <c r="V310" s="9"/>
      <c r="Y310" s="9"/>
    </row>
    <row r="311" spans="4:25" x14ac:dyDescent="0.25">
      <c r="D311" s="164">
        <v>33102163125</v>
      </c>
      <c r="E311" s="165">
        <v>44</v>
      </c>
      <c r="F311" s="13"/>
      <c r="G311" s="164">
        <v>33102163125</v>
      </c>
      <c r="H311" s="165">
        <v>44</v>
      </c>
      <c r="J311" s="164">
        <v>33102163125</v>
      </c>
      <c r="K311" s="165">
        <v>207</v>
      </c>
      <c r="M311" s="9"/>
      <c r="P311" s="9"/>
      <c r="S311" s="9"/>
      <c r="V311" s="9"/>
      <c r="Y311" s="9"/>
    </row>
    <row r="312" spans="4:25" x14ac:dyDescent="0.25">
      <c r="D312" s="164">
        <v>33102163126</v>
      </c>
      <c r="E312" s="165">
        <v>70</v>
      </c>
      <c r="F312" s="13"/>
      <c r="G312" s="164">
        <v>33102163126</v>
      </c>
      <c r="H312" s="165">
        <v>72</v>
      </c>
      <c r="J312" s="164">
        <v>33102163126</v>
      </c>
      <c r="K312" s="165">
        <v>277</v>
      </c>
      <c r="M312" s="9"/>
      <c r="P312" s="9"/>
      <c r="S312" s="9"/>
      <c r="V312" s="9"/>
      <c r="Y312" s="9"/>
    </row>
    <row r="313" spans="4:25" x14ac:dyDescent="0.25">
      <c r="D313" s="164">
        <v>33102163127</v>
      </c>
      <c r="E313" s="165">
        <v>45</v>
      </c>
      <c r="F313" s="13"/>
      <c r="G313" s="164">
        <v>33102163127</v>
      </c>
      <c r="H313" s="165">
        <v>45</v>
      </c>
      <c r="J313" s="164">
        <v>33102163127</v>
      </c>
      <c r="K313" s="165">
        <v>195</v>
      </c>
      <c r="M313" s="9"/>
      <c r="P313" s="9"/>
      <c r="S313" s="9"/>
      <c r="V313" s="9"/>
      <c r="Y313" s="9"/>
    </row>
    <row r="314" spans="4:25" x14ac:dyDescent="0.25">
      <c r="D314" s="164">
        <v>33102163131</v>
      </c>
      <c r="E314" s="165">
        <v>6</v>
      </c>
      <c r="F314" s="13"/>
      <c r="G314" s="164">
        <v>33102163131</v>
      </c>
      <c r="H314" s="165">
        <v>7</v>
      </c>
      <c r="J314" s="164">
        <v>33102163131</v>
      </c>
      <c r="K314" s="165">
        <v>23</v>
      </c>
      <c r="M314" s="9"/>
      <c r="P314" s="9"/>
      <c r="S314" s="9"/>
      <c r="V314" s="9"/>
      <c r="Y314" s="9"/>
    </row>
    <row r="315" spans="4:25" x14ac:dyDescent="0.25">
      <c r="D315" s="164">
        <v>33102164050</v>
      </c>
      <c r="E315" s="165">
        <v>41</v>
      </c>
      <c r="F315" s="13"/>
      <c r="G315" s="164">
        <v>33102164050</v>
      </c>
      <c r="H315" s="165">
        <v>43</v>
      </c>
      <c r="J315" s="164">
        <v>33102164050</v>
      </c>
      <c r="K315" s="165">
        <v>283</v>
      </c>
      <c r="M315" s="9"/>
      <c r="P315" s="9"/>
      <c r="S315" s="9"/>
      <c r="V315" s="9"/>
      <c r="Y315" s="9"/>
    </row>
    <row r="316" spans="4:25" x14ac:dyDescent="0.25">
      <c r="D316" s="164">
        <v>33102263133</v>
      </c>
      <c r="E316" s="165">
        <v>2</v>
      </c>
      <c r="F316" s="13"/>
      <c r="G316" s="164">
        <v>33102263133</v>
      </c>
      <c r="H316" s="165">
        <v>5</v>
      </c>
      <c r="J316" s="164">
        <v>33102263133</v>
      </c>
      <c r="K316" s="165">
        <v>7</v>
      </c>
      <c r="M316" s="9"/>
      <c r="P316" s="9"/>
      <c r="S316" s="9"/>
      <c r="V316" s="9"/>
      <c r="Y316" s="9"/>
    </row>
    <row r="317" spans="4:25" x14ac:dyDescent="0.25">
      <c r="D317" s="164">
        <v>33102263135</v>
      </c>
      <c r="E317" s="165">
        <v>1</v>
      </c>
      <c r="F317" s="13"/>
      <c r="G317" s="164">
        <v>33102263135</v>
      </c>
      <c r="H317" s="165">
        <v>1</v>
      </c>
      <c r="J317" s="164">
        <v>33102263135</v>
      </c>
      <c r="K317" s="165">
        <v>1</v>
      </c>
      <c r="M317" s="9"/>
      <c r="P317" s="9"/>
      <c r="S317" s="9"/>
      <c r="V317" s="9"/>
      <c r="Y317" s="9"/>
    </row>
    <row r="318" spans="4:25" x14ac:dyDescent="0.25">
      <c r="D318" s="164">
        <v>33105063088</v>
      </c>
      <c r="E318" s="165">
        <v>1</v>
      </c>
      <c r="F318" s="13"/>
      <c r="G318" s="164">
        <v>33105063088</v>
      </c>
      <c r="H318" s="165">
        <v>3</v>
      </c>
      <c r="J318" s="164">
        <v>33105063088</v>
      </c>
      <c r="K318" s="165">
        <v>3</v>
      </c>
      <c r="M318" s="9"/>
      <c r="P318" s="9"/>
      <c r="S318" s="9"/>
      <c r="V318" s="9"/>
      <c r="Y318" s="9"/>
    </row>
    <row r="319" spans="4:25" x14ac:dyDescent="0.25">
      <c r="D319" s="164">
        <v>33105063090</v>
      </c>
      <c r="E319" s="165">
        <v>1</v>
      </c>
      <c r="F319" s="13"/>
      <c r="G319" s="164">
        <v>33105063090</v>
      </c>
      <c r="H319" s="165">
        <v>2</v>
      </c>
      <c r="J319" s="164">
        <v>33105063090</v>
      </c>
      <c r="K319" s="165">
        <v>2</v>
      </c>
      <c r="M319" s="9"/>
      <c r="P319" s="9"/>
      <c r="S319" s="9"/>
      <c r="V319" s="9"/>
      <c r="Y319" s="9"/>
    </row>
    <row r="320" spans="4:25" x14ac:dyDescent="0.25">
      <c r="D320" s="164">
        <v>33105063092</v>
      </c>
      <c r="E320" s="165">
        <v>1</v>
      </c>
      <c r="F320" s="13"/>
      <c r="G320" s="164">
        <v>33105063092</v>
      </c>
      <c r="H320" s="165">
        <v>1</v>
      </c>
      <c r="J320" s="164">
        <v>33105063092</v>
      </c>
      <c r="K320" s="165">
        <v>2</v>
      </c>
      <c r="M320" s="9"/>
      <c r="P320" s="9"/>
      <c r="S320" s="9"/>
      <c r="V320" s="9"/>
      <c r="Y320" s="9"/>
    </row>
    <row r="321" spans="4:25" x14ac:dyDescent="0.25">
      <c r="D321" s="164">
        <v>33105163075</v>
      </c>
      <c r="E321" s="165">
        <v>1</v>
      </c>
      <c r="F321" s="13"/>
      <c r="G321" s="164">
        <v>33105163075</v>
      </c>
      <c r="H321" s="165">
        <v>2</v>
      </c>
      <c r="J321" s="164">
        <v>33105163075</v>
      </c>
      <c r="K321" s="165">
        <v>3</v>
      </c>
      <c r="M321" s="9"/>
      <c r="P321" s="9"/>
      <c r="S321" s="9"/>
      <c r="V321" s="9"/>
      <c r="Y321" s="9"/>
    </row>
    <row r="322" spans="4:25" x14ac:dyDescent="0.25">
      <c r="D322" s="164">
        <v>33105263888</v>
      </c>
      <c r="E322" s="165">
        <v>14</v>
      </c>
      <c r="F322" s="13"/>
      <c r="G322" s="164">
        <v>33105263888</v>
      </c>
      <c r="H322" s="165">
        <v>29</v>
      </c>
      <c r="J322" s="164">
        <v>33105263888</v>
      </c>
      <c r="K322" s="165">
        <v>151</v>
      </c>
      <c r="M322" s="9"/>
      <c r="P322" s="9"/>
      <c r="S322" s="9"/>
      <c r="V322" s="9"/>
      <c r="Y322" s="9"/>
    </row>
    <row r="323" spans="4:25" x14ac:dyDescent="0.25">
      <c r="D323" s="161"/>
      <c r="E323" s="162"/>
      <c r="F323" s="13"/>
      <c r="G323" s="164">
        <v>30061224020</v>
      </c>
      <c r="H323" s="165">
        <v>2</v>
      </c>
      <c r="J323" s="164">
        <v>30061224020</v>
      </c>
      <c r="K323" s="165">
        <v>6</v>
      </c>
      <c r="M323" s="9"/>
      <c r="P323" s="9"/>
      <c r="S323" s="9"/>
      <c r="V323" s="9"/>
      <c r="Y323" s="9"/>
    </row>
    <row r="324" spans="4:25" x14ac:dyDescent="0.25">
      <c r="D324" s="161"/>
      <c r="E324" s="162"/>
      <c r="F324" s="13"/>
      <c r="G324" s="164">
        <v>30061265264</v>
      </c>
      <c r="H324" s="165">
        <v>50</v>
      </c>
      <c r="J324" s="164">
        <v>30061265264</v>
      </c>
      <c r="K324" s="165">
        <v>60</v>
      </c>
      <c r="M324" s="9"/>
      <c r="P324" s="9"/>
      <c r="S324" s="9"/>
      <c r="V324" s="9"/>
      <c r="Y324" s="9"/>
    </row>
    <row r="325" spans="4:25" x14ac:dyDescent="0.25">
      <c r="D325" s="161"/>
      <c r="E325" s="162"/>
      <c r="F325" s="13"/>
      <c r="G325" s="164">
        <v>30061265265</v>
      </c>
      <c r="H325" s="165">
        <v>64</v>
      </c>
      <c r="J325" s="164">
        <v>30061265265</v>
      </c>
      <c r="K325" s="165">
        <v>74</v>
      </c>
      <c r="M325" s="9"/>
      <c r="P325" s="9"/>
      <c r="S325" s="9"/>
      <c r="V325" s="9"/>
      <c r="Y325" s="9"/>
    </row>
    <row r="326" spans="4:25" x14ac:dyDescent="0.25">
      <c r="D326" s="161"/>
      <c r="E326" s="162"/>
      <c r="F326" s="13"/>
      <c r="G326" s="164">
        <v>30061265266</v>
      </c>
      <c r="H326" s="165">
        <v>40</v>
      </c>
      <c r="J326" s="164">
        <v>30061265266</v>
      </c>
      <c r="K326" s="165">
        <v>40</v>
      </c>
      <c r="M326" s="9"/>
      <c r="P326" s="9"/>
      <c r="S326" s="9"/>
      <c r="V326" s="9"/>
      <c r="Y326" s="9"/>
    </row>
    <row r="327" spans="4:25" x14ac:dyDescent="0.25">
      <c r="D327" s="161"/>
      <c r="E327" s="162"/>
      <c r="F327" s="13"/>
      <c r="G327" s="164">
        <v>30103062251</v>
      </c>
      <c r="H327" s="165">
        <v>112</v>
      </c>
      <c r="J327" s="164">
        <v>30103062251</v>
      </c>
      <c r="K327" s="165">
        <v>112</v>
      </c>
      <c r="M327" s="9"/>
      <c r="P327" s="9"/>
      <c r="S327" s="9"/>
      <c r="V327" s="9"/>
      <c r="Y327" s="9"/>
    </row>
    <row r="328" spans="4:25" x14ac:dyDescent="0.25">
      <c r="D328" s="161"/>
      <c r="E328" s="162"/>
      <c r="F328" s="13"/>
      <c r="G328" s="164">
        <v>32060144115</v>
      </c>
      <c r="H328" s="165">
        <v>150</v>
      </c>
      <c r="J328" s="164">
        <v>32060144115</v>
      </c>
      <c r="K328" s="165">
        <v>150</v>
      </c>
      <c r="M328" s="9"/>
      <c r="P328" s="9"/>
      <c r="S328" s="9"/>
      <c r="V328" s="9"/>
      <c r="Y328" s="9"/>
    </row>
    <row r="329" spans="4:25" x14ac:dyDescent="0.25">
      <c r="D329" s="161"/>
      <c r="E329" s="162"/>
      <c r="F329" s="13"/>
      <c r="G329" s="164">
        <v>32105064276</v>
      </c>
      <c r="H329" s="165">
        <v>1</v>
      </c>
      <c r="J329" s="164">
        <v>32105064276</v>
      </c>
      <c r="K329" s="165">
        <v>1</v>
      </c>
      <c r="M329" s="9"/>
      <c r="P329" s="9"/>
      <c r="S329" s="9"/>
      <c r="V329" s="9"/>
      <c r="Y329" s="9"/>
    </row>
    <row r="330" spans="4:25" x14ac:dyDescent="0.25">
      <c r="D330" s="161"/>
      <c r="E330" s="162"/>
      <c r="F330" s="13"/>
      <c r="G330" s="164">
        <v>33062063026</v>
      </c>
      <c r="H330" s="165">
        <v>2</v>
      </c>
      <c r="J330" s="164">
        <v>33062063026</v>
      </c>
      <c r="K330" s="165">
        <v>9</v>
      </c>
      <c r="M330" s="9"/>
      <c r="P330" s="9"/>
      <c r="S330" s="9"/>
      <c r="V330" s="9"/>
      <c r="Y330" s="9"/>
    </row>
    <row r="331" spans="4:25" x14ac:dyDescent="0.25">
      <c r="D331" s="161"/>
      <c r="E331" s="162"/>
      <c r="F331" s="13"/>
      <c r="G331" s="164">
        <v>33062064358</v>
      </c>
      <c r="H331" s="165">
        <v>1</v>
      </c>
      <c r="J331" s="164">
        <v>33062064358</v>
      </c>
      <c r="K331" s="165">
        <v>1</v>
      </c>
      <c r="M331" s="9"/>
      <c r="P331" s="9"/>
      <c r="S331" s="9"/>
      <c r="V331" s="9"/>
      <c r="Y331" s="9"/>
    </row>
    <row r="332" spans="4:25" x14ac:dyDescent="0.25">
      <c r="D332" s="161"/>
      <c r="E332" s="162"/>
      <c r="F332" s="13"/>
      <c r="G332" s="164">
        <v>33062162831</v>
      </c>
      <c r="H332" s="165">
        <v>3</v>
      </c>
      <c r="J332" s="164">
        <v>33062162831</v>
      </c>
      <c r="K332" s="165">
        <v>4</v>
      </c>
      <c r="M332" s="9"/>
      <c r="P332" s="9"/>
      <c r="S332" s="9"/>
      <c r="V332" s="9"/>
      <c r="Y332" s="9"/>
    </row>
    <row r="333" spans="4:25" x14ac:dyDescent="0.25">
      <c r="D333" s="161"/>
      <c r="E333" s="162"/>
      <c r="F333" s="13"/>
      <c r="G333" s="164">
        <v>33062262833</v>
      </c>
      <c r="H333" s="165">
        <v>3</v>
      </c>
      <c r="J333" s="164">
        <v>33062262833</v>
      </c>
      <c r="K333" s="165">
        <v>3</v>
      </c>
      <c r="M333" s="9"/>
      <c r="P333" s="9"/>
      <c r="S333" s="9"/>
      <c r="V333" s="9"/>
      <c r="Y333" s="9"/>
    </row>
    <row r="334" spans="4:25" x14ac:dyDescent="0.25">
      <c r="D334" s="161"/>
      <c r="E334" s="162"/>
      <c r="F334" s="13"/>
      <c r="G334" s="164">
        <v>33062562841</v>
      </c>
      <c r="H334" s="165">
        <v>4</v>
      </c>
      <c r="J334" s="164">
        <v>33062562841</v>
      </c>
      <c r="K334" s="165">
        <v>4</v>
      </c>
      <c r="M334" s="9"/>
      <c r="P334" s="9"/>
      <c r="S334" s="9"/>
      <c r="V334" s="9"/>
      <c r="Y334" s="9"/>
    </row>
    <row r="335" spans="4:25" x14ac:dyDescent="0.25">
      <c r="D335" s="161"/>
      <c r="E335" s="162"/>
      <c r="F335" s="13"/>
      <c r="G335" s="164">
        <v>33062562842</v>
      </c>
      <c r="H335" s="165">
        <v>5</v>
      </c>
      <c r="J335" s="164">
        <v>33062562842</v>
      </c>
      <c r="K335" s="165">
        <v>5</v>
      </c>
      <c r="M335" s="9"/>
      <c r="P335" s="9"/>
      <c r="S335" s="9"/>
      <c r="V335" s="9"/>
      <c r="Y335" s="9"/>
    </row>
    <row r="336" spans="4:25" x14ac:dyDescent="0.25">
      <c r="D336" s="161"/>
      <c r="E336" s="162"/>
      <c r="F336" s="13"/>
      <c r="G336" s="164">
        <v>33062562858</v>
      </c>
      <c r="H336" s="165">
        <v>2</v>
      </c>
      <c r="J336" s="164">
        <v>33062562858</v>
      </c>
      <c r="K336" s="165">
        <v>2</v>
      </c>
      <c r="M336" s="9"/>
      <c r="P336" s="9"/>
      <c r="S336" s="9"/>
      <c r="V336" s="9"/>
      <c r="Y336" s="9"/>
    </row>
    <row r="337" spans="4:25" x14ac:dyDescent="0.25">
      <c r="D337" s="161"/>
      <c r="E337" s="162"/>
      <c r="F337" s="13"/>
      <c r="G337" s="164">
        <v>33062562871</v>
      </c>
      <c r="H337" s="165">
        <v>1</v>
      </c>
      <c r="J337" s="164">
        <v>33062562871</v>
      </c>
      <c r="K337" s="165">
        <v>1</v>
      </c>
      <c r="M337" s="9"/>
      <c r="P337" s="9"/>
      <c r="S337" s="9"/>
      <c r="V337" s="9"/>
      <c r="Y337" s="9"/>
    </row>
    <row r="338" spans="4:25" x14ac:dyDescent="0.25">
      <c r="D338" s="161"/>
      <c r="E338" s="162"/>
      <c r="F338" s="13"/>
      <c r="G338" s="164">
        <v>33062562875</v>
      </c>
      <c r="H338" s="165">
        <v>1</v>
      </c>
      <c r="J338" s="164">
        <v>33062562875</v>
      </c>
      <c r="K338" s="165">
        <v>1</v>
      </c>
      <c r="M338" s="9"/>
      <c r="P338" s="9"/>
      <c r="S338" s="9"/>
      <c r="V338" s="9"/>
      <c r="Y338" s="9"/>
    </row>
    <row r="339" spans="4:25" x14ac:dyDescent="0.25">
      <c r="D339" s="161"/>
      <c r="E339" s="162"/>
      <c r="F339" s="13"/>
      <c r="G339" s="164">
        <v>33063063485</v>
      </c>
      <c r="H339" s="165">
        <v>1</v>
      </c>
      <c r="J339" s="164">
        <v>33063063485</v>
      </c>
      <c r="K339" s="165">
        <v>8</v>
      </c>
      <c r="M339" s="9"/>
      <c r="P339" s="9"/>
      <c r="S339" s="9"/>
      <c r="V339" s="9"/>
      <c r="Y339" s="9"/>
    </row>
    <row r="340" spans="4:25" x14ac:dyDescent="0.25">
      <c r="D340" s="161"/>
      <c r="E340" s="162"/>
      <c r="F340" s="13"/>
      <c r="G340" s="164">
        <v>33063063499</v>
      </c>
      <c r="H340" s="165">
        <v>1</v>
      </c>
      <c r="J340" s="164">
        <v>33063063499</v>
      </c>
      <c r="K340" s="165">
        <v>64</v>
      </c>
      <c r="M340" s="9"/>
      <c r="P340" s="9"/>
      <c r="S340" s="9"/>
      <c r="V340" s="9"/>
      <c r="Y340" s="9"/>
    </row>
    <row r="341" spans="4:25" x14ac:dyDescent="0.25">
      <c r="D341" s="161"/>
      <c r="E341" s="162"/>
      <c r="F341" s="13"/>
      <c r="G341" s="164">
        <v>33063063935</v>
      </c>
      <c r="H341" s="165">
        <v>2</v>
      </c>
      <c r="J341" s="164">
        <v>33063063935</v>
      </c>
      <c r="K341" s="165">
        <v>20</v>
      </c>
      <c r="M341" s="9"/>
      <c r="P341" s="9"/>
      <c r="S341" s="9"/>
      <c r="V341" s="9"/>
      <c r="Y341" s="9"/>
    </row>
    <row r="342" spans="4:25" x14ac:dyDescent="0.25">
      <c r="D342" s="161"/>
      <c r="E342" s="162"/>
      <c r="F342" s="13"/>
      <c r="G342" s="164">
        <v>33063263346</v>
      </c>
      <c r="H342" s="165">
        <v>2000</v>
      </c>
      <c r="J342" s="164">
        <v>33063263346</v>
      </c>
      <c r="K342" s="165">
        <v>2084</v>
      </c>
      <c r="M342" s="9"/>
      <c r="P342" s="9"/>
      <c r="S342" s="9"/>
      <c r="V342" s="9"/>
      <c r="Y342" s="9"/>
    </row>
    <row r="343" spans="4:25" x14ac:dyDescent="0.25">
      <c r="D343" s="161"/>
      <c r="E343" s="162"/>
      <c r="F343" s="13"/>
      <c r="G343" s="164">
        <v>33070114634</v>
      </c>
      <c r="H343" s="165">
        <v>15</v>
      </c>
      <c r="J343" s="164">
        <v>33070114634</v>
      </c>
      <c r="K343" s="165">
        <v>98</v>
      </c>
      <c r="M343" s="9"/>
      <c r="P343" s="9"/>
      <c r="S343" s="9"/>
      <c r="V343" s="9"/>
      <c r="Y343" s="9"/>
    </row>
    <row r="344" spans="4:25" x14ac:dyDescent="0.25">
      <c r="D344" s="161"/>
      <c r="E344" s="162"/>
      <c r="F344" s="13"/>
      <c r="G344" s="164">
        <v>33070514765</v>
      </c>
      <c r="H344" s="165">
        <v>1</v>
      </c>
      <c r="J344" s="164">
        <v>33070514765</v>
      </c>
      <c r="K344" s="165">
        <v>6</v>
      </c>
      <c r="M344" s="9"/>
      <c r="P344" s="9"/>
      <c r="S344" s="9"/>
      <c r="V344" s="9"/>
      <c r="Y344" s="9"/>
    </row>
    <row r="345" spans="4:25" x14ac:dyDescent="0.25">
      <c r="D345" s="161"/>
      <c r="E345" s="162"/>
      <c r="F345" s="13"/>
      <c r="G345" s="164">
        <v>33070561590</v>
      </c>
      <c r="H345" s="165">
        <v>6</v>
      </c>
      <c r="J345" s="164">
        <v>33070561590</v>
      </c>
      <c r="K345" s="165">
        <v>6</v>
      </c>
      <c r="M345" s="9"/>
      <c r="P345" s="9"/>
      <c r="S345" s="9"/>
      <c r="V345" s="9"/>
      <c r="Y345" s="9"/>
    </row>
    <row r="346" spans="4:25" x14ac:dyDescent="0.25">
      <c r="D346" s="161"/>
      <c r="E346" s="162"/>
      <c r="F346" s="13"/>
      <c r="G346" s="164">
        <v>33102263137</v>
      </c>
      <c r="H346" s="165">
        <v>3</v>
      </c>
      <c r="J346" s="164">
        <v>33102263137</v>
      </c>
      <c r="K346" s="165">
        <v>7</v>
      </c>
      <c r="M346" s="9"/>
      <c r="P346" s="9"/>
      <c r="S346" s="9"/>
      <c r="V346" s="9"/>
      <c r="Y346" s="9"/>
    </row>
    <row r="347" spans="4:25" x14ac:dyDescent="0.25">
      <c r="D347" s="161"/>
      <c r="E347" s="162"/>
      <c r="F347" s="13"/>
      <c r="G347" s="164">
        <v>33105063089</v>
      </c>
      <c r="H347" s="165">
        <v>1</v>
      </c>
      <c r="J347" s="164">
        <v>33105063089</v>
      </c>
      <c r="K347" s="165">
        <v>2</v>
      </c>
      <c r="M347" s="9"/>
      <c r="P347" s="9"/>
      <c r="S347" s="9"/>
      <c r="V347" s="9"/>
      <c r="Y347" s="9"/>
    </row>
    <row r="348" spans="4:25" x14ac:dyDescent="0.25">
      <c r="D348" s="161"/>
      <c r="E348" s="162"/>
      <c r="F348" s="13"/>
      <c r="G348" s="164">
        <v>33105063941</v>
      </c>
      <c r="H348" s="165">
        <v>1</v>
      </c>
      <c r="J348" s="164">
        <v>33105063941</v>
      </c>
      <c r="K348" s="165">
        <v>2</v>
      </c>
      <c r="M348" s="9"/>
      <c r="P348" s="9"/>
      <c r="S348" s="9"/>
      <c r="V348" s="9"/>
      <c r="Y348" s="9"/>
    </row>
    <row r="349" spans="4:25" x14ac:dyDescent="0.25">
      <c r="D349" s="161"/>
      <c r="E349" s="162"/>
      <c r="F349" s="13"/>
      <c r="G349" s="164">
        <v>11103061881</v>
      </c>
      <c r="H349" s="165">
        <v>177</v>
      </c>
      <c r="J349" s="164">
        <v>11103061881</v>
      </c>
      <c r="K349" s="165">
        <v>177</v>
      </c>
      <c r="M349" s="9"/>
      <c r="P349" s="9"/>
      <c r="S349" s="9"/>
      <c r="V349" s="9"/>
      <c r="Y349" s="9"/>
    </row>
    <row r="350" spans="4:25" x14ac:dyDescent="0.25">
      <c r="D350" s="161"/>
      <c r="E350" s="162"/>
      <c r="F350" s="13"/>
      <c r="G350" s="164">
        <v>30061224415</v>
      </c>
      <c r="H350" s="165">
        <v>11</v>
      </c>
      <c r="J350" s="164">
        <v>30061224415</v>
      </c>
      <c r="K350" s="165">
        <v>106</v>
      </c>
      <c r="M350" s="9"/>
      <c r="P350" s="9"/>
      <c r="S350" s="9"/>
      <c r="V350" s="9"/>
      <c r="Y350" s="9"/>
    </row>
    <row r="351" spans="4:25" x14ac:dyDescent="0.25">
      <c r="D351" s="161"/>
      <c r="E351" s="162"/>
      <c r="F351" s="13"/>
      <c r="G351" s="164">
        <v>30061224601</v>
      </c>
      <c r="H351" s="165">
        <v>5</v>
      </c>
      <c r="J351" s="164">
        <v>30061224601</v>
      </c>
      <c r="K351" s="165">
        <v>11</v>
      </c>
      <c r="M351" s="9"/>
      <c r="P351" s="9"/>
      <c r="S351" s="9"/>
      <c r="V351" s="9"/>
      <c r="Y351" s="9"/>
    </row>
    <row r="352" spans="4:25" x14ac:dyDescent="0.25">
      <c r="D352" s="161"/>
      <c r="E352" s="162"/>
      <c r="F352" s="13"/>
      <c r="G352" s="164">
        <v>32105064170</v>
      </c>
      <c r="H352" s="165">
        <v>1</v>
      </c>
      <c r="J352" s="164">
        <v>32105064170</v>
      </c>
      <c r="K352" s="165">
        <v>2</v>
      </c>
      <c r="M352" s="9"/>
      <c r="P352" s="9"/>
      <c r="S352" s="9"/>
      <c r="V352" s="9"/>
      <c r="Y352" s="9"/>
    </row>
    <row r="353" spans="4:25" x14ac:dyDescent="0.25">
      <c r="D353" s="161"/>
      <c r="E353" s="162"/>
      <c r="F353" s="13"/>
      <c r="G353" s="164">
        <v>32105064304</v>
      </c>
      <c r="H353" s="165">
        <v>1</v>
      </c>
      <c r="J353" s="164">
        <v>32105064304</v>
      </c>
      <c r="K353" s="165">
        <v>1</v>
      </c>
      <c r="M353" s="9"/>
      <c r="P353" s="9"/>
      <c r="S353" s="9"/>
      <c r="V353" s="9"/>
      <c r="Y353" s="9"/>
    </row>
    <row r="354" spans="4:25" x14ac:dyDescent="0.25">
      <c r="D354" s="161"/>
      <c r="E354" s="162"/>
      <c r="F354" s="13"/>
      <c r="G354" s="164">
        <v>33051010976</v>
      </c>
      <c r="H354" s="165">
        <v>2</v>
      </c>
      <c r="J354" s="164">
        <v>33051010976</v>
      </c>
      <c r="K354" s="165">
        <v>2</v>
      </c>
      <c r="M354" s="9"/>
      <c r="P354" s="9"/>
      <c r="S354" s="9"/>
      <c r="V354" s="9"/>
      <c r="Y354" s="9"/>
    </row>
    <row r="355" spans="4:25" x14ac:dyDescent="0.25">
      <c r="D355" s="161"/>
      <c r="E355" s="162"/>
      <c r="F355" s="13"/>
      <c r="G355" s="164">
        <v>33051010977</v>
      </c>
      <c r="H355" s="165">
        <v>1</v>
      </c>
      <c r="J355" s="164">
        <v>33051010977</v>
      </c>
      <c r="K355" s="165">
        <v>1</v>
      </c>
      <c r="M355" s="9"/>
      <c r="P355" s="9"/>
      <c r="S355" s="9"/>
      <c r="V355" s="9"/>
      <c r="Y355" s="9"/>
    </row>
    <row r="356" spans="4:25" x14ac:dyDescent="0.25">
      <c r="D356" s="161"/>
      <c r="E356" s="162"/>
      <c r="F356" s="13"/>
      <c r="G356" s="164">
        <v>33051012132</v>
      </c>
      <c r="H356" s="165">
        <v>1</v>
      </c>
      <c r="J356" s="164">
        <v>33051012132</v>
      </c>
      <c r="K356" s="165">
        <v>1</v>
      </c>
      <c r="M356" s="9"/>
      <c r="P356" s="9"/>
      <c r="S356" s="9"/>
      <c r="V356" s="9"/>
      <c r="Y356" s="9"/>
    </row>
    <row r="357" spans="4:25" x14ac:dyDescent="0.25">
      <c r="D357" s="161"/>
      <c r="E357" s="162"/>
      <c r="F357" s="13"/>
      <c r="G357" s="164">
        <v>33051012162</v>
      </c>
      <c r="H357" s="165">
        <v>1</v>
      </c>
      <c r="J357" s="164">
        <v>33051012162</v>
      </c>
      <c r="K357" s="165">
        <v>1</v>
      </c>
      <c r="M357" s="9"/>
      <c r="P357" s="9"/>
      <c r="S357" s="9"/>
      <c r="V357" s="9"/>
      <c r="Y357" s="9"/>
    </row>
    <row r="358" spans="4:25" x14ac:dyDescent="0.25">
      <c r="D358" s="161"/>
      <c r="E358" s="162"/>
      <c r="F358" s="13"/>
      <c r="G358" s="164">
        <v>33051012177</v>
      </c>
      <c r="H358" s="165">
        <v>5</v>
      </c>
      <c r="J358" s="164">
        <v>33051012177</v>
      </c>
      <c r="K358" s="165">
        <v>5</v>
      </c>
      <c r="M358" s="9"/>
      <c r="P358" s="9"/>
      <c r="S358" s="9"/>
      <c r="V358" s="9"/>
      <c r="Y358" s="9"/>
    </row>
    <row r="359" spans="4:25" x14ac:dyDescent="0.25">
      <c r="D359" s="161"/>
      <c r="E359" s="162"/>
      <c r="F359" s="13"/>
      <c r="G359" s="164">
        <v>33051012314</v>
      </c>
      <c r="H359" s="165">
        <v>1</v>
      </c>
      <c r="J359" s="164">
        <v>33051012314</v>
      </c>
      <c r="K359" s="165">
        <v>1</v>
      </c>
      <c r="M359" s="9"/>
      <c r="P359" s="9"/>
      <c r="S359" s="9"/>
      <c r="V359" s="9"/>
      <c r="Y359" s="9"/>
    </row>
    <row r="360" spans="4:25" x14ac:dyDescent="0.25">
      <c r="D360" s="161"/>
      <c r="E360" s="162"/>
      <c r="F360" s="13"/>
      <c r="G360" s="164">
        <v>33051012321</v>
      </c>
      <c r="H360" s="165">
        <v>1</v>
      </c>
      <c r="J360" s="164">
        <v>33051012321</v>
      </c>
      <c r="K360" s="165">
        <v>1</v>
      </c>
      <c r="M360" s="9"/>
      <c r="P360" s="9"/>
      <c r="S360" s="9"/>
      <c r="V360" s="9"/>
      <c r="Y360" s="9"/>
    </row>
    <row r="361" spans="4:25" x14ac:dyDescent="0.25">
      <c r="D361" s="161"/>
      <c r="E361" s="162"/>
      <c r="F361" s="13"/>
      <c r="G361" s="164">
        <v>33051410609</v>
      </c>
      <c r="H361" s="165">
        <v>6</v>
      </c>
      <c r="J361" s="164">
        <v>33051410609</v>
      </c>
      <c r="K361" s="165">
        <v>6</v>
      </c>
      <c r="M361" s="9"/>
      <c r="P361" s="9"/>
      <c r="S361" s="9"/>
      <c r="V361" s="9"/>
      <c r="Y361" s="9"/>
    </row>
    <row r="362" spans="4:25" x14ac:dyDescent="0.25">
      <c r="D362" s="161"/>
      <c r="E362" s="162"/>
      <c r="F362" s="13"/>
      <c r="G362" s="164">
        <v>33051410617</v>
      </c>
      <c r="H362" s="165">
        <v>2</v>
      </c>
      <c r="J362" s="164">
        <v>33051410617</v>
      </c>
      <c r="K362" s="165">
        <v>2</v>
      </c>
      <c r="M362" s="9"/>
      <c r="P362" s="9"/>
      <c r="S362" s="9"/>
      <c r="V362" s="9"/>
      <c r="Y362" s="9"/>
    </row>
    <row r="363" spans="4:25" x14ac:dyDescent="0.25">
      <c r="D363" s="161"/>
      <c r="E363" s="162"/>
      <c r="F363" s="13"/>
      <c r="G363" s="164">
        <v>33051410625</v>
      </c>
      <c r="H363" s="165">
        <v>4</v>
      </c>
      <c r="J363" s="164">
        <v>33051410625</v>
      </c>
      <c r="K363" s="165">
        <v>4</v>
      </c>
      <c r="M363" s="9"/>
      <c r="P363" s="9"/>
      <c r="S363" s="9"/>
      <c r="V363" s="9"/>
      <c r="Y363" s="9"/>
    </row>
    <row r="364" spans="4:25" x14ac:dyDescent="0.25">
      <c r="D364" s="161"/>
      <c r="E364" s="162"/>
      <c r="F364" s="13"/>
      <c r="G364" s="164">
        <v>33051410632</v>
      </c>
      <c r="H364" s="165">
        <v>5</v>
      </c>
      <c r="J364" s="164">
        <v>33051410632</v>
      </c>
      <c r="K364" s="165">
        <v>5</v>
      </c>
      <c r="M364" s="9"/>
      <c r="P364" s="9"/>
      <c r="S364" s="9"/>
      <c r="V364" s="9"/>
      <c r="Y364" s="9"/>
    </row>
    <row r="365" spans="4:25" x14ac:dyDescent="0.25">
      <c r="D365" s="161"/>
      <c r="E365" s="162"/>
      <c r="F365" s="13"/>
      <c r="G365" s="164">
        <v>33051410821</v>
      </c>
      <c r="H365" s="165">
        <v>8</v>
      </c>
      <c r="J365" s="164">
        <v>33051410821</v>
      </c>
      <c r="K365" s="165">
        <v>8</v>
      </c>
      <c r="M365" s="9"/>
      <c r="P365" s="9"/>
      <c r="S365" s="9"/>
      <c r="V365" s="9"/>
      <c r="Y365" s="9"/>
    </row>
    <row r="366" spans="4:25" x14ac:dyDescent="0.25">
      <c r="D366" s="161"/>
      <c r="E366" s="162"/>
      <c r="F366" s="13"/>
      <c r="G366" s="164">
        <v>33051410927</v>
      </c>
      <c r="H366" s="165">
        <v>1</v>
      </c>
      <c r="J366" s="164">
        <v>33051410927</v>
      </c>
      <c r="K366" s="165">
        <v>1</v>
      </c>
      <c r="M366" s="9"/>
      <c r="P366" s="9"/>
      <c r="S366" s="9"/>
      <c r="V366" s="9"/>
      <c r="Y366" s="9"/>
    </row>
    <row r="367" spans="4:25" x14ac:dyDescent="0.25">
      <c r="D367" s="161"/>
      <c r="E367" s="162"/>
      <c r="F367" s="13"/>
      <c r="G367" s="164">
        <v>33051410932</v>
      </c>
      <c r="H367" s="165">
        <v>2</v>
      </c>
      <c r="J367" s="164">
        <v>33051410932</v>
      </c>
      <c r="K367" s="165">
        <v>2</v>
      </c>
      <c r="M367" s="9"/>
      <c r="P367" s="9"/>
      <c r="S367" s="9"/>
      <c r="V367" s="9"/>
      <c r="Y367" s="9"/>
    </row>
    <row r="368" spans="4:25" x14ac:dyDescent="0.25">
      <c r="D368" s="161"/>
      <c r="E368" s="162"/>
      <c r="F368" s="13"/>
      <c r="G368" s="164">
        <v>33051410966</v>
      </c>
      <c r="H368" s="165">
        <v>10</v>
      </c>
      <c r="J368" s="164">
        <v>33051410966</v>
      </c>
      <c r="K368" s="165">
        <v>10</v>
      </c>
      <c r="M368" s="9"/>
      <c r="P368" s="9"/>
      <c r="S368" s="9"/>
      <c r="V368" s="9"/>
      <c r="Y368" s="9"/>
    </row>
    <row r="369" spans="4:25" x14ac:dyDescent="0.25">
      <c r="D369" s="161"/>
      <c r="E369" s="162"/>
      <c r="F369" s="13"/>
      <c r="G369" s="164">
        <v>33051410971</v>
      </c>
      <c r="H369" s="165">
        <v>1</v>
      </c>
      <c r="J369" s="164">
        <v>33051410971</v>
      </c>
      <c r="K369" s="165">
        <v>1</v>
      </c>
      <c r="M369" s="9"/>
      <c r="P369" s="9"/>
      <c r="S369" s="9"/>
      <c r="V369" s="9"/>
      <c r="Y369" s="9"/>
    </row>
    <row r="370" spans="4:25" x14ac:dyDescent="0.25">
      <c r="D370" s="161"/>
      <c r="E370" s="162"/>
      <c r="F370" s="13"/>
      <c r="G370" s="164">
        <v>33051410979</v>
      </c>
      <c r="H370" s="165">
        <v>2</v>
      </c>
      <c r="J370" s="164">
        <v>33051410979</v>
      </c>
      <c r="K370" s="165">
        <v>2</v>
      </c>
      <c r="M370" s="9"/>
      <c r="P370" s="9"/>
      <c r="S370" s="9"/>
      <c r="V370" s="9"/>
      <c r="Y370" s="9"/>
    </row>
    <row r="371" spans="4:25" x14ac:dyDescent="0.25">
      <c r="D371" s="161"/>
      <c r="E371" s="162"/>
      <c r="F371" s="13"/>
      <c r="G371" s="164">
        <v>33051411165</v>
      </c>
      <c r="H371" s="165">
        <v>4</v>
      </c>
      <c r="J371" s="164">
        <v>33051411165</v>
      </c>
      <c r="K371" s="165">
        <v>4</v>
      </c>
      <c r="M371" s="9"/>
      <c r="P371" s="9"/>
      <c r="S371" s="9"/>
      <c r="V371" s="9"/>
      <c r="Y371" s="9"/>
    </row>
    <row r="372" spans="4:25" x14ac:dyDescent="0.25">
      <c r="D372" s="161"/>
      <c r="E372" s="162"/>
      <c r="F372" s="13"/>
      <c r="G372" s="164">
        <v>33051411167</v>
      </c>
      <c r="H372" s="165">
        <v>1</v>
      </c>
      <c r="J372" s="164">
        <v>33051411167</v>
      </c>
      <c r="K372" s="165">
        <v>1</v>
      </c>
      <c r="M372" s="9"/>
      <c r="P372" s="9"/>
      <c r="S372" s="9"/>
      <c r="V372" s="9"/>
      <c r="Y372" s="9"/>
    </row>
    <row r="373" spans="4:25" x14ac:dyDescent="0.25">
      <c r="D373" s="161"/>
      <c r="E373" s="162"/>
      <c r="F373" s="13"/>
      <c r="G373" s="164">
        <v>33051411187</v>
      </c>
      <c r="H373" s="165">
        <v>14</v>
      </c>
      <c r="J373" s="164">
        <v>33051411187</v>
      </c>
      <c r="K373" s="165">
        <v>14</v>
      </c>
      <c r="M373" s="9"/>
      <c r="P373" s="9"/>
      <c r="S373" s="9"/>
      <c r="V373" s="9"/>
      <c r="Y373" s="9"/>
    </row>
    <row r="374" spans="4:25" x14ac:dyDescent="0.25">
      <c r="D374" s="161"/>
      <c r="E374" s="162"/>
      <c r="F374" s="13"/>
      <c r="G374" s="164">
        <v>33051411188</v>
      </c>
      <c r="H374" s="165">
        <v>9</v>
      </c>
      <c r="J374" s="164">
        <v>33051411188</v>
      </c>
      <c r="K374" s="165">
        <v>9</v>
      </c>
      <c r="M374" s="9"/>
      <c r="P374" s="9"/>
      <c r="S374" s="9"/>
      <c r="V374" s="9"/>
      <c r="Y374" s="9"/>
    </row>
    <row r="375" spans="4:25" x14ac:dyDescent="0.25">
      <c r="D375" s="161"/>
      <c r="E375" s="162"/>
      <c r="F375" s="13"/>
      <c r="G375" s="164">
        <v>33051411196</v>
      </c>
      <c r="H375" s="165">
        <v>1</v>
      </c>
      <c r="J375" s="164">
        <v>33051411196</v>
      </c>
      <c r="K375" s="165">
        <v>1</v>
      </c>
      <c r="M375" s="9"/>
      <c r="P375" s="9"/>
      <c r="S375" s="9"/>
      <c r="V375" s="9"/>
      <c r="Y375" s="9"/>
    </row>
    <row r="376" spans="4:25" x14ac:dyDescent="0.25">
      <c r="D376" s="161"/>
      <c r="E376" s="162"/>
      <c r="F376" s="13"/>
      <c r="G376" s="164">
        <v>33051411204</v>
      </c>
      <c r="H376" s="165">
        <v>9</v>
      </c>
      <c r="J376" s="164">
        <v>33051411204</v>
      </c>
      <c r="K376" s="165">
        <v>9</v>
      </c>
      <c r="M376" s="9"/>
      <c r="P376" s="9"/>
      <c r="S376" s="9"/>
      <c r="V376" s="9"/>
      <c r="Y376" s="9"/>
    </row>
    <row r="377" spans="4:25" x14ac:dyDescent="0.25">
      <c r="D377" s="161"/>
      <c r="E377" s="162"/>
      <c r="F377" s="13"/>
      <c r="G377" s="164">
        <v>33051411205</v>
      </c>
      <c r="H377" s="165">
        <v>12</v>
      </c>
      <c r="J377" s="164">
        <v>33051411205</v>
      </c>
      <c r="K377" s="165">
        <v>12</v>
      </c>
      <c r="M377" s="9"/>
      <c r="P377" s="9"/>
      <c r="S377" s="9"/>
      <c r="V377" s="9"/>
      <c r="Y377" s="9"/>
    </row>
    <row r="378" spans="4:25" x14ac:dyDescent="0.25">
      <c r="D378" s="161"/>
      <c r="E378" s="162"/>
      <c r="F378" s="13"/>
      <c r="G378" s="164">
        <v>33051411206</v>
      </c>
      <c r="H378" s="165">
        <v>5</v>
      </c>
      <c r="J378" s="164">
        <v>33051411206</v>
      </c>
      <c r="K378" s="165">
        <v>5</v>
      </c>
      <c r="M378" s="9"/>
      <c r="P378" s="9"/>
      <c r="S378" s="9"/>
      <c r="V378" s="9"/>
      <c r="Y378" s="9"/>
    </row>
    <row r="379" spans="4:25" x14ac:dyDescent="0.25">
      <c r="D379" s="161"/>
      <c r="E379" s="162"/>
      <c r="F379" s="13"/>
      <c r="G379" s="164">
        <v>33051411209</v>
      </c>
      <c r="H379" s="165">
        <v>1</v>
      </c>
      <c r="J379" s="164">
        <v>33051411209</v>
      </c>
      <c r="K379" s="165">
        <v>1</v>
      </c>
      <c r="M379" s="9"/>
      <c r="P379" s="9"/>
      <c r="S379" s="9"/>
      <c r="V379" s="9"/>
      <c r="Y379" s="9"/>
    </row>
    <row r="380" spans="4:25" x14ac:dyDescent="0.25">
      <c r="D380" s="161"/>
      <c r="E380" s="162"/>
      <c r="F380" s="13"/>
      <c r="G380" s="164">
        <v>33051412000</v>
      </c>
      <c r="H380" s="165">
        <v>2</v>
      </c>
      <c r="J380" s="164">
        <v>33051412000</v>
      </c>
      <c r="K380" s="165">
        <v>2</v>
      </c>
      <c r="M380" s="9"/>
      <c r="P380" s="9"/>
      <c r="S380" s="9"/>
      <c r="V380" s="9"/>
      <c r="Y380" s="9"/>
    </row>
    <row r="381" spans="4:25" x14ac:dyDescent="0.25">
      <c r="D381" s="161"/>
      <c r="E381" s="162"/>
      <c r="F381" s="13"/>
      <c r="G381" s="164">
        <v>33051412001</v>
      </c>
      <c r="H381" s="165">
        <v>2</v>
      </c>
      <c r="J381" s="164">
        <v>33051412001</v>
      </c>
      <c r="K381" s="165">
        <v>2</v>
      </c>
      <c r="M381" s="9"/>
      <c r="P381" s="9"/>
      <c r="S381" s="9"/>
      <c r="V381" s="9"/>
      <c r="Y381" s="9"/>
    </row>
    <row r="382" spans="4:25" x14ac:dyDescent="0.25">
      <c r="D382" s="161"/>
      <c r="E382" s="162"/>
      <c r="F382" s="13"/>
      <c r="G382" s="164">
        <v>33051412004</v>
      </c>
      <c r="H382" s="165">
        <v>2</v>
      </c>
      <c r="J382" s="164">
        <v>33051412004</v>
      </c>
      <c r="K382" s="165">
        <v>2</v>
      </c>
      <c r="M382" s="9"/>
      <c r="P382" s="9"/>
      <c r="S382" s="9"/>
      <c r="V382" s="9"/>
      <c r="Y382" s="9"/>
    </row>
    <row r="383" spans="4:25" x14ac:dyDescent="0.25">
      <c r="D383" s="161"/>
      <c r="E383" s="162"/>
      <c r="F383" s="13"/>
      <c r="G383" s="164">
        <v>33051412005</v>
      </c>
      <c r="H383" s="165">
        <v>5</v>
      </c>
      <c r="J383" s="164">
        <v>33051412005</v>
      </c>
      <c r="K383" s="165">
        <v>5</v>
      </c>
      <c r="M383" s="9"/>
      <c r="P383" s="9"/>
      <c r="S383" s="9"/>
      <c r="V383" s="9"/>
      <c r="Y383" s="9"/>
    </row>
    <row r="384" spans="4:25" x14ac:dyDescent="0.25">
      <c r="D384" s="161"/>
      <c r="E384" s="162"/>
      <c r="F384" s="13"/>
      <c r="G384" s="164">
        <v>33051412009</v>
      </c>
      <c r="H384" s="165">
        <v>2</v>
      </c>
      <c r="J384" s="164">
        <v>33051412009</v>
      </c>
      <c r="K384" s="165">
        <v>2</v>
      </c>
      <c r="M384" s="9"/>
      <c r="P384" s="9"/>
      <c r="S384" s="9"/>
      <c r="V384" s="9"/>
      <c r="Y384" s="9"/>
    </row>
    <row r="385" spans="4:25" x14ac:dyDescent="0.25">
      <c r="D385" s="161"/>
      <c r="E385" s="162"/>
      <c r="F385" s="13"/>
      <c r="G385" s="164">
        <v>33051412010</v>
      </c>
      <c r="H385" s="165">
        <v>8</v>
      </c>
      <c r="J385" s="164">
        <v>33051412010</v>
      </c>
      <c r="K385" s="165">
        <v>8</v>
      </c>
      <c r="M385" s="9"/>
      <c r="P385" s="9"/>
      <c r="S385" s="9"/>
      <c r="V385" s="9"/>
      <c r="Y385" s="9"/>
    </row>
    <row r="386" spans="4:25" x14ac:dyDescent="0.25">
      <c r="D386" s="161"/>
      <c r="E386" s="162"/>
      <c r="F386" s="13"/>
      <c r="G386" s="164">
        <v>33051412012</v>
      </c>
      <c r="H386" s="165">
        <v>5</v>
      </c>
      <c r="J386" s="164">
        <v>33051412012</v>
      </c>
      <c r="K386" s="165">
        <v>5</v>
      </c>
      <c r="M386" s="9"/>
      <c r="P386" s="9"/>
      <c r="S386" s="9"/>
      <c r="V386" s="9"/>
      <c r="Y386" s="9"/>
    </row>
    <row r="387" spans="4:25" x14ac:dyDescent="0.25">
      <c r="D387" s="161"/>
      <c r="E387" s="162"/>
      <c r="F387" s="13"/>
      <c r="G387" s="164">
        <v>33051412021</v>
      </c>
      <c r="H387" s="165">
        <v>3</v>
      </c>
      <c r="J387" s="164">
        <v>33051412021</v>
      </c>
      <c r="K387" s="165">
        <v>3</v>
      </c>
      <c r="M387" s="9"/>
      <c r="P387" s="9"/>
      <c r="S387" s="9"/>
      <c r="V387" s="9"/>
      <c r="Y387" s="9"/>
    </row>
    <row r="388" spans="4:25" x14ac:dyDescent="0.25">
      <c r="D388" s="161"/>
      <c r="E388" s="162"/>
      <c r="F388" s="13"/>
      <c r="G388" s="164">
        <v>33051412022</v>
      </c>
      <c r="H388" s="165">
        <v>3</v>
      </c>
      <c r="J388" s="164">
        <v>33051412022</v>
      </c>
      <c r="K388" s="165">
        <v>3</v>
      </c>
      <c r="M388" s="9"/>
      <c r="P388" s="9"/>
      <c r="S388" s="9"/>
      <c r="V388" s="9"/>
      <c r="Y388" s="9"/>
    </row>
    <row r="389" spans="4:25" x14ac:dyDescent="0.25">
      <c r="D389" s="161"/>
      <c r="E389" s="162"/>
      <c r="F389" s="13"/>
      <c r="G389" s="164">
        <v>33051412028</v>
      </c>
      <c r="H389" s="165">
        <v>20</v>
      </c>
      <c r="J389" s="164">
        <v>33051412028</v>
      </c>
      <c r="K389" s="165">
        <v>20</v>
      </c>
      <c r="M389" s="9"/>
      <c r="P389" s="9"/>
      <c r="S389" s="9"/>
      <c r="V389" s="9"/>
      <c r="Y389" s="9"/>
    </row>
    <row r="390" spans="4:25" x14ac:dyDescent="0.25">
      <c r="D390" s="161"/>
      <c r="E390" s="162"/>
      <c r="F390" s="13"/>
      <c r="G390" s="164">
        <v>33051412029</v>
      </c>
      <c r="H390" s="165">
        <v>2</v>
      </c>
      <c r="J390" s="164">
        <v>33051412029</v>
      </c>
      <c r="K390" s="165">
        <v>2</v>
      </c>
      <c r="M390" s="9"/>
      <c r="P390" s="9"/>
      <c r="S390" s="9"/>
      <c r="V390" s="9"/>
      <c r="Y390" s="9"/>
    </row>
    <row r="391" spans="4:25" x14ac:dyDescent="0.25">
      <c r="D391" s="161"/>
      <c r="E391" s="162"/>
      <c r="F391" s="13"/>
      <c r="G391" s="164">
        <v>33051412030</v>
      </c>
      <c r="H391" s="165">
        <v>1</v>
      </c>
      <c r="J391" s="164">
        <v>33051412030</v>
      </c>
      <c r="K391" s="165">
        <v>1</v>
      </c>
      <c r="M391" s="9"/>
      <c r="P391" s="9"/>
      <c r="S391" s="9"/>
      <c r="V391" s="9"/>
      <c r="Y391" s="9"/>
    </row>
    <row r="392" spans="4:25" x14ac:dyDescent="0.25">
      <c r="D392" s="161"/>
      <c r="E392" s="162"/>
      <c r="F392" s="13"/>
      <c r="G392" s="164">
        <v>33051412031</v>
      </c>
      <c r="H392" s="165">
        <v>5</v>
      </c>
      <c r="J392" s="164">
        <v>33051412031</v>
      </c>
      <c r="K392" s="165">
        <v>5</v>
      </c>
      <c r="M392" s="9"/>
      <c r="P392" s="9"/>
      <c r="S392" s="9"/>
      <c r="V392" s="9"/>
      <c r="Y392" s="9"/>
    </row>
    <row r="393" spans="4:25" x14ac:dyDescent="0.25">
      <c r="D393" s="161"/>
      <c r="E393" s="162"/>
      <c r="F393" s="13"/>
      <c r="G393" s="164">
        <v>33051412033</v>
      </c>
      <c r="H393" s="165">
        <v>1</v>
      </c>
      <c r="J393" s="164">
        <v>33051412033</v>
      </c>
      <c r="K393" s="165">
        <v>1</v>
      </c>
      <c r="M393" s="9"/>
      <c r="P393" s="9"/>
      <c r="S393" s="9"/>
      <c r="V393" s="9"/>
      <c r="Y393" s="9"/>
    </row>
    <row r="394" spans="4:25" x14ac:dyDescent="0.25">
      <c r="D394" s="161"/>
      <c r="E394" s="162"/>
      <c r="F394" s="13"/>
      <c r="G394" s="164">
        <v>33051412034</v>
      </c>
      <c r="H394" s="165">
        <v>2</v>
      </c>
      <c r="J394" s="164">
        <v>33051412034</v>
      </c>
      <c r="K394" s="165">
        <v>2</v>
      </c>
      <c r="M394" s="9"/>
      <c r="P394" s="9"/>
      <c r="S394" s="9"/>
      <c r="V394" s="9"/>
      <c r="Y394" s="9"/>
    </row>
    <row r="395" spans="4:25" x14ac:dyDescent="0.25">
      <c r="D395" s="161"/>
      <c r="E395" s="162"/>
      <c r="F395" s="13"/>
      <c r="G395" s="164">
        <v>33051412189</v>
      </c>
      <c r="H395" s="165">
        <v>8</v>
      </c>
      <c r="J395" s="164">
        <v>33051412189</v>
      </c>
      <c r="K395" s="165">
        <v>8</v>
      </c>
      <c r="M395" s="9"/>
      <c r="P395" s="9"/>
      <c r="S395" s="9"/>
      <c r="V395" s="9"/>
      <c r="Y395" s="9"/>
    </row>
    <row r="396" spans="4:25" x14ac:dyDescent="0.25">
      <c r="D396" s="161"/>
      <c r="E396" s="162"/>
      <c r="F396" s="13"/>
      <c r="G396" s="164">
        <v>33051412191</v>
      </c>
      <c r="H396" s="165">
        <v>2</v>
      </c>
      <c r="J396" s="164">
        <v>33051412191</v>
      </c>
      <c r="K396" s="165">
        <v>2</v>
      </c>
      <c r="M396" s="9"/>
      <c r="P396" s="9"/>
      <c r="S396" s="9"/>
      <c r="V396" s="9"/>
      <c r="Y396" s="9"/>
    </row>
    <row r="397" spans="4:25" x14ac:dyDescent="0.25">
      <c r="D397" s="161"/>
      <c r="E397" s="162"/>
      <c r="F397" s="13"/>
      <c r="G397" s="164">
        <v>33051412192</v>
      </c>
      <c r="H397" s="165">
        <v>2</v>
      </c>
      <c r="J397" s="164">
        <v>33051412192</v>
      </c>
      <c r="K397" s="165">
        <v>2</v>
      </c>
      <c r="M397" s="9"/>
      <c r="P397" s="9"/>
      <c r="S397" s="9"/>
      <c r="V397" s="9"/>
      <c r="Y397" s="9"/>
    </row>
    <row r="398" spans="4:25" x14ac:dyDescent="0.25">
      <c r="D398" s="161"/>
      <c r="E398" s="162"/>
      <c r="F398" s="13"/>
      <c r="G398" s="164">
        <v>33051412193</v>
      </c>
      <c r="H398" s="165">
        <v>3</v>
      </c>
      <c r="J398" s="164">
        <v>33051412193</v>
      </c>
      <c r="K398" s="165">
        <v>3</v>
      </c>
      <c r="M398" s="9"/>
      <c r="P398" s="9"/>
      <c r="S398" s="9"/>
      <c r="V398" s="9"/>
      <c r="Y398" s="9"/>
    </row>
    <row r="399" spans="4:25" x14ac:dyDescent="0.25">
      <c r="D399" s="161"/>
      <c r="E399" s="162"/>
      <c r="F399" s="13"/>
      <c r="G399" s="164">
        <v>33051412196</v>
      </c>
      <c r="H399" s="165">
        <v>8</v>
      </c>
      <c r="J399" s="164">
        <v>33051412196</v>
      </c>
      <c r="K399" s="165">
        <v>8</v>
      </c>
      <c r="M399" s="9"/>
      <c r="P399" s="9"/>
      <c r="S399" s="9"/>
      <c r="V399" s="9"/>
      <c r="Y399" s="9"/>
    </row>
    <row r="400" spans="4:25" x14ac:dyDescent="0.25">
      <c r="D400" s="161"/>
      <c r="E400" s="162"/>
      <c r="F400" s="13"/>
      <c r="G400" s="164">
        <v>33051412198</v>
      </c>
      <c r="H400" s="165">
        <v>10</v>
      </c>
      <c r="J400" s="164">
        <v>33051412198</v>
      </c>
      <c r="K400" s="165">
        <v>10</v>
      </c>
      <c r="M400" s="9"/>
      <c r="P400" s="9"/>
      <c r="S400" s="9"/>
      <c r="V400" s="9"/>
      <c r="Y400" s="9"/>
    </row>
    <row r="401" spans="4:25" x14ac:dyDescent="0.25">
      <c r="D401" s="161"/>
      <c r="E401" s="162"/>
      <c r="F401" s="13"/>
      <c r="G401" s="164">
        <v>33051412214</v>
      </c>
      <c r="H401" s="165">
        <v>1</v>
      </c>
      <c r="J401" s="164">
        <v>33051412214</v>
      </c>
      <c r="K401" s="165">
        <v>1</v>
      </c>
      <c r="M401" s="9"/>
      <c r="P401" s="9"/>
      <c r="S401" s="9"/>
      <c r="V401" s="9"/>
      <c r="Y401" s="9"/>
    </row>
    <row r="402" spans="4:25" x14ac:dyDescent="0.25">
      <c r="D402" s="161"/>
      <c r="E402" s="162"/>
      <c r="F402" s="13"/>
      <c r="G402" s="164">
        <v>33051412215</v>
      </c>
      <c r="H402" s="165">
        <v>1</v>
      </c>
      <c r="J402" s="164">
        <v>33051412215</v>
      </c>
      <c r="K402" s="165">
        <v>1</v>
      </c>
      <c r="M402" s="9"/>
      <c r="P402" s="9"/>
      <c r="S402" s="9"/>
      <c r="V402" s="9"/>
      <c r="Y402" s="9"/>
    </row>
    <row r="403" spans="4:25" x14ac:dyDescent="0.25">
      <c r="D403" s="161"/>
      <c r="E403" s="162"/>
      <c r="F403" s="13"/>
      <c r="G403" s="164">
        <v>33051412217</v>
      </c>
      <c r="H403" s="165">
        <v>2</v>
      </c>
      <c r="J403" s="164">
        <v>33051412217</v>
      </c>
      <c r="K403" s="165">
        <v>2</v>
      </c>
      <c r="M403" s="9"/>
      <c r="P403" s="9"/>
      <c r="S403" s="9"/>
      <c r="V403" s="9"/>
      <c r="Y403" s="9"/>
    </row>
    <row r="404" spans="4:25" x14ac:dyDescent="0.25">
      <c r="D404" s="161"/>
      <c r="E404" s="162"/>
      <c r="F404" s="13"/>
      <c r="G404" s="164">
        <v>33051412220</v>
      </c>
      <c r="H404" s="165">
        <v>1</v>
      </c>
      <c r="J404" s="164">
        <v>33051412220</v>
      </c>
      <c r="K404" s="165">
        <v>1</v>
      </c>
      <c r="M404" s="9"/>
      <c r="P404" s="9"/>
      <c r="S404" s="9"/>
      <c r="V404" s="9"/>
      <c r="Y404" s="9"/>
    </row>
    <row r="405" spans="4:25" x14ac:dyDescent="0.25">
      <c r="D405" s="161"/>
      <c r="E405" s="162"/>
      <c r="F405" s="13"/>
      <c r="G405" s="164">
        <v>33051412221</v>
      </c>
      <c r="H405" s="165">
        <v>1</v>
      </c>
      <c r="J405" s="164">
        <v>33051412221</v>
      </c>
      <c r="K405" s="165">
        <v>1</v>
      </c>
      <c r="M405" s="9"/>
      <c r="P405" s="9"/>
      <c r="S405" s="9"/>
      <c r="V405" s="9"/>
      <c r="Y405" s="9"/>
    </row>
    <row r="406" spans="4:25" x14ac:dyDescent="0.25">
      <c r="D406" s="161"/>
      <c r="E406" s="162"/>
      <c r="F406" s="13"/>
      <c r="G406" s="164">
        <v>33051412223</v>
      </c>
      <c r="H406" s="165">
        <v>4</v>
      </c>
      <c r="J406" s="164">
        <v>33051412223</v>
      </c>
      <c r="K406" s="165">
        <v>4</v>
      </c>
      <c r="M406" s="9"/>
      <c r="P406" s="9"/>
      <c r="S406" s="9"/>
      <c r="V406" s="9"/>
      <c r="Y406" s="9"/>
    </row>
    <row r="407" spans="4:25" x14ac:dyDescent="0.25">
      <c r="D407" s="161"/>
      <c r="E407" s="162"/>
      <c r="F407" s="13"/>
      <c r="G407" s="164">
        <v>33051412224</v>
      </c>
      <c r="H407" s="165">
        <v>4</v>
      </c>
      <c r="J407" s="164">
        <v>33051412224</v>
      </c>
      <c r="K407" s="165">
        <v>4</v>
      </c>
      <c r="M407" s="9"/>
      <c r="P407" s="9"/>
      <c r="S407" s="9"/>
      <c r="V407" s="9"/>
      <c r="Y407" s="9"/>
    </row>
    <row r="408" spans="4:25" x14ac:dyDescent="0.25">
      <c r="D408" s="161"/>
      <c r="E408" s="162"/>
      <c r="F408" s="13"/>
      <c r="G408" s="164">
        <v>33051412225</v>
      </c>
      <c r="H408" s="165">
        <v>5</v>
      </c>
      <c r="J408" s="164">
        <v>33051412225</v>
      </c>
      <c r="K408" s="165">
        <v>5</v>
      </c>
      <c r="M408" s="9"/>
      <c r="P408" s="9"/>
      <c r="S408" s="9"/>
      <c r="V408" s="9"/>
      <c r="Y408" s="9"/>
    </row>
    <row r="409" spans="4:25" x14ac:dyDescent="0.25">
      <c r="D409" s="161"/>
      <c r="E409" s="162"/>
      <c r="F409" s="13"/>
      <c r="G409" s="164">
        <v>33051412226</v>
      </c>
      <c r="H409" s="165">
        <v>2</v>
      </c>
      <c r="J409" s="164">
        <v>33051412226</v>
      </c>
      <c r="K409" s="165">
        <v>2</v>
      </c>
      <c r="M409" s="9"/>
      <c r="P409" s="9"/>
      <c r="S409" s="9"/>
      <c r="V409" s="9"/>
      <c r="Y409" s="9"/>
    </row>
    <row r="410" spans="4:25" x14ac:dyDescent="0.25">
      <c r="D410" s="161"/>
      <c r="E410" s="162"/>
      <c r="F410" s="13"/>
      <c r="G410" s="164">
        <v>33051412227</v>
      </c>
      <c r="H410" s="165">
        <v>4</v>
      </c>
      <c r="J410" s="164">
        <v>33051412227</v>
      </c>
      <c r="K410" s="165">
        <v>4</v>
      </c>
      <c r="M410" s="9"/>
      <c r="P410" s="9"/>
      <c r="S410" s="9"/>
      <c r="V410" s="9"/>
      <c r="Y410" s="9"/>
    </row>
    <row r="411" spans="4:25" x14ac:dyDescent="0.25">
      <c r="D411" s="161"/>
      <c r="E411" s="162"/>
      <c r="F411" s="13"/>
      <c r="G411" s="164">
        <v>33051412228</v>
      </c>
      <c r="H411" s="165">
        <v>14</v>
      </c>
      <c r="J411" s="164">
        <v>33051412228</v>
      </c>
      <c r="K411" s="165">
        <v>14</v>
      </c>
      <c r="M411" s="9"/>
      <c r="P411" s="9"/>
      <c r="S411" s="9"/>
      <c r="V411" s="9"/>
      <c r="Y411" s="9"/>
    </row>
    <row r="412" spans="4:25" x14ac:dyDescent="0.25">
      <c r="D412" s="161"/>
      <c r="E412" s="162"/>
      <c r="F412" s="13"/>
      <c r="G412" s="164">
        <v>33051412229</v>
      </c>
      <c r="H412" s="165">
        <v>1</v>
      </c>
      <c r="J412" s="164">
        <v>33051412229</v>
      </c>
      <c r="K412" s="165">
        <v>1</v>
      </c>
      <c r="M412" s="9"/>
      <c r="P412" s="9"/>
      <c r="S412" s="9"/>
      <c r="V412" s="9"/>
      <c r="Y412" s="9"/>
    </row>
    <row r="413" spans="4:25" x14ac:dyDescent="0.25">
      <c r="D413" s="161"/>
      <c r="E413" s="162"/>
      <c r="F413" s="13"/>
      <c r="G413" s="164">
        <v>33051412231</v>
      </c>
      <c r="H413" s="165">
        <v>1</v>
      </c>
      <c r="J413" s="164">
        <v>33051412231</v>
      </c>
      <c r="K413" s="165">
        <v>1</v>
      </c>
      <c r="M413" s="9"/>
      <c r="P413" s="9"/>
      <c r="S413" s="9"/>
      <c r="V413" s="9"/>
      <c r="Y413" s="9"/>
    </row>
    <row r="414" spans="4:25" x14ac:dyDescent="0.25">
      <c r="D414" s="161"/>
      <c r="E414" s="162"/>
      <c r="F414" s="13"/>
      <c r="G414" s="164">
        <v>33051412232</v>
      </c>
      <c r="H414" s="165">
        <v>1</v>
      </c>
      <c r="J414" s="164">
        <v>33051412232</v>
      </c>
      <c r="K414" s="165">
        <v>1</v>
      </c>
      <c r="M414" s="9"/>
      <c r="P414" s="9"/>
      <c r="S414" s="9"/>
      <c r="V414" s="9"/>
      <c r="Y414" s="9"/>
    </row>
    <row r="415" spans="4:25" x14ac:dyDescent="0.25">
      <c r="D415" s="161"/>
      <c r="E415" s="162"/>
      <c r="F415" s="13"/>
      <c r="G415" s="164">
        <v>33051412233</v>
      </c>
      <c r="H415" s="165">
        <v>1</v>
      </c>
      <c r="J415" s="164">
        <v>33051412233</v>
      </c>
      <c r="K415" s="165">
        <v>1</v>
      </c>
      <c r="M415" s="9"/>
      <c r="P415" s="9"/>
      <c r="S415" s="9"/>
      <c r="V415" s="9"/>
      <c r="Y415" s="9"/>
    </row>
    <row r="416" spans="4:25" x14ac:dyDescent="0.25">
      <c r="D416" s="161"/>
      <c r="E416" s="162"/>
      <c r="F416" s="13"/>
      <c r="G416" s="164">
        <v>33051412236</v>
      </c>
      <c r="H416" s="165">
        <v>12</v>
      </c>
      <c r="J416" s="164">
        <v>33051412236</v>
      </c>
      <c r="K416" s="165">
        <v>12</v>
      </c>
      <c r="M416" s="9"/>
      <c r="P416" s="9"/>
      <c r="S416" s="9"/>
      <c r="V416" s="9"/>
      <c r="Y416" s="9"/>
    </row>
    <row r="417" spans="4:25" x14ac:dyDescent="0.25">
      <c r="D417" s="161"/>
      <c r="E417" s="162"/>
      <c r="F417" s="13"/>
      <c r="G417" s="164">
        <v>33051412238</v>
      </c>
      <c r="H417" s="165">
        <v>2</v>
      </c>
      <c r="J417" s="164">
        <v>33051412238</v>
      </c>
      <c r="K417" s="165">
        <v>2</v>
      </c>
      <c r="M417" s="9"/>
      <c r="P417" s="9"/>
      <c r="S417" s="9"/>
      <c r="V417" s="9"/>
      <c r="Y417" s="9"/>
    </row>
    <row r="418" spans="4:25" x14ac:dyDescent="0.25">
      <c r="D418" s="161"/>
      <c r="E418" s="162"/>
      <c r="F418" s="13"/>
      <c r="G418" s="164">
        <v>33051412240</v>
      </c>
      <c r="H418" s="165">
        <v>1</v>
      </c>
      <c r="J418" s="164">
        <v>33051412240</v>
      </c>
      <c r="K418" s="165">
        <v>1</v>
      </c>
      <c r="M418" s="9"/>
      <c r="P418" s="9"/>
      <c r="S418" s="9"/>
      <c r="V418" s="9"/>
      <c r="Y418" s="9"/>
    </row>
    <row r="419" spans="4:25" x14ac:dyDescent="0.25">
      <c r="D419" s="161"/>
      <c r="E419" s="162"/>
      <c r="F419" s="13"/>
      <c r="G419" s="164">
        <v>33051412241</v>
      </c>
      <c r="H419" s="165">
        <v>2</v>
      </c>
      <c r="J419" s="164">
        <v>33051412241</v>
      </c>
      <c r="K419" s="165">
        <v>2</v>
      </c>
      <c r="M419" s="9"/>
      <c r="P419" s="9"/>
      <c r="S419" s="9"/>
      <c r="V419" s="9"/>
      <c r="Y419" s="9"/>
    </row>
    <row r="420" spans="4:25" x14ac:dyDescent="0.25">
      <c r="D420" s="161"/>
      <c r="E420" s="162"/>
      <c r="F420" s="13"/>
      <c r="G420" s="164">
        <v>33051412242</v>
      </c>
      <c r="H420" s="165">
        <v>4</v>
      </c>
      <c r="J420" s="164">
        <v>33051412242</v>
      </c>
      <c r="K420" s="165">
        <v>4</v>
      </c>
      <c r="M420" s="9"/>
      <c r="P420" s="9"/>
      <c r="S420" s="9"/>
      <c r="V420" s="9"/>
      <c r="Y420" s="9"/>
    </row>
    <row r="421" spans="4:25" x14ac:dyDescent="0.25">
      <c r="D421" s="161"/>
      <c r="E421" s="162"/>
      <c r="F421" s="13"/>
      <c r="G421" s="164">
        <v>33051412243</v>
      </c>
      <c r="H421" s="165">
        <v>1</v>
      </c>
      <c r="J421" s="164">
        <v>33051412243</v>
      </c>
      <c r="K421" s="165">
        <v>1</v>
      </c>
      <c r="M421" s="9"/>
      <c r="P421" s="9"/>
      <c r="S421" s="9"/>
      <c r="V421" s="9"/>
      <c r="Y421" s="9"/>
    </row>
    <row r="422" spans="4:25" x14ac:dyDescent="0.25">
      <c r="D422" s="161"/>
      <c r="E422" s="162"/>
      <c r="F422" s="13"/>
      <c r="G422" s="164">
        <v>33051412244</v>
      </c>
      <c r="H422" s="165">
        <v>2</v>
      </c>
      <c r="J422" s="164">
        <v>33051412244</v>
      </c>
      <c r="K422" s="165">
        <v>2</v>
      </c>
      <c r="M422" s="9"/>
      <c r="P422" s="9"/>
      <c r="S422" s="9"/>
      <c r="V422" s="9"/>
      <c r="Y422" s="9"/>
    </row>
    <row r="423" spans="4:25" x14ac:dyDescent="0.25">
      <c r="D423" s="161"/>
      <c r="E423" s="162"/>
      <c r="F423" s="13"/>
      <c r="G423" s="164">
        <v>33051412245</v>
      </c>
      <c r="H423" s="165">
        <v>1</v>
      </c>
      <c r="J423" s="164">
        <v>33051412245</v>
      </c>
      <c r="K423" s="165">
        <v>1</v>
      </c>
      <c r="M423" s="9"/>
      <c r="P423" s="9"/>
      <c r="S423" s="9"/>
      <c r="V423" s="9"/>
      <c r="Y423" s="9"/>
    </row>
    <row r="424" spans="4:25" x14ac:dyDescent="0.25">
      <c r="D424" s="161"/>
      <c r="E424" s="162"/>
      <c r="F424" s="13"/>
      <c r="G424" s="164">
        <v>33051412246</v>
      </c>
      <c r="H424" s="165">
        <v>2</v>
      </c>
      <c r="J424" s="164">
        <v>33051412246</v>
      </c>
      <c r="K424" s="165">
        <v>2</v>
      </c>
      <c r="M424" s="9"/>
      <c r="P424" s="9"/>
      <c r="S424" s="9"/>
      <c r="V424" s="9"/>
      <c r="Y424" s="9"/>
    </row>
    <row r="425" spans="4:25" x14ac:dyDescent="0.25">
      <c r="D425" s="161"/>
      <c r="E425" s="162"/>
      <c r="F425" s="13"/>
      <c r="G425" s="164">
        <v>33051412247</v>
      </c>
      <c r="H425" s="165">
        <v>4</v>
      </c>
      <c r="J425" s="164">
        <v>33051412247</v>
      </c>
      <c r="K425" s="165">
        <v>4</v>
      </c>
      <c r="M425" s="9"/>
      <c r="P425" s="9"/>
      <c r="S425" s="9"/>
      <c r="V425" s="9"/>
      <c r="Y425" s="9"/>
    </row>
    <row r="426" spans="4:25" x14ac:dyDescent="0.25">
      <c r="D426" s="161"/>
      <c r="E426" s="162"/>
      <c r="F426" s="13"/>
      <c r="G426" s="164">
        <v>33051412250</v>
      </c>
      <c r="H426" s="160">
        <v>2</v>
      </c>
      <c r="J426" s="164">
        <v>33051412250</v>
      </c>
      <c r="K426" s="165">
        <v>2</v>
      </c>
    </row>
    <row r="427" spans="4:25" x14ac:dyDescent="0.25">
      <c r="D427" s="161"/>
      <c r="E427" s="162"/>
      <c r="F427" s="13"/>
      <c r="G427" s="164">
        <v>33051412251</v>
      </c>
      <c r="H427" s="160">
        <v>1</v>
      </c>
      <c r="J427" s="164">
        <v>33051412251</v>
      </c>
      <c r="K427" s="165">
        <v>1</v>
      </c>
    </row>
    <row r="428" spans="4:25" x14ac:dyDescent="0.25">
      <c r="D428" s="161"/>
      <c r="E428" s="162"/>
      <c r="F428" s="13"/>
      <c r="G428" s="164">
        <v>33051412252</v>
      </c>
      <c r="H428" s="160">
        <v>2</v>
      </c>
      <c r="J428" s="164">
        <v>33051412252</v>
      </c>
      <c r="K428" s="165">
        <v>2</v>
      </c>
    </row>
    <row r="429" spans="4:25" x14ac:dyDescent="0.25">
      <c r="D429" s="161"/>
      <c r="E429" s="162"/>
      <c r="F429" s="13"/>
      <c r="G429" s="164">
        <v>33051412257</v>
      </c>
      <c r="H429" s="160">
        <v>1</v>
      </c>
      <c r="J429" s="164">
        <v>33051412257</v>
      </c>
      <c r="K429" s="165">
        <v>1</v>
      </c>
    </row>
    <row r="430" spans="4:25" x14ac:dyDescent="0.25">
      <c r="D430" s="161"/>
      <c r="E430" s="162"/>
      <c r="F430" s="13"/>
      <c r="G430" s="164">
        <v>33051412271</v>
      </c>
      <c r="H430" s="160">
        <v>3</v>
      </c>
      <c r="J430" s="164">
        <v>33051412271</v>
      </c>
      <c r="K430" s="165">
        <v>3</v>
      </c>
    </row>
    <row r="431" spans="4:25" x14ac:dyDescent="0.25">
      <c r="D431" s="161"/>
      <c r="E431" s="162"/>
      <c r="F431" s="13"/>
      <c r="G431" s="164">
        <v>33051412276</v>
      </c>
      <c r="H431" s="160">
        <v>1</v>
      </c>
      <c r="J431" s="164">
        <v>33051412276</v>
      </c>
      <c r="K431" s="165">
        <v>1</v>
      </c>
    </row>
    <row r="432" spans="4:25" x14ac:dyDescent="0.25">
      <c r="D432" s="161"/>
      <c r="E432" s="162"/>
      <c r="F432" s="13"/>
      <c r="G432" s="164">
        <v>33051412279</v>
      </c>
      <c r="H432" s="160">
        <v>1</v>
      </c>
      <c r="J432" s="164">
        <v>33051412279</v>
      </c>
      <c r="K432" s="165">
        <v>1</v>
      </c>
    </row>
    <row r="433" spans="4:11" x14ac:dyDescent="0.25">
      <c r="D433" s="161"/>
      <c r="E433" s="162"/>
      <c r="F433" s="13"/>
      <c r="G433" s="164">
        <v>33051412281</v>
      </c>
      <c r="H433" s="160">
        <v>3</v>
      </c>
      <c r="J433" s="164">
        <v>33051412281</v>
      </c>
      <c r="K433" s="165">
        <v>3</v>
      </c>
    </row>
    <row r="434" spans="4:11" x14ac:dyDescent="0.25">
      <c r="D434" s="161"/>
      <c r="E434" s="162"/>
      <c r="F434" s="13"/>
      <c r="G434" s="164">
        <v>33051412284</v>
      </c>
      <c r="H434" s="160">
        <v>2</v>
      </c>
      <c r="J434" s="164">
        <v>33051412284</v>
      </c>
      <c r="K434" s="165">
        <v>2</v>
      </c>
    </row>
    <row r="435" spans="4:11" x14ac:dyDescent="0.25">
      <c r="D435" s="161"/>
      <c r="E435" s="162"/>
      <c r="F435" s="13"/>
      <c r="G435" s="164">
        <v>33051412286</v>
      </c>
      <c r="H435" s="160">
        <v>5</v>
      </c>
      <c r="J435" s="164">
        <v>33051412286</v>
      </c>
      <c r="K435" s="165">
        <v>5</v>
      </c>
    </row>
    <row r="436" spans="4:11" x14ac:dyDescent="0.25">
      <c r="D436" s="161"/>
      <c r="E436" s="162"/>
      <c r="F436" s="13"/>
      <c r="G436" s="164">
        <v>33051412289</v>
      </c>
      <c r="H436" s="160">
        <v>4</v>
      </c>
      <c r="J436" s="164">
        <v>33051412289</v>
      </c>
      <c r="K436" s="165">
        <v>4</v>
      </c>
    </row>
    <row r="437" spans="4:11" x14ac:dyDescent="0.25">
      <c r="D437" s="161"/>
      <c r="E437" s="162"/>
      <c r="F437" s="13"/>
      <c r="G437" s="164">
        <v>33051412292</v>
      </c>
      <c r="H437" s="160">
        <v>1</v>
      </c>
      <c r="J437" s="164">
        <v>33051412292</v>
      </c>
      <c r="K437" s="165">
        <v>1</v>
      </c>
    </row>
    <row r="438" spans="4:11" x14ac:dyDescent="0.25">
      <c r="D438" s="161"/>
      <c r="E438" s="162"/>
      <c r="F438" s="13"/>
      <c r="G438" s="164">
        <v>33051412293</v>
      </c>
      <c r="H438" s="160">
        <v>4</v>
      </c>
      <c r="J438" s="164">
        <v>33051412293</v>
      </c>
      <c r="K438" s="165">
        <v>4</v>
      </c>
    </row>
    <row r="439" spans="4:11" x14ac:dyDescent="0.25">
      <c r="D439" s="161"/>
      <c r="E439" s="162"/>
      <c r="F439" s="13"/>
      <c r="G439" s="164">
        <v>33051412294</v>
      </c>
      <c r="H439" s="160">
        <v>2</v>
      </c>
      <c r="J439" s="164">
        <v>33051412294</v>
      </c>
      <c r="K439" s="165">
        <v>2</v>
      </c>
    </row>
    <row r="440" spans="4:11" x14ac:dyDescent="0.25">
      <c r="D440" s="161"/>
      <c r="E440" s="162"/>
      <c r="F440" s="13"/>
      <c r="G440" s="164">
        <v>33051412295</v>
      </c>
      <c r="H440" s="160">
        <v>4</v>
      </c>
      <c r="J440" s="164">
        <v>33051412295</v>
      </c>
      <c r="K440" s="165">
        <v>4</v>
      </c>
    </row>
    <row r="441" spans="4:11" x14ac:dyDescent="0.25">
      <c r="D441" s="161"/>
      <c r="E441" s="162"/>
      <c r="F441" s="13"/>
      <c r="G441" s="164">
        <v>33051412296</v>
      </c>
      <c r="H441" s="160">
        <v>1</v>
      </c>
      <c r="J441" s="164">
        <v>33051412296</v>
      </c>
      <c r="K441" s="165">
        <v>1</v>
      </c>
    </row>
    <row r="442" spans="4:11" x14ac:dyDescent="0.25">
      <c r="D442" s="161"/>
      <c r="E442" s="162"/>
      <c r="F442" s="13"/>
      <c r="G442" s="164">
        <v>33051412297</v>
      </c>
      <c r="H442" s="160">
        <v>2</v>
      </c>
      <c r="J442" s="164">
        <v>33051412297</v>
      </c>
      <c r="K442" s="165">
        <v>2</v>
      </c>
    </row>
    <row r="443" spans="4:11" x14ac:dyDescent="0.25">
      <c r="D443" s="161"/>
      <c r="E443" s="162"/>
      <c r="F443" s="13"/>
      <c r="G443" s="164">
        <v>33051412298</v>
      </c>
      <c r="H443" s="160">
        <v>2</v>
      </c>
      <c r="J443" s="164">
        <v>33051412298</v>
      </c>
      <c r="K443" s="165">
        <v>2</v>
      </c>
    </row>
    <row r="444" spans="4:11" x14ac:dyDescent="0.25">
      <c r="D444" s="161"/>
      <c r="E444" s="162"/>
      <c r="F444" s="13"/>
      <c r="G444" s="164">
        <v>33051412299</v>
      </c>
      <c r="H444" s="160">
        <v>2</v>
      </c>
      <c r="J444" s="164">
        <v>33051412299</v>
      </c>
      <c r="K444" s="165">
        <v>2</v>
      </c>
    </row>
    <row r="445" spans="4:11" x14ac:dyDescent="0.25">
      <c r="D445" s="161"/>
      <c r="E445" s="162"/>
      <c r="F445" s="13"/>
      <c r="G445" s="164">
        <v>33051412300</v>
      </c>
      <c r="H445" s="160">
        <v>2</v>
      </c>
      <c r="J445" s="164">
        <v>33051412300</v>
      </c>
      <c r="K445" s="165">
        <v>2</v>
      </c>
    </row>
    <row r="446" spans="4:11" x14ac:dyDescent="0.25">
      <c r="D446" s="161"/>
      <c r="E446" s="162"/>
      <c r="F446" s="13"/>
      <c r="G446" s="164">
        <v>33051412301</v>
      </c>
      <c r="H446" s="160">
        <v>4</v>
      </c>
      <c r="J446" s="164">
        <v>33051412301</v>
      </c>
      <c r="K446" s="165">
        <v>4</v>
      </c>
    </row>
    <row r="447" spans="4:11" x14ac:dyDescent="0.25">
      <c r="D447" s="161"/>
      <c r="E447" s="162"/>
      <c r="F447" s="13"/>
      <c r="G447" s="164">
        <v>33051412302</v>
      </c>
      <c r="H447" s="160">
        <v>2</v>
      </c>
      <c r="J447" s="164">
        <v>33051412302</v>
      </c>
      <c r="K447" s="165">
        <v>2</v>
      </c>
    </row>
    <row r="448" spans="4:11" x14ac:dyDescent="0.25">
      <c r="D448" s="161"/>
      <c r="E448" s="162"/>
      <c r="F448" s="13"/>
      <c r="G448" s="164">
        <v>33051412303</v>
      </c>
      <c r="H448" s="160">
        <v>2</v>
      </c>
      <c r="J448" s="164">
        <v>33051412303</v>
      </c>
      <c r="K448" s="165">
        <v>2</v>
      </c>
    </row>
    <row r="449" spans="4:11" x14ac:dyDescent="0.25">
      <c r="D449" s="161"/>
      <c r="E449" s="162"/>
      <c r="F449" s="13"/>
      <c r="G449" s="164">
        <v>33051412304</v>
      </c>
      <c r="H449" s="160">
        <v>2</v>
      </c>
      <c r="J449" s="164">
        <v>33051412304</v>
      </c>
      <c r="K449" s="165">
        <v>2</v>
      </c>
    </row>
    <row r="450" spans="4:11" x14ac:dyDescent="0.25">
      <c r="D450" s="161"/>
      <c r="E450" s="162"/>
      <c r="F450" s="13"/>
      <c r="G450" s="164">
        <v>33051412305</v>
      </c>
      <c r="H450" s="160">
        <v>1</v>
      </c>
      <c r="J450" s="164">
        <v>33051412305</v>
      </c>
      <c r="K450" s="165">
        <v>1</v>
      </c>
    </row>
    <row r="451" spans="4:11" x14ac:dyDescent="0.25">
      <c r="D451" s="161"/>
      <c r="E451" s="162"/>
      <c r="F451" s="13"/>
      <c r="G451" s="164">
        <v>33051412306</v>
      </c>
      <c r="H451" s="160">
        <v>1</v>
      </c>
      <c r="J451" s="164">
        <v>33051412306</v>
      </c>
      <c r="K451" s="165">
        <v>1</v>
      </c>
    </row>
    <row r="452" spans="4:11" x14ac:dyDescent="0.25">
      <c r="D452" s="161"/>
      <c r="E452" s="162"/>
      <c r="F452" s="13"/>
      <c r="G452" s="164">
        <v>33051412307</v>
      </c>
      <c r="H452" s="160">
        <v>2</v>
      </c>
      <c r="J452" s="164">
        <v>33051412307</v>
      </c>
      <c r="K452" s="165">
        <v>2</v>
      </c>
    </row>
    <row r="453" spans="4:11" x14ac:dyDescent="0.25">
      <c r="D453" s="161"/>
      <c r="E453" s="162"/>
      <c r="F453" s="13"/>
      <c r="G453" s="164">
        <v>33051412308</v>
      </c>
      <c r="H453" s="160">
        <v>1</v>
      </c>
      <c r="J453" s="164">
        <v>33051412308</v>
      </c>
      <c r="K453" s="165">
        <v>1</v>
      </c>
    </row>
    <row r="454" spans="4:11" x14ac:dyDescent="0.25">
      <c r="D454" s="161"/>
      <c r="E454" s="162"/>
      <c r="F454" s="13"/>
      <c r="G454" s="164">
        <v>33051412309</v>
      </c>
      <c r="H454" s="160">
        <v>4</v>
      </c>
      <c r="J454" s="164">
        <v>33051412309</v>
      </c>
      <c r="K454" s="165">
        <v>4</v>
      </c>
    </row>
    <row r="455" spans="4:11" x14ac:dyDescent="0.25">
      <c r="D455" s="161"/>
      <c r="E455" s="162"/>
      <c r="F455" s="13"/>
      <c r="G455" s="164">
        <v>33051412315</v>
      </c>
      <c r="H455" s="160">
        <v>1</v>
      </c>
      <c r="J455" s="164">
        <v>33051412315</v>
      </c>
      <c r="K455" s="165">
        <v>1</v>
      </c>
    </row>
    <row r="456" spans="4:11" x14ac:dyDescent="0.25">
      <c r="D456" s="161"/>
      <c r="E456" s="162"/>
      <c r="F456" s="13"/>
      <c r="G456" s="164">
        <v>33051412317</v>
      </c>
      <c r="H456" s="160">
        <v>4</v>
      </c>
      <c r="J456" s="164">
        <v>33051412317</v>
      </c>
      <c r="K456" s="165">
        <v>4</v>
      </c>
    </row>
    <row r="457" spans="4:11" x14ac:dyDescent="0.25">
      <c r="D457" s="161"/>
      <c r="E457" s="162"/>
      <c r="F457" s="13"/>
      <c r="G457" s="164">
        <v>33051412320</v>
      </c>
      <c r="H457" s="160">
        <v>1</v>
      </c>
      <c r="J457" s="164">
        <v>33051412320</v>
      </c>
      <c r="K457" s="165">
        <v>1</v>
      </c>
    </row>
    <row r="458" spans="4:11" x14ac:dyDescent="0.25">
      <c r="D458" s="161"/>
      <c r="E458" s="162"/>
      <c r="F458" s="13"/>
      <c r="G458" s="164">
        <v>33051412322</v>
      </c>
      <c r="H458" s="160">
        <v>1</v>
      </c>
      <c r="J458" s="164">
        <v>33051412322</v>
      </c>
      <c r="K458" s="165">
        <v>1</v>
      </c>
    </row>
    <row r="459" spans="4:11" x14ac:dyDescent="0.25">
      <c r="D459" s="161"/>
      <c r="E459" s="162"/>
      <c r="F459" s="13"/>
      <c r="G459" s="164">
        <v>33051412323</v>
      </c>
      <c r="H459" s="160">
        <v>1</v>
      </c>
      <c r="J459" s="164">
        <v>33051412323</v>
      </c>
      <c r="K459" s="165">
        <v>1</v>
      </c>
    </row>
    <row r="460" spans="4:11" x14ac:dyDescent="0.25">
      <c r="D460" s="161"/>
      <c r="E460" s="162"/>
      <c r="F460" s="13"/>
      <c r="G460" s="164">
        <v>33051412324</v>
      </c>
      <c r="H460" s="160">
        <v>1</v>
      </c>
      <c r="J460" s="164">
        <v>33051412324</v>
      </c>
      <c r="K460" s="165">
        <v>1</v>
      </c>
    </row>
    <row r="461" spans="4:11" x14ac:dyDescent="0.25">
      <c r="D461" s="161"/>
      <c r="E461" s="162"/>
      <c r="F461" s="13"/>
      <c r="G461" s="164">
        <v>33051412325</v>
      </c>
      <c r="H461" s="160">
        <v>1</v>
      </c>
      <c r="J461" s="164">
        <v>33051412325</v>
      </c>
      <c r="K461" s="165">
        <v>1</v>
      </c>
    </row>
    <row r="462" spans="4:11" x14ac:dyDescent="0.25">
      <c r="D462" s="161"/>
      <c r="E462" s="162"/>
      <c r="F462" s="13"/>
      <c r="G462" s="164">
        <v>33051412326</v>
      </c>
      <c r="H462" s="160">
        <v>1</v>
      </c>
      <c r="J462" s="164">
        <v>33051412326</v>
      </c>
      <c r="K462" s="165">
        <v>1</v>
      </c>
    </row>
    <row r="463" spans="4:11" x14ac:dyDescent="0.25">
      <c r="D463" s="161"/>
      <c r="E463" s="162"/>
      <c r="F463" s="13"/>
      <c r="G463" s="164">
        <v>33051412327</v>
      </c>
      <c r="H463" s="160">
        <v>1</v>
      </c>
      <c r="J463" s="164">
        <v>33051412327</v>
      </c>
      <c r="K463" s="165">
        <v>1</v>
      </c>
    </row>
    <row r="464" spans="4:11" x14ac:dyDescent="0.25">
      <c r="D464" s="161"/>
      <c r="E464" s="162"/>
      <c r="F464" s="13"/>
      <c r="G464" s="164">
        <v>33051412328</v>
      </c>
      <c r="H464" s="160">
        <v>1</v>
      </c>
      <c r="J464" s="164">
        <v>33051412328</v>
      </c>
      <c r="K464" s="165">
        <v>1</v>
      </c>
    </row>
    <row r="465" spans="4:11" x14ac:dyDescent="0.25">
      <c r="D465" s="161"/>
      <c r="E465" s="162"/>
      <c r="F465" s="13"/>
      <c r="G465" s="164">
        <v>33051412329</v>
      </c>
      <c r="H465" s="160">
        <v>1</v>
      </c>
      <c r="J465" s="164">
        <v>33051412329</v>
      </c>
      <c r="K465" s="165">
        <v>1</v>
      </c>
    </row>
    <row r="466" spans="4:11" x14ac:dyDescent="0.25">
      <c r="D466" s="161"/>
      <c r="E466" s="162"/>
      <c r="F466" s="13"/>
      <c r="G466" s="164">
        <v>33051412330</v>
      </c>
      <c r="H466" s="160">
        <v>1</v>
      </c>
      <c r="J466" s="164">
        <v>33051412330</v>
      </c>
      <c r="K466" s="165">
        <v>1</v>
      </c>
    </row>
    <row r="467" spans="4:11" x14ac:dyDescent="0.25">
      <c r="D467" s="161"/>
      <c r="E467" s="162"/>
      <c r="F467" s="13"/>
      <c r="G467" s="164">
        <v>33051412331</v>
      </c>
      <c r="H467" s="160">
        <v>1</v>
      </c>
      <c r="J467" s="164">
        <v>33051412331</v>
      </c>
      <c r="K467" s="165">
        <v>1</v>
      </c>
    </row>
    <row r="468" spans="4:11" x14ac:dyDescent="0.25">
      <c r="D468" s="161"/>
      <c r="E468" s="162"/>
      <c r="F468" s="13"/>
      <c r="G468" s="164">
        <v>33051412332</v>
      </c>
      <c r="H468" s="160">
        <v>1</v>
      </c>
      <c r="J468" s="164">
        <v>33051412332</v>
      </c>
      <c r="K468" s="165">
        <v>1</v>
      </c>
    </row>
    <row r="469" spans="4:11" x14ac:dyDescent="0.25">
      <c r="D469" s="161"/>
      <c r="E469" s="162"/>
      <c r="F469" s="13"/>
      <c r="G469" s="164">
        <v>33051412333</v>
      </c>
      <c r="H469" s="160">
        <v>2</v>
      </c>
      <c r="J469" s="164">
        <v>33051412333</v>
      </c>
      <c r="K469" s="165">
        <v>2</v>
      </c>
    </row>
    <row r="470" spans="4:11" x14ac:dyDescent="0.25">
      <c r="D470" s="161"/>
      <c r="E470" s="162"/>
      <c r="F470" s="13"/>
      <c r="G470" s="164">
        <v>33051412334</v>
      </c>
      <c r="H470" s="160">
        <v>2</v>
      </c>
      <c r="J470" s="164">
        <v>33051412334</v>
      </c>
      <c r="K470" s="165">
        <v>2</v>
      </c>
    </row>
    <row r="471" spans="4:11" x14ac:dyDescent="0.25">
      <c r="D471" s="161"/>
      <c r="E471" s="162"/>
      <c r="F471" s="13"/>
      <c r="G471" s="164">
        <v>33051412335</v>
      </c>
      <c r="H471" s="160">
        <v>2</v>
      </c>
      <c r="J471" s="164">
        <v>33051412335</v>
      </c>
      <c r="K471" s="165">
        <v>2</v>
      </c>
    </row>
    <row r="472" spans="4:11" x14ac:dyDescent="0.25">
      <c r="D472" s="161"/>
      <c r="E472" s="162"/>
      <c r="F472" s="13"/>
      <c r="G472" s="164">
        <v>33051412337</v>
      </c>
      <c r="H472" s="160">
        <v>4</v>
      </c>
      <c r="J472" s="164">
        <v>33051412337</v>
      </c>
      <c r="K472" s="165">
        <v>4</v>
      </c>
    </row>
    <row r="473" spans="4:11" x14ac:dyDescent="0.25">
      <c r="D473" s="161"/>
      <c r="E473" s="162"/>
      <c r="F473" s="13"/>
      <c r="G473" s="164">
        <v>33051412338</v>
      </c>
      <c r="H473" s="160">
        <v>20</v>
      </c>
      <c r="J473" s="164">
        <v>33051412338</v>
      </c>
      <c r="K473" s="165">
        <v>20</v>
      </c>
    </row>
    <row r="474" spans="4:11" x14ac:dyDescent="0.25">
      <c r="D474" s="161"/>
      <c r="E474" s="162"/>
      <c r="F474" s="13"/>
      <c r="G474" s="164">
        <v>33051412339</v>
      </c>
      <c r="H474" s="160">
        <v>10</v>
      </c>
      <c r="J474" s="164">
        <v>33051412339</v>
      </c>
      <c r="K474" s="165">
        <v>10</v>
      </c>
    </row>
    <row r="475" spans="4:11" x14ac:dyDescent="0.25">
      <c r="D475" s="161"/>
      <c r="E475" s="162"/>
      <c r="F475" s="13"/>
      <c r="G475" s="164">
        <v>33051412340</v>
      </c>
      <c r="H475" s="160">
        <v>7</v>
      </c>
      <c r="J475" s="164">
        <v>33051412340</v>
      </c>
      <c r="K475" s="165">
        <v>7</v>
      </c>
    </row>
    <row r="476" spans="4:11" x14ac:dyDescent="0.25">
      <c r="D476" s="161"/>
      <c r="E476" s="162"/>
      <c r="F476" s="13"/>
      <c r="G476" s="164">
        <v>33051412341</v>
      </c>
      <c r="H476" s="160">
        <v>1</v>
      </c>
      <c r="J476" s="164">
        <v>33051412341</v>
      </c>
      <c r="K476" s="165">
        <v>1</v>
      </c>
    </row>
    <row r="477" spans="4:11" x14ac:dyDescent="0.25">
      <c r="D477" s="161"/>
      <c r="E477" s="162"/>
      <c r="F477" s="13"/>
      <c r="G477" s="164">
        <v>33051420007</v>
      </c>
      <c r="H477" s="160">
        <v>9</v>
      </c>
      <c r="J477" s="164">
        <v>33051420007</v>
      </c>
      <c r="K477" s="165">
        <v>9</v>
      </c>
    </row>
    <row r="478" spans="4:11" x14ac:dyDescent="0.25">
      <c r="D478" s="161"/>
      <c r="E478" s="162"/>
      <c r="F478" s="13"/>
      <c r="G478" s="164">
        <v>33051420097</v>
      </c>
      <c r="H478" s="160">
        <v>10</v>
      </c>
      <c r="J478" s="164">
        <v>33051420097</v>
      </c>
      <c r="K478" s="165">
        <v>10</v>
      </c>
    </row>
    <row r="479" spans="4:11" x14ac:dyDescent="0.25">
      <c r="D479" s="161"/>
      <c r="E479" s="162"/>
      <c r="F479" s="13"/>
      <c r="G479" s="164">
        <v>33051420401</v>
      </c>
      <c r="H479" s="160">
        <v>21</v>
      </c>
      <c r="J479" s="164">
        <v>33051420401</v>
      </c>
      <c r="K479" s="165">
        <v>21</v>
      </c>
    </row>
    <row r="480" spans="4:11" x14ac:dyDescent="0.25">
      <c r="D480" s="161"/>
      <c r="E480" s="162"/>
      <c r="F480" s="13"/>
      <c r="G480" s="164">
        <v>33051420538</v>
      </c>
      <c r="H480" s="160">
        <v>11</v>
      </c>
      <c r="J480" s="164">
        <v>33051420538</v>
      </c>
      <c r="K480" s="165">
        <v>11</v>
      </c>
    </row>
    <row r="481" spans="4:11" x14ac:dyDescent="0.25">
      <c r="D481" s="161"/>
      <c r="E481" s="162"/>
      <c r="F481" s="13"/>
      <c r="G481" s="164">
        <v>33051420552</v>
      </c>
      <c r="H481" s="160">
        <v>7</v>
      </c>
      <c r="J481" s="164">
        <v>33051420552</v>
      </c>
      <c r="K481" s="165">
        <v>7</v>
      </c>
    </row>
    <row r="482" spans="4:11" x14ac:dyDescent="0.25">
      <c r="D482" s="161"/>
      <c r="E482" s="162"/>
      <c r="F482" s="13"/>
      <c r="G482" s="164">
        <v>33051420554</v>
      </c>
      <c r="H482" s="160">
        <v>2</v>
      </c>
      <c r="J482" s="164">
        <v>33051420554</v>
      </c>
      <c r="K482" s="165">
        <v>2</v>
      </c>
    </row>
    <row r="483" spans="4:11" x14ac:dyDescent="0.25">
      <c r="D483" s="161"/>
      <c r="E483" s="162"/>
      <c r="F483" s="13"/>
      <c r="G483" s="164">
        <v>33051420563</v>
      </c>
      <c r="H483" s="160">
        <v>1</v>
      </c>
      <c r="J483" s="164">
        <v>33051420563</v>
      </c>
      <c r="K483" s="165">
        <v>1</v>
      </c>
    </row>
    <row r="484" spans="4:11" x14ac:dyDescent="0.25">
      <c r="D484" s="161"/>
      <c r="E484" s="162"/>
      <c r="F484" s="13"/>
      <c r="G484" s="164">
        <v>33051420564</v>
      </c>
      <c r="H484" s="160">
        <v>1</v>
      </c>
      <c r="J484" s="164">
        <v>33051420564</v>
      </c>
      <c r="K484" s="165">
        <v>1</v>
      </c>
    </row>
    <row r="485" spans="4:11" x14ac:dyDescent="0.25">
      <c r="D485" s="161"/>
      <c r="E485" s="162"/>
      <c r="F485" s="13"/>
      <c r="G485" s="164">
        <v>33051420586</v>
      </c>
      <c r="H485" s="160">
        <v>6</v>
      </c>
      <c r="J485" s="164">
        <v>33051420586</v>
      </c>
      <c r="K485" s="165">
        <v>6</v>
      </c>
    </row>
    <row r="486" spans="4:11" x14ac:dyDescent="0.25">
      <c r="D486" s="161"/>
      <c r="E486" s="162"/>
      <c r="F486" s="13"/>
      <c r="G486" s="164">
        <v>33051420589</v>
      </c>
      <c r="H486" s="160">
        <v>6</v>
      </c>
      <c r="J486" s="164">
        <v>33051420589</v>
      </c>
      <c r="K486" s="165">
        <v>6</v>
      </c>
    </row>
    <row r="487" spans="4:11" x14ac:dyDescent="0.25">
      <c r="D487" s="161"/>
      <c r="E487" s="162"/>
      <c r="F487" s="13"/>
      <c r="G487" s="164">
        <v>33051420597</v>
      </c>
      <c r="H487" s="160">
        <v>2</v>
      </c>
      <c r="J487" s="164">
        <v>33051420597</v>
      </c>
      <c r="K487" s="165">
        <v>2</v>
      </c>
    </row>
    <row r="488" spans="4:11" x14ac:dyDescent="0.25">
      <c r="D488" s="161"/>
      <c r="E488" s="162"/>
      <c r="F488" s="13"/>
      <c r="G488" s="164">
        <v>33051421607</v>
      </c>
      <c r="H488" s="160">
        <v>2</v>
      </c>
      <c r="J488" s="164">
        <v>33051421607</v>
      </c>
      <c r="K488" s="165">
        <v>2</v>
      </c>
    </row>
    <row r="489" spans="4:11" x14ac:dyDescent="0.25">
      <c r="D489" s="161"/>
      <c r="E489" s="162"/>
      <c r="F489" s="13"/>
      <c r="G489" s="164">
        <v>33051422344</v>
      </c>
      <c r="H489" s="160">
        <v>3</v>
      </c>
      <c r="J489" s="164">
        <v>33051422344</v>
      </c>
      <c r="K489" s="165">
        <v>3</v>
      </c>
    </row>
    <row r="490" spans="4:11" x14ac:dyDescent="0.25">
      <c r="D490" s="161"/>
      <c r="E490" s="162"/>
      <c r="F490" s="13"/>
      <c r="G490" s="164">
        <v>33051422347</v>
      </c>
      <c r="H490" s="160">
        <v>3</v>
      </c>
      <c r="J490" s="164">
        <v>33051422347</v>
      </c>
      <c r="K490" s="165">
        <v>3</v>
      </c>
    </row>
    <row r="491" spans="4:11" x14ac:dyDescent="0.25">
      <c r="D491" s="161"/>
      <c r="E491" s="162"/>
      <c r="F491" s="13"/>
      <c r="G491" s="164">
        <v>33051422349</v>
      </c>
      <c r="H491" s="160">
        <v>4</v>
      </c>
      <c r="J491" s="164">
        <v>33051422349</v>
      </c>
      <c r="K491" s="165">
        <v>4</v>
      </c>
    </row>
    <row r="492" spans="4:11" x14ac:dyDescent="0.25">
      <c r="D492" s="161"/>
      <c r="E492" s="162"/>
      <c r="F492" s="13"/>
      <c r="G492" s="164">
        <v>33051422351</v>
      </c>
      <c r="H492" s="160">
        <v>3</v>
      </c>
      <c r="J492" s="164">
        <v>33051422351</v>
      </c>
      <c r="K492" s="165">
        <v>3</v>
      </c>
    </row>
    <row r="493" spans="4:11" x14ac:dyDescent="0.25">
      <c r="D493" s="161"/>
      <c r="E493" s="162"/>
      <c r="F493" s="13"/>
      <c r="G493" s="164">
        <v>33051422357</v>
      </c>
      <c r="H493" s="160">
        <v>7</v>
      </c>
      <c r="J493" s="164">
        <v>33051422357</v>
      </c>
      <c r="K493" s="165">
        <v>7</v>
      </c>
    </row>
    <row r="494" spans="4:11" x14ac:dyDescent="0.25">
      <c r="D494" s="161"/>
      <c r="E494" s="162"/>
      <c r="F494" s="13"/>
      <c r="G494" s="164">
        <v>33051422358</v>
      </c>
      <c r="H494" s="160">
        <v>2</v>
      </c>
      <c r="J494" s="164">
        <v>33051422358</v>
      </c>
      <c r="K494" s="165">
        <v>2</v>
      </c>
    </row>
    <row r="495" spans="4:11" x14ac:dyDescent="0.25">
      <c r="D495" s="161"/>
      <c r="E495" s="162"/>
      <c r="F495" s="13"/>
      <c r="G495" s="164">
        <v>33051422359</v>
      </c>
      <c r="H495" s="160">
        <v>2</v>
      </c>
      <c r="J495" s="164">
        <v>33051422359</v>
      </c>
      <c r="K495" s="165">
        <v>2</v>
      </c>
    </row>
    <row r="496" spans="4:11" x14ac:dyDescent="0.25">
      <c r="D496" s="161"/>
      <c r="E496" s="162"/>
      <c r="F496" s="13"/>
      <c r="G496" s="164">
        <v>33051422360</v>
      </c>
      <c r="H496" s="160">
        <v>3</v>
      </c>
      <c r="J496" s="164">
        <v>33051422360</v>
      </c>
      <c r="K496" s="165">
        <v>3</v>
      </c>
    </row>
    <row r="497" spans="4:11" x14ac:dyDescent="0.25">
      <c r="D497" s="161"/>
      <c r="E497" s="162"/>
      <c r="F497" s="13"/>
      <c r="G497" s="164">
        <v>33051422361</v>
      </c>
      <c r="H497" s="160">
        <v>2</v>
      </c>
      <c r="J497" s="164">
        <v>33051422361</v>
      </c>
      <c r="K497" s="165">
        <v>2</v>
      </c>
    </row>
    <row r="498" spans="4:11" x14ac:dyDescent="0.25">
      <c r="D498" s="161"/>
      <c r="E498" s="162"/>
      <c r="F498" s="13"/>
      <c r="G498" s="164">
        <v>33051422365</v>
      </c>
      <c r="H498" s="160">
        <v>1</v>
      </c>
      <c r="J498" s="164">
        <v>33051422365</v>
      </c>
      <c r="K498" s="165">
        <v>1</v>
      </c>
    </row>
    <row r="499" spans="4:11" x14ac:dyDescent="0.25">
      <c r="D499" s="161"/>
      <c r="E499" s="162"/>
      <c r="F499" s="13"/>
      <c r="G499" s="164">
        <v>33051422368</v>
      </c>
      <c r="H499" s="160">
        <v>10</v>
      </c>
      <c r="J499" s="164">
        <v>33051422368</v>
      </c>
      <c r="K499" s="165">
        <v>10</v>
      </c>
    </row>
    <row r="500" spans="4:11" x14ac:dyDescent="0.25">
      <c r="D500" s="161"/>
      <c r="E500" s="162"/>
      <c r="F500" s="13"/>
      <c r="G500" s="164">
        <v>33051422371</v>
      </c>
      <c r="H500" s="160">
        <v>1</v>
      </c>
      <c r="J500" s="164">
        <v>33051422371</v>
      </c>
      <c r="K500" s="165">
        <v>1</v>
      </c>
    </row>
    <row r="501" spans="4:11" x14ac:dyDescent="0.25">
      <c r="D501" s="161"/>
      <c r="E501" s="162"/>
      <c r="F501" s="13"/>
      <c r="G501" s="164">
        <v>33051422372</v>
      </c>
      <c r="H501" s="160">
        <v>1</v>
      </c>
      <c r="J501" s="164">
        <v>33051422372</v>
      </c>
      <c r="K501" s="165">
        <v>1</v>
      </c>
    </row>
    <row r="502" spans="4:11" x14ac:dyDescent="0.25">
      <c r="D502" s="161"/>
      <c r="E502" s="162"/>
      <c r="F502" s="13"/>
      <c r="G502" s="164">
        <v>33051422374</v>
      </c>
      <c r="H502" s="160">
        <v>3</v>
      </c>
      <c r="J502" s="164">
        <v>33051422374</v>
      </c>
      <c r="K502" s="165">
        <v>3</v>
      </c>
    </row>
    <row r="503" spans="4:11" x14ac:dyDescent="0.25">
      <c r="D503" s="161"/>
      <c r="E503" s="162"/>
      <c r="F503" s="13"/>
      <c r="G503" s="164">
        <v>33051422375</v>
      </c>
      <c r="H503" s="160">
        <v>3</v>
      </c>
      <c r="J503" s="164">
        <v>33051422375</v>
      </c>
      <c r="K503" s="165">
        <v>3</v>
      </c>
    </row>
    <row r="504" spans="4:11" x14ac:dyDescent="0.25">
      <c r="D504" s="161"/>
      <c r="E504" s="162"/>
      <c r="F504" s="13"/>
      <c r="G504" s="164">
        <v>33051422376</v>
      </c>
      <c r="H504" s="160">
        <v>3</v>
      </c>
      <c r="J504" s="164">
        <v>33051422376</v>
      </c>
      <c r="K504" s="165">
        <v>3</v>
      </c>
    </row>
    <row r="505" spans="4:11" x14ac:dyDescent="0.25">
      <c r="D505" s="161"/>
      <c r="E505" s="162"/>
      <c r="F505" s="13"/>
      <c r="G505" s="164">
        <v>33051422377</v>
      </c>
      <c r="H505" s="160">
        <v>3</v>
      </c>
      <c r="J505" s="164">
        <v>33051422377</v>
      </c>
      <c r="K505" s="165">
        <v>3</v>
      </c>
    </row>
    <row r="506" spans="4:11" x14ac:dyDescent="0.25">
      <c r="D506" s="161"/>
      <c r="E506" s="162"/>
      <c r="F506" s="13"/>
      <c r="G506" s="164">
        <v>33051422378</v>
      </c>
      <c r="H506" s="160">
        <v>3</v>
      </c>
      <c r="J506" s="164">
        <v>33051422378</v>
      </c>
      <c r="K506" s="165">
        <v>3</v>
      </c>
    </row>
    <row r="507" spans="4:11" x14ac:dyDescent="0.25">
      <c r="D507" s="161"/>
      <c r="E507" s="162"/>
      <c r="F507" s="13"/>
      <c r="G507" s="164">
        <v>33051422380</v>
      </c>
      <c r="H507" s="160">
        <v>10</v>
      </c>
      <c r="J507" s="164">
        <v>33051422380</v>
      </c>
      <c r="K507" s="165">
        <v>10</v>
      </c>
    </row>
    <row r="508" spans="4:11" x14ac:dyDescent="0.25">
      <c r="D508" s="161"/>
      <c r="E508" s="162"/>
      <c r="F508" s="13"/>
      <c r="G508" s="164">
        <v>33051422382</v>
      </c>
      <c r="H508" s="160">
        <v>1</v>
      </c>
      <c r="J508" s="164">
        <v>33051422382</v>
      </c>
      <c r="K508" s="165">
        <v>1</v>
      </c>
    </row>
    <row r="509" spans="4:11" x14ac:dyDescent="0.25">
      <c r="D509" s="161"/>
      <c r="E509" s="162"/>
      <c r="F509" s="13"/>
      <c r="G509" s="164">
        <v>33051422383</v>
      </c>
      <c r="H509" s="160">
        <v>1</v>
      </c>
      <c r="J509" s="164">
        <v>33051422383</v>
      </c>
      <c r="K509" s="160">
        <v>1</v>
      </c>
    </row>
    <row r="510" spans="4:11" x14ac:dyDescent="0.25">
      <c r="D510" s="161"/>
      <c r="E510" s="162"/>
      <c r="F510" s="13"/>
      <c r="G510" s="164">
        <v>33051422384</v>
      </c>
      <c r="H510" s="160">
        <v>3</v>
      </c>
      <c r="J510" s="164">
        <v>33051422384</v>
      </c>
      <c r="K510" s="160">
        <v>3</v>
      </c>
    </row>
    <row r="511" spans="4:11" x14ac:dyDescent="0.25">
      <c r="D511" s="161"/>
      <c r="E511" s="162"/>
      <c r="F511" s="13"/>
      <c r="G511" s="164">
        <v>33051422385</v>
      </c>
      <c r="H511" s="160">
        <v>13</v>
      </c>
      <c r="J511" s="164">
        <v>33051422385</v>
      </c>
      <c r="K511" s="160">
        <v>13</v>
      </c>
    </row>
    <row r="512" spans="4:11" x14ac:dyDescent="0.25">
      <c r="D512" s="161"/>
      <c r="E512" s="162"/>
      <c r="F512" s="13"/>
      <c r="G512" s="164">
        <v>33051422402</v>
      </c>
      <c r="H512" s="160">
        <v>5</v>
      </c>
      <c r="J512" s="164">
        <v>33051422402</v>
      </c>
      <c r="K512" s="160">
        <v>5</v>
      </c>
    </row>
    <row r="513" spans="4:11" x14ac:dyDescent="0.25">
      <c r="D513" s="161"/>
      <c r="E513" s="162"/>
      <c r="F513" s="13"/>
      <c r="G513" s="164">
        <v>33051422403</v>
      </c>
      <c r="H513" s="160">
        <v>9</v>
      </c>
      <c r="J513" s="164">
        <v>33051422403</v>
      </c>
      <c r="K513" s="160">
        <v>9</v>
      </c>
    </row>
    <row r="514" spans="4:11" x14ac:dyDescent="0.25">
      <c r="D514" s="161"/>
      <c r="E514" s="162"/>
      <c r="F514" s="13"/>
      <c r="G514" s="164">
        <v>33051422405</v>
      </c>
      <c r="H514" s="160">
        <v>5</v>
      </c>
      <c r="J514" s="164">
        <v>33051422405</v>
      </c>
      <c r="K514" s="160">
        <v>5</v>
      </c>
    </row>
    <row r="515" spans="4:11" x14ac:dyDescent="0.25">
      <c r="D515" s="161"/>
      <c r="E515" s="162"/>
      <c r="F515" s="13"/>
      <c r="G515" s="164">
        <v>33051422406</v>
      </c>
      <c r="H515" s="160">
        <v>5</v>
      </c>
      <c r="J515" s="164">
        <v>33051422406</v>
      </c>
      <c r="K515" s="160">
        <v>5</v>
      </c>
    </row>
    <row r="516" spans="4:11" x14ac:dyDescent="0.25">
      <c r="D516" s="161"/>
      <c r="E516" s="162"/>
      <c r="F516" s="13"/>
      <c r="G516" s="164">
        <v>33051422408</v>
      </c>
      <c r="H516" s="160">
        <v>14</v>
      </c>
      <c r="J516" s="164">
        <v>33051422408</v>
      </c>
      <c r="K516" s="160">
        <v>14</v>
      </c>
    </row>
    <row r="517" spans="4:11" x14ac:dyDescent="0.25">
      <c r="D517" s="161"/>
      <c r="E517" s="162"/>
      <c r="F517" s="13"/>
      <c r="G517" s="164">
        <v>33051422409</v>
      </c>
      <c r="H517" s="160">
        <v>5</v>
      </c>
      <c r="J517" s="164">
        <v>33051422409</v>
      </c>
      <c r="K517" s="160">
        <v>5</v>
      </c>
    </row>
    <row r="518" spans="4:11" x14ac:dyDescent="0.25">
      <c r="D518" s="161"/>
      <c r="E518" s="162"/>
      <c r="F518" s="13"/>
      <c r="G518" s="164">
        <v>33051460378</v>
      </c>
      <c r="H518" s="160">
        <v>2</v>
      </c>
      <c r="J518" s="164">
        <v>33051460378</v>
      </c>
      <c r="K518" s="160">
        <v>2</v>
      </c>
    </row>
    <row r="519" spans="4:11" x14ac:dyDescent="0.25">
      <c r="D519" s="161"/>
      <c r="E519" s="162"/>
      <c r="F519" s="13"/>
      <c r="G519" s="164">
        <v>33051512274</v>
      </c>
      <c r="H519" s="160">
        <v>2</v>
      </c>
      <c r="J519" s="164">
        <v>33051512274</v>
      </c>
      <c r="K519" s="160">
        <v>2</v>
      </c>
    </row>
    <row r="520" spans="4:11" x14ac:dyDescent="0.25">
      <c r="D520" s="161"/>
      <c r="E520" s="162"/>
      <c r="F520" s="13"/>
      <c r="G520" s="164">
        <v>33051542054</v>
      </c>
      <c r="H520" s="160">
        <v>7</v>
      </c>
      <c r="J520" s="164">
        <v>33051542054</v>
      </c>
      <c r="K520" s="160">
        <v>7</v>
      </c>
    </row>
    <row r="521" spans="4:11" x14ac:dyDescent="0.25">
      <c r="D521" s="161"/>
      <c r="E521" s="162"/>
      <c r="F521" s="13"/>
      <c r="G521" s="164">
        <v>33060114792</v>
      </c>
      <c r="H521" s="160">
        <v>1</v>
      </c>
      <c r="J521" s="164">
        <v>33060114792</v>
      </c>
      <c r="K521" s="160">
        <v>1</v>
      </c>
    </row>
    <row r="522" spans="4:11" x14ac:dyDescent="0.25">
      <c r="D522" s="161"/>
      <c r="E522" s="162"/>
      <c r="F522" s="13"/>
      <c r="G522" s="164">
        <v>33060114821</v>
      </c>
      <c r="H522" s="160">
        <v>1</v>
      </c>
      <c r="J522" s="164">
        <v>33060114821</v>
      </c>
      <c r="K522" s="160">
        <v>4</v>
      </c>
    </row>
    <row r="523" spans="4:11" x14ac:dyDescent="0.25">
      <c r="D523" s="161"/>
      <c r="E523" s="162"/>
      <c r="F523" s="13"/>
      <c r="G523" s="164">
        <v>33060161112</v>
      </c>
      <c r="H523" s="160">
        <v>6</v>
      </c>
      <c r="J523" s="164">
        <v>33060161112</v>
      </c>
      <c r="K523" s="160">
        <v>31</v>
      </c>
    </row>
    <row r="524" spans="4:11" x14ac:dyDescent="0.25">
      <c r="D524" s="161"/>
      <c r="E524" s="162"/>
      <c r="F524" s="13"/>
      <c r="G524" s="164">
        <v>33060163879</v>
      </c>
      <c r="H524" s="160">
        <v>20</v>
      </c>
      <c r="J524" s="164">
        <v>33060163879</v>
      </c>
      <c r="K524" s="160">
        <v>41</v>
      </c>
    </row>
    <row r="525" spans="4:11" x14ac:dyDescent="0.25">
      <c r="D525" s="161"/>
      <c r="E525" s="162"/>
      <c r="F525" s="13"/>
      <c r="G525" s="164">
        <v>33060414695</v>
      </c>
      <c r="H525" s="160">
        <v>1</v>
      </c>
      <c r="J525" s="164">
        <v>33060414695</v>
      </c>
      <c r="K525" s="160">
        <v>2</v>
      </c>
    </row>
    <row r="526" spans="4:11" x14ac:dyDescent="0.25">
      <c r="D526" s="161"/>
      <c r="E526" s="162"/>
      <c r="F526" s="13"/>
      <c r="G526" s="164">
        <v>33060424360</v>
      </c>
      <c r="H526" s="160">
        <v>6</v>
      </c>
      <c r="J526" s="164">
        <v>33060424360</v>
      </c>
      <c r="K526" s="160">
        <v>6</v>
      </c>
    </row>
    <row r="527" spans="4:11" x14ac:dyDescent="0.25">
      <c r="D527" s="161"/>
      <c r="E527" s="162"/>
      <c r="F527" s="13"/>
      <c r="G527" s="164">
        <v>33060461721</v>
      </c>
      <c r="H527" s="160">
        <v>2</v>
      </c>
      <c r="J527" s="164">
        <v>33060461721</v>
      </c>
      <c r="K527" s="160">
        <v>2</v>
      </c>
    </row>
    <row r="528" spans="4:11" x14ac:dyDescent="0.25">
      <c r="D528" s="161"/>
      <c r="E528" s="162"/>
      <c r="F528" s="13"/>
      <c r="G528" s="164">
        <v>33060514137</v>
      </c>
      <c r="H528" s="160">
        <v>10</v>
      </c>
      <c r="J528" s="164">
        <v>33060514137</v>
      </c>
      <c r="K528" s="160">
        <v>10</v>
      </c>
    </row>
    <row r="529" spans="4:11" x14ac:dyDescent="0.25">
      <c r="D529" s="161"/>
      <c r="E529" s="162"/>
      <c r="F529" s="13"/>
      <c r="G529" s="164">
        <v>33060514699</v>
      </c>
      <c r="H529" s="160">
        <v>10</v>
      </c>
      <c r="J529" s="164">
        <v>33060514699</v>
      </c>
      <c r="K529" s="160">
        <v>10</v>
      </c>
    </row>
    <row r="530" spans="4:11" x14ac:dyDescent="0.25">
      <c r="D530" s="161"/>
      <c r="E530" s="162"/>
      <c r="F530" s="13"/>
      <c r="G530" s="164">
        <v>33060560522</v>
      </c>
      <c r="H530" s="160">
        <v>10</v>
      </c>
      <c r="J530" s="164">
        <v>33060560522</v>
      </c>
      <c r="K530" s="160">
        <v>170</v>
      </c>
    </row>
    <row r="531" spans="4:11" x14ac:dyDescent="0.25">
      <c r="D531" s="161"/>
      <c r="E531" s="162"/>
      <c r="F531" s="13"/>
      <c r="G531" s="164">
        <v>33060761115</v>
      </c>
      <c r="H531" s="160">
        <v>1</v>
      </c>
      <c r="J531" s="164">
        <v>33060761115</v>
      </c>
      <c r="K531" s="160">
        <v>1</v>
      </c>
    </row>
    <row r="532" spans="4:11" x14ac:dyDescent="0.25">
      <c r="D532" s="161"/>
      <c r="E532" s="162"/>
      <c r="F532" s="13"/>
      <c r="G532" s="164">
        <v>33060761825</v>
      </c>
      <c r="H532" s="160">
        <v>30</v>
      </c>
      <c r="J532" s="164">
        <v>33060761825</v>
      </c>
      <c r="K532" s="160">
        <v>47</v>
      </c>
    </row>
    <row r="533" spans="4:11" x14ac:dyDescent="0.25">
      <c r="D533" s="161"/>
      <c r="E533" s="162"/>
      <c r="F533" s="13"/>
      <c r="G533" s="164">
        <v>33062062719</v>
      </c>
      <c r="H533" s="160">
        <v>1</v>
      </c>
      <c r="J533" s="164">
        <v>33062062719</v>
      </c>
      <c r="K533" s="160">
        <v>78</v>
      </c>
    </row>
    <row r="534" spans="4:11" x14ac:dyDescent="0.25">
      <c r="D534" s="161"/>
      <c r="E534" s="162"/>
      <c r="F534" s="13"/>
      <c r="G534" s="164">
        <v>33062063157</v>
      </c>
      <c r="H534" s="160">
        <v>1</v>
      </c>
      <c r="J534" s="164">
        <v>33062063157</v>
      </c>
      <c r="K534" s="160">
        <v>1</v>
      </c>
    </row>
    <row r="535" spans="4:11" x14ac:dyDescent="0.25">
      <c r="D535" s="161"/>
      <c r="E535" s="162"/>
      <c r="F535" s="13"/>
      <c r="G535" s="164">
        <v>33062065036</v>
      </c>
      <c r="H535" s="160">
        <v>4</v>
      </c>
      <c r="J535" s="164">
        <v>33062065036</v>
      </c>
      <c r="K535" s="160">
        <v>4</v>
      </c>
    </row>
    <row r="536" spans="4:11" x14ac:dyDescent="0.25">
      <c r="D536" s="161"/>
      <c r="E536" s="162"/>
      <c r="F536" s="13"/>
      <c r="G536" s="164">
        <v>33062065037</v>
      </c>
      <c r="H536" s="160">
        <v>2</v>
      </c>
      <c r="J536" s="164">
        <v>33062065037</v>
      </c>
      <c r="K536" s="160">
        <v>2</v>
      </c>
    </row>
    <row r="537" spans="4:11" x14ac:dyDescent="0.25">
      <c r="D537" s="161"/>
      <c r="E537" s="162"/>
      <c r="F537" s="13"/>
      <c r="G537" s="164">
        <v>33062065038</v>
      </c>
      <c r="H537" s="160">
        <v>2</v>
      </c>
      <c r="J537" s="164">
        <v>33062065038</v>
      </c>
      <c r="K537" s="160">
        <v>2</v>
      </c>
    </row>
    <row r="538" spans="4:11" x14ac:dyDescent="0.25">
      <c r="D538" s="161"/>
      <c r="E538" s="162"/>
      <c r="F538" s="13"/>
      <c r="G538" s="164">
        <v>33062262834</v>
      </c>
      <c r="H538" s="160">
        <v>1</v>
      </c>
      <c r="J538" s="164">
        <v>33062262834</v>
      </c>
      <c r="K538" s="160">
        <v>1</v>
      </c>
    </row>
    <row r="539" spans="4:11" x14ac:dyDescent="0.25">
      <c r="D539" s="161"/>
      <c r="E539" s="162"/>
      <c r="F539" s="13"/>
      <c r="G539" s="164">
        <v>33062562853</v>
      </c>
      <c r="H539" s="160">
        <v>1</v>
      </c>
      <c r="J539" s="164">
        <v>33062562853</v>
      </c>
      <c r="K539" s="160">
        <v>1</v>
      </c>
    </row>
    <row r="540" spans="4:11" x14ac:dyDescent="0.25">
      <c r="D540" s="161"/>
      <c r="E540" s="162"/>
      <c r="G540" s="164">
        <v>33062562895</v>
      </c>
      <c r="H540" s="160">
        <v>98</v>
      </c>
      <c r="J540" s="164">
        <v>33062562895</v>
      </c>
      <c r="K540" s="160">
        <v>138</v>
      </c>
    </row>
    <row r="541" spans="4:11" x14ac:dyDescent="0.25">
      <c r="D541" s="161"/>
      <c r="E541" s="162"/>
      <c r="G541" s="164">
        <v>33063063459</v>
      </c>
      <c r="H541" s="160">
        <v>24</v>
      </c>
      <c r="J541" s="164">
        <v>33063063459</v>
      </c>
      <c r="K541" s="160">
        <v>60</v>
      </c>
    </row>
    <row r="542" spans="4:11" x14ac:dyDescent="0.25">
      <c r="D542" s="161"/>
      <c r="E542" s="162"/>
      <c r="G542" s="164">
        <v>33063063460</v>
      </c>
      <c r="H542" s="160">
        <v>100</v>
      </c>
      <c r="J542" s="164">
        <v>33063063460</v>
      </c>
      <c r="K542" s="160">
        <v>133</v>
      </c>
    </row>
    <row r="543" spans="4:11" x14ac:dyDescent="0.25">
      <c r="D543" s="161"/>
      <c r="E543" s="162"/>
      <c r="G543" s="164">
        <v>33063063463</v>
      </c>
      <c r="H543" s="160">
        <v>24</v>
      </c>
      <c r="J543" s="164">
        <v>33063063463</v>
      </c>
      <c r="K543" s="160">
        <v>57</v>
      </c>
    </row>
    <row r="544" spans="4:11" x14ac:dyDescent="0.25">
      <c r="D544" s="161"/>
      <c r="E544" s="162"/>
      <c r="G544" s="164">
        <v>33063063469</v>
      </c>
      <c r="H544" s="160">
        <v>24</v>
      </c>
      <c r="J544" s="164">
        <v>33063063469</v>
      </c>
      <c r="K544" s="160">
        <v>44</v>
      </c>
    </row>
    <row r="545" spans="4:11" x14ac:dyDescent="0.25">
      <c r="D545" s="161"/>
      <c r="E545" s="162"/>
      <c r="G545" s="164">
        <v>33063063471</v>
      </c>
      <c r="H545" s="160">
        <v>24</v>
      </c>
      <c r="J545" s="164">
        <v>33063063471</v>
      </c>
      <c r="K545" s="160">
        <v>44</v>
      </c>
    </row>
    <row r="546" spans="4:11" x14ac:dyDescent="0.25">
      <c r="D546" s="161"/>
      <c r="E546" s="162"/>
      <c r="G546" s="164">
        <v>33063063487</v>
      </c>
      <c r="H546" s="160">
        <v>24</v>
      </c>
      <c r="J546" s="164">
        <v>33063063487</v>
      </c>
      <c r="K546" s="160">
        <v>444</v>
      </c>
    </row>
    <row r="547" spans="4:11" x14ac:dyDescent="0.25">
      <c r="D547" s="161"/>
      <c r="E547" s="162"/>
      <c r="G547" s="164">
        <v>33063063488</v>
      </c>
      <c r="H547" s="160">
        <v>48</v>
      </c>
      <c r="J547" s="164">
        <v>33063063488</v>
      </c>
      <c r="K547" s="160">
        <v>313</v>
      </c>
    </row>
    <row r="548" spans="4:11" x14ac:dyDescent="0.25">
      <c r="D548" s="161"/>
      <c r="E548" s="162"/>
      <c r="G548" s="164">
        <v>33063063489</v>
      </c>
      <c r="H548" s="160">
        <v>24</v>
      </c>
      <c r="J548" s="164">
        <v>33063063489</v>
      </c>
      <c r="K548" s="160">
        <v>289</v>
      </c>
    </row>
    <row r="549" spans="4:11" x14ac:dyDescent="0.25">
      <c r="D549" s="161"/>
      <c r="E549" s="162"/>
      <c r="G549" s="164">
        <v>33063063491</v>
      </c>
      <c r="H549" s="160">
        <v>48</v>
      </c>
      <c r="J549" s="164">
        <v>33063063491</v>
      </c>
      <c r="K549" s="160">
        <v>473</v>
      </c>
    </row>
    <row r="550" spans="4:11" x14ac:dyDescent="0.25">
      <c r="D550" s="161"/>
      <c r="E550" s="162"/>
      <c r="G550" s="164">
        <v>33063063492</v>
      </c>
      <c r="H550" s="160">
        <v>48</v>
      </c>
      <c r="J550" s="164">
        <v>33063063492</v>
      </c>
      <c r="K550" s="160">
        <v>313</v>
      </c>
    </row>
    <row r="551" spans="4:11" x14ac:dyDescent="0.25">
      <c r="D551" s="161"/>
      <c r="E551" s="162"/>
      <c r="G551" s="164">
        <v>33063063929</v>
      </c>
      <c r="H551" s="160">
        <v>17</v>
      </c>
      <c r="J551" s="164">
        <v>33063063929</v>
      </c>
      <c r="K551" s="160">
        <v>54</v>
      </c>
    </row>
    <row r="552" spans="4:11" x14ac:dyDescent="0.25">
      <c r="D552" s="161"/>
      <c r="E552" s="162"/>
      <c r="G552" s="164">
        <v>33063063930</v>
      </c>
      <c r="H552" s="160">
        <v>24</v>
      </c>
      <c r="J552" s="164">
        <v>33063063930</v>
      </c>
      <c r="K552" s="160">
        <v>77</v>
      </c>
    </row>
    <row r="553" spans="4:11" x14ac:dyDescent="0.25">
      <c r="D553" s="161"/>
      <c r="E553" s="162"/>
      <c r="G553" s="164">
        <v>33063063934</v>
      </c>
      <c r="H553" s="160">
        <v>10</v>
      </c>
      <c r="J553" s="164">
        <v>33063063934</v>
      </c>
      <c r="K553" s="160">
        <v>47</v>
      </c>
    </row>
    <row r="554" spans="4:11" x14ac:dyDescent="0.25">
      <c r="D554" s="161"/>
      <c r="E554" s="162"/>
      <c r="G554" s="164">
        <v>33063263352</v>
      </c>
      <c r="H554" s="160">
        <v>1</v>
      </c>
      <c r="J554" s="164">
        <v>33063263352</v>
      </c>
      <c r="K554" s="160">
        <v>51</v>
      </c>
    </row>
    <row r="555" spans="4:11" x14ac:dyDescent="0.25">
      <c r="D555" s="161"/>
      <c r="E555" s="162"/>
      <c r="G555" s="164">
        <v>33070114769</v>
      </c>
      <c r="H555" s="160">
        <v>3</v>
      </c>
      <c r="J555" s="164">
        <v>33070114769</v>
      </c>
      <c r="K555" s="160">
        <v>48</v>
      </c>
    </row>
    <row r="556" spans="4:11" x14ac:dyDescent="0.25">
      <c r="D556" s="161"/>
      <c r="E556" s="162"/>
      <c r="G556" s="164">
        <v>33070514779</v>
      </c>
      <c r="H556" s="160">
        <v>4</v>
      </c>
      <c r="J556" s="164">
        <v>33070514779</v>
      </c>
      <c r="K556" s="160">
        <v>9</v>
      </c>
    </row>
    <row r="557" spans="4:11" x14ac:dyDescent="0.25">
      <c r="D557" s="161"/>
      <c r="E557" s="162"/>
      <c r="G557" s="164">
        <v>33070514780</v>
      </c>
      <c r="H557" s="160">
        <v>4</v>
      </c>
      <c r="J557" s="164">
        <v>33070514780</v>
      </c>
      <c r="K557" s="160">
        <v>10</v>
      </c>
    </row>
    <row r="558" spans="4:11" x14ac:dyDescent="0.25">
      <c r="D558" s="161"/>
      <c r="E558" s="162"/>
      <c r="G558" s="164">
        <v>33070561587</v>
      </c>
      <c r="H558" s="160">
        <v>14</v>
      </c>
      <c r="J558" s="164">
        <v>33070561587</v>
      </c>
      <c r="K558" s="160">
        <v>63</v>
      </c>
    </row>
    <row r="559" spans="4:11" x14ac:dyDescent="0.25">
      <c r="D559" s="161"/>
      <c r="E559" s="162"/>
      <c r="G559" s="164">
        <v>33070561588</v>
      </c>
      <c r="H559" s="160">
        <v>4</v>
      </c>
      <c r="J559" s="164">
        <v>33070561588</v>
      </c>
      <c r="K559" s="160">
        <v>4</v>
      </c>
    </row>
    <row r="560" spans="4:11" x14ac:dyDescent="0.25">
      <c r="D560" s="161"/>
      <c r="E560" s="162"/>
      <c r="G560" s="164">
        <v>33070614725</v>
      </c>
      <c r="H560" s="160">
        <v>3</v>
      </c>
      <c r="J560" s="164">
        <v>33070614725</v>
      </c>
      <c r="K560" s="160">
        <v>3</v>
      </c>
    </row>
    <row r="561" spans="4:11" x14ac:dyDescent="0.25">
      <c r="D561" s="161"/>
      <c r="E561" s="162"/>
      <c r="G561" s="164">
        <v>33102163132</v>
      </c>
      <c r="H561" s="160">
        <v>5</v>
      </c>
      <c r="J561" s="164">
        <v>33102163132</v>
      </c>
      <c r="K561" s="160">
        <v>22</v>
      </c>
    </row>
    <row r="562" spans="4:11" x14ac:dyDescent="0.25">
      <c r="D562" s="161"/>
      <c r="E562" s="162"/>
      <c r="G562" s="164">
        <v>33102263134</v>
      </c>
      <c r="H562" s="160">
        <v>3</v>
      </c>
      <c r="J562" s="164">
        <v>33102263134</v>
      </c>
      <c r="K562" s="160">
        <v>6</v>
      </c>
    </row>
    <row r="563" spans="4:11" x14ac:dyDescent="0.25">
      <c r="D563" s="161"/>
      <c r="E563" s="162"/>
      <c r="G563" s="164">
        <v>33105063084</v>
      </c>
      <c r="H563" s="160">
        <v>1</v>
      </c>
      <c r="J563" s="164">
        <v>33105063084</v>
      </c>
      <c r="K563" s="160">
        <v>2</v>
      </c>
    </row>
    <row r="564" spans="4:11" x14ac:dyDescent="0.25">
      <c r="D564" s="161"/>
      <c r="E564" s="162"/>
      <c r="G564" s="164">
        <v>33105063085</v>
      </c>
      <c r="H564" s="160">
        <v>1</v>
      </c>
      <c r="J564" s="164">
        <v>33105063085</v>
      </c>
      <c r="K564" s="160">
        <v>1</v>
      </c>
    </row>
    <row r="565" spans="4:11" x14ac:dyDescent="0.25">
      <c r="D565" s="161"/>
      <c r="E565" s="162"/>
      <c r="G565" s="164">
        <v>33105063091</v>
      </c>
      <c r="H565" s="160">
        <v>1</v>
      </c>
      <c r="J565" s="164">
        <v>33105063091</v>
      </c>
      <c r="K565" s="160">
        <v>1</v>
      </c>
    </row>
    <row r="566" spans="4:11" x14ac:dyDescent="0.25">
      <c r="D566" s="161"/>
      <c r="E566" s="162"/>
      <c r="G566" s="164">
        <v>33105063990</v>
      </c>
      <c r="H566" s="160">
        <v>1</v>
      </c>
      <c r="J566" s="164">
        <v>33105063990</v>
      </c>
      <c r="K566" s="160">
        <v>1</v>
      </c>
    </row>
    <row r="567" spans="4:11" x14ac:dyDescent="0.25">
      <c r="D567" s="161"/>
      <c r="E567" s="162"/>
      <c r="G567" s="163"/>
      <c r="H567" s="160"/>
      <c r="J567" s="164">
        <v>30061214978</v>
      </c>
      <c r="K567" s="160">
        <v>10</v>
      </c>
    </row>
    <row r="568" spans="4:11" x14ac:dyDescent="0.25">
      <c r="D568" s="161"/>
      <c r="E568" s="162"/>
      <c r="G568" s="163"/>
      <c r="H568" s="160"/>
      <c r="J568" s="164">
        <v>30061224386</v>
      </c>
      <c r="K568" s="160">
        <v>3</v>
      </c>
    </row>
    <row r="569" spans="4:11" x14ac:dyDescent="0.25">
      <c r="D569" s="161"/>
      <c r="E569" s="162"/>
      <c r="G569" s="163"/>
      <c r="H569" s="160"/>
      <c r="J569" s="164">
        <v>30100061449</v>
      </c>
      <c r="K569" s="160">
        <v>2000</v>
      </c>
    </row>
    <row r="570" spans="4:11" x14ac:dyDescent="0.25">
      <c r="D570" s="161"/>
      <c r="E570" s="162"/>
      <c r="G570" s="163"/>
      <c r="H570" s="160"/>
      <c r="J570" s="164">
        <v>30100061451</v>
      </c>
      <c r="K570" s="160">
        <v>5500</v>
      </c>
    </row>
    <row r="571" spans="4:11" x14ac:dyDescent="0.25">
      <c r="D571" s="161"/>
      <c r="E571" s="162"/>
      <c r="G571" s="163"/>
      <c r="H571" s="160"/>
      <c r="J571" s="164">
        <v>32105064275</v>
      </c>
      <c r="K571" s="160">
        <v>1</v>
      </c>
    </row>
    <row r="572" spans="4:11" x14ac:dyDescent="0.25">
      <c r="D572" s="161"/>
      <c r="E572" s="162"/>
      <c r="G572" s="163"/>
      <c r="H572" s="160"/>
      <c r="J572" s="164">
        <v>32105064277</v>
      </c>
      <c r="K572" s="160">
        <v>1</v>
      </c>
    </row>
    <row r="573" spans="4:11" x14ac:dyDescent="0.25">
      <c r="D573" s="161"/>
      <c r="E573" s="162"/>
      <c r="G573" s="163"/>
      <c r="H573" s="160"/>
      <c r="J573" s="164">
        <v>32105064301</v>
      </c>
      <c r="K573" s="160">
        <v>1</v>
      </c>
    </row>
    <row r="574" spans="4:11" x14ac:dyDescent="0.25">
      <c r="D574" s="161"/>
      <c r="E574" s="162"/>
      <c r="G574" s="163"/>
      <c r="H574" s="160"/>
      <c r="J574" s="164">
        <v>32105064303</v>
      </c>
      <c r="K574" s="160">
        <v>1</v>
      </c>
    </row>
    <row r="575" spans="4:11" x14ac:dyDescent="0.25">
      <c r="D575" s="161"/>
      <c r="E575" s="162"/>
      <c r="G575" s="163"/>
      <c r="H575" s="160"/>
      <c r="J575" s="164">
        <v>33060114805</v>
      </c>
      <c r="K575" s="160">
        <v>2</v>
      </c>
    </row>
    <row r="576" spans="4:11" x14ac:dyDescent="0.25">
      <c r="D576" s="161"/>
      <c r="E576" s="162"/>
      <c r="G576" s="163"/>
      <c r="H576" s="160"/>
      <c r="J576" s="164">
        <v>33060114902</v>
      </c>
      <c r="K576" s="160">
        <v>10</v>
      </c>
    </row>
    <row r="577" spans="4:11" x14ac:dyDescent="0.25">
      <c r="D577" s="161"/>
      <c r="E577" s="162"/>
      <c r="G577" s="163"/>
      <c r="H577" s="160"/>
      <c r="J577" s="164">
        <v>33060124131</v>
      </c>
      <c r="K577" s="160">
        <v>9</v>
      </c>
    </row>
    <row r="578" spans="4:11" x14ac:dyDescent="0.25">
      <c r="D578" s="161"/>
      <c r="E578" s="162"/>
      <c r="G578" s="163"/>
      <c r="H578" s="160"/>
      <c r="J578" s="164">
        <v>33060160539</v>
      </c>
      <c r="K578" s="160">
        <v>2</v>
      </c>
    </row>
    <row r="579" spans="4:11" x14ac:dyDescent="0.25">
      <c r="D579" s="161"/>
      <c r="E579" s="162"/>
      <c r="G579" s="163"/>
      <c r="H579" s="160"/>
      <c r="J579" s="164">
        <v>33060160540</v>
      </c>
      <c r="K579" s="160">
        <v>4</v>
      </c>
    </row>
    <row r="580" spans="4:11" x14ac:dyDescent="0.25">
      <c r="D580" s="161"/>
      <c r="E580" s="162"/>
      <c r="G580" s="163"/>
      <c r="H580" s="160"/>
      <c r="J580" s="164">
        <v>33060164508</v>
      </c>
      <c r="K580" s="160">
        <v>18</v>
      </c>
    </row>
    <row r="581" spans="4:11" x14ac:dyDescent="0.25">
      <c r="D581" s="161"/>
      <c r="E581" s="162"/>
      <c r="G581" s="163"/>
      <c r="H581" s="160"/>
      <c r="J581" s="164">
        <v>33060414668</v>
      </c>
      <c r="K581" s="160">
        <v>3</v>
      </c>
    </row>
    <row r="582" spans="4:11" x14ac:dyDescent="0.25">
      <c r="D582" s="161"/>
      <c r="E582" s="162"/>
      <c r="G582" s="163"/>
      <c r="H582" s="160"/>
      <c r="J582" s="164">
        <v>33060414764</v>
      </c>
      <c r="K582" s="160">
        <v>1</v>
      </c>
    </row>
    <row r="583" spans="4:11" x14ac:dyDescent="0.25">
      <c r="D583" s="161"/>
      <c r="E583" s="162"/>
      <c r="G583" s="163"/>
      <c r="H583" s="160"/>
      <c r="J583" s="164">
        <v>33060424468</v>
      </c>
      <c r="K583" s="160">
        <v>12</v>
      </c>
    </row>
    <row r="584" spans="4:11" x14ac:dyDescent="0.25">
      <c r="D584" s="161"/>
      <c r="E584" s="162"/>
      <c r="G584" s="163"/>
      <c r="H584" s="160"/>
      <c r="J584" s="164">
        <v>33060461593</v>
      </c>
      <c r="K584" s="160">
        <v>5</v>
      </c>
    </row>
    <row r="585" spans="4:11" x14ac:dyDescent="0.25">
      <c r="D585" s="161"/>
      <c r="E585" s="162"/>
      <c r="G585" s="163"/>
      <c r="H585" s="160"/>
      <c r="J585" s="164">
        <v>33060514672</v>
      </c>
      <c r="K585" s="160">
        <v>20</v>
      </c>
    </row>
    <row r="586" spans="4:11" x14ac:dyDescent="0.25">
      <c r="D586" s="161"/>
      <c r="E586" s="162"/>
      <c r="G586" s="163"/>
      <c r="H586" s="160"/>
      <c r="J586" s="164">
        <v>33060514811</v>
      </c>
      <c r="K586" s="160">
        <v>91</v>
      </c>
    </row>
    <row r="587" spans="4:11" x14ac:dyDescent="0.25">
      <c r="D587" s="161"/>
      <c r="E587" s="162"/>
      <c r="G587" s="163"/>
      <c r="H587" s="160"/>
      <c r="J587" s="164">
        <v>33060560893</v>
      </c>
      <c r="K587" s="160">
        <v>3043</v>
      </c>
    </row>
    <row r="588" spans="4:11" x14ac:dyDescent="0.25">
      <c r="D588" s="161"/>
      <c r="E588" s="162"/>
      <c r="G588" s="163"/>
      <c r="H588" s="160"/>
      <c r="J588" s="164">
        <v>33060761591</v>
      </c>
      <c r="K588" s="160">
        <v>121</v>
      </c>
    </row>
    <row r="589" spans="4:11" x14ac:dyDescent="0.25">
      <c r="D589" s="161"/>
      <c r="E589" s="162"/>
      <c r="G589" s="163"/>
      <c r="H589" s="160"/>
      <c r="J589" s="164">
        <v>33060763225</v>
      </c>
      <c r="K589" s="160">
        <v>156</v>
      </c>
    </row>
    <row r="590" spans="4:11" x14ac:dyDescent="0.25">
      <c r="D590" s="161"/>
      <c r="E590" s="162"/>
      <c r="G590" s="163"/>
      <c r="H590" s="160"/>
      <c r="J590" s="164">
        <v>33062062717</v>
      </c>
      <c r="K590" s="160">
        <v>102</v>
      </c>
    </row>
    <row r="591" spans="4:11" x14ac:dyDescent="0.25">
      <c r="D591" s="161"/>
      <c r="E591" s="162"/>
      <c r="G591" s="163"/>
      <c r="H591" s="160"/>
      <c r="J591" s="164">
        <v>33062064071</v>
      </c>
      <c r="K591" s="160">
        <v>7</v>
      </c>
    </row>
    <row r="592" spans="4:11" x14ac:dyDescent="0.25">
      <c r="D592" s="161"/>
      <c r="E592" s="162"/>
      <c r="G592" s="163"/>
      <c r="H592" s="160"/>
      <c r="J592" s="164">
        <v>33062064880</v>
      </c>
      <c r="K592" s="160">
        <v>1</v>
      </c>
    </row>
    <row r="593" spans="4:11" x14ac:dyDescent="0.25">
      <c r="D593" s="161"/>
      <c r="E593" s="162"/>
      <c r="G593" s="163"/>
      <c r="H593" s="160"/>
      <c r="J593" s="164">
        <v>33062064886</v>
      </c>
      <c r="K593" s="160">
        <v>6</v>
      </c>
    </row>
    <row r="594" spans="4:11" x14ac:dyDescent="0.25">
      <c r="D594" s="161"/>
      <c r="E594" s="162"/>
      <c r="G594" s="163"/>
      <c r="H594" s="160"/>
      <c r="J594" s="164">
        <v>33062065056</v>
      </c>
      <c r="K594" s="160">
        <v>1</v>
      </c>
    </row>
    <row r="595" spans="4:11" x14ac:dyDescent="0.25">
      <c r="D595" s="161"/>
      <c r="E595" s="162"/>
      <c r="G595" s="163"/>
      <c r="H595" s="160"/>
      <c r="J595" s="164">
        <v>33062065057</v>
      </c>
      <c r="K595" s="160">
        <v>1</v>
      </c>
    </row>
    <row r="596" spans="4:11" x14ac:dyDescent="0.25">
      <c r="D596" s="161"/>
      <c r="E596" s="162"/>
      <c r="G596" s="163"/>
      <c r="H596" s="160"/>
      <c r="J596" s="164">
        <v>33062065253</v>
      </c>
      <c r="K596" s="160">
        <v>1</v>
      </c>
    </row>
    <row r="597" spans="4:11" x14ac:dyDescent="0.25">
      <c r="D597" s="161"/>
      <c r="E597" s="162"/>
      <c r="G597" s="163"/>
      <c r="H597" s="160"/>
      <c r="J597" s="164">
        <v>33062065315</v>
      </c>
      <c r="K597" s="160">
        <v>1</v>
      </c>
    </row>
    <row r="598" spans="4:11" x14ac:dyDescent="0.25">
      <c r="D598" s="161"/>
      <c r="E598" s="162"/>
      <c r="G598" s="163"/>
      <c r="H598" s="160"/>
      <c r="J598" s="164">
        <v>33062065316</v>
      </c>
      <c r="K598" s="160">
        <v>1</v>
      </c>
    </row>
    <row r="599" spans="4:11" x14ac:dyDescent="0.25">
      <c r="D599" s="161"/>
      <c r="E599" s="162"/>
      <c r="G599" s="163"/>
      <c r="H599" s="160"/>
      <c r="J599" s="164">
        <v>33062065317</v>
      </c>
      <c r="K599" s="160">
        <v>2</v>
      </c>
    </row>
    <row r="600" spans="4:11" x14ac:dyDescent="0.25">
      <c r="D600" s="161"/>
      <c r="E600" s="162"/>
      <c r="G600" s="163"/>
      <c r="H600" s="160"/>
      <c r="J600" s="164">
        <v>33062065318</v>
      </c>
      <c r="K600" s="160">
        <v>1</v>
      </c>
    </row>
    <row r="601" spans="4:11" x14ac:dyDescent="0.25">
      <c r="D601" s="161"/>
      <c r="E601" s="162"/>
      <c r="G601" s="163"/>
      <c r="H601" s="160"/>
      <c r="J601" s="164">
        <v>33062262832</v>
      </c>
      <c r="K601" s="160">
        <v>1</v>
      </c>
    </row>
    <row r="602" spans="4:11" x14ac:dyDescent="0.25">
      <c r="D602" s="161"/>
      <c r="E602" s="162"/>
      <c r="G602" s="163"/>
      <c r="H602" s="160"/>
      <c r="J602" s="164">
        <v>33062362845</v>
      </c>
      <c r="K602" s="160">
        <v>1</v>
      </c>
    </row>
    <row r="603" spans="4:11" x14ac:dyDescent="0.25">
      <c r="D603" s="161"/>
      <c r="E603" s="162"/>
      <c r="G603" s="163"/>
      <c r="H603" s="160"/>
      <c r="J603" s="164">
        <v>33062364500</v>
      </c>
      <c r="K603" s="160">
        <v>1</v>
      </c>
    </row>
    <row r="604" spans="4:11" x14ac:dyDescent="0.25">
      <c r="D604" s="161"/>
      <c r="E604" s="162"/>
      <c r="G604" s="163"/>
      <c r="H604" s="160"/>
      <c r="J604" s="164">
        <v>33062562843</v>
      </c>
      <c r="K604" s="160">
        <v>2</v>
      </c>
    </row>
    <row r="605" spans="4:11" x14ac:dyDescent="0.25">
      <c r="D605" s="161"/>
      <c r="E605" s="162"/>
      <c r="G605" s="163"/>
      <c r="H605" s="160"/>
      <c r="J605" s="164">
        <v>33062562844</v>
      </c>
      <c r="K605" s="160">
        <v>2</v>
      </c>
    </row>
    <row r="606" spans="4:11" x14ac:dyDescent="0.25">
      <c r="D606" s="161"/>
      <c r="E606" s="162"/>
      <c r="G606" s="163"/>
      <c r="H606" s="160"/>
      <c r="J606" s="164">
        <v>33062562856</v>
      </c>
      <c r="K606" s="160">
        <v>1</v>
      </c>
    </row>
    <row r="607" spans="4:11" x14ac:dyDescent="0.25">
      <c r="D607" s="161"/>
      <c r="E607" s="162"/>
      <c r="G607" s="163"/>
      <c r="H607" s="160"/>
      <c r="J607" s="164">
        <v>33062562866</v>
      </c>
      <c r="K607" s="160">
        <v>1</v>
      </c>
    </row>
    <row r="608" spans="4:11" x14ac:dyDescent="0.25">
      <c r="D608" s="161"/>
      <c r="E608" s="162"/>
      <c r="G608" s="163"/>
      <c r="H608" s="160"/>
      <c r="J608" s="164">
        <v>33062562876</v>
      </c>
      <c r="K608" s="160">
        <v>100</v>
      </c>
    </row>
    <row r="609" spans="4:11" x14ac:dyDescent="0.25">
      <c r="D609" s="161"/>
      <c r="E609" s="162"/>
      <c r="G609" s="163"/>
      <c r="H609" s="160"/>
      <c r="J609" s="164">
        <v>33062562879</v>
      </c>
      <c r="K609" s="160">
        <v>100</v>
      </c>
    </row>
    <row r="610" spans="4:11" x14ac:dyDescent="0.25">
      <c r="D610" s="161"/>
      <c r="E610" s="162"/>
      <c r="G610" s="163"/>
      <c r="H610" s="160"/>
      <c r="J610" s="164">
        <v>33062562882</v>
      </c>
      <c r="K610" s="160">
        <v>54</v>
      </c>
    </row>
    <row r="611" spans="4:11" x14ac:dyDescent="0.25">
      <c r="D611" s="161"/>
      <c r="E611" s="162"/>
      <c r="G611" s="163"/>
      <c r="H611" s="160"/>
      <c r="J611" s="164">
        <v>33062562883</v>
      </c>
      <c r="K611" s="160">
        <v>38</v>
      </c>
    </row>
    <row r="612" spans="4:11" x14ac:dyDescent="0.25">
      <c r="D612" s="161"/>
      <c r="E612" s="162"/>
      <c r="G612" s="163"/>
      <c r="H612" s="160"/>
      <c r="J612" s="164">
        <v>33062562884</v>
      </c>
      <c r="K612" s="160">
        <v>124</v>
      </c>
    </row>
    <row r="613" spans="4:11" x14ac:dyDescent="0.25">
      <c r="D613" s="161"/>
      <c r="E613" s="162"/>
      <c r="G613" s="163"/>
      <c r="H613" s="160"/>
      <c r="J613" s="164">
        <v>33062562885</v>
      </c>
      <c r="K613" s="160">
        <v>68</v>
      </c>
    </row>
    <row r="614" spans="4:11" x14ac:dyDescent="0.25">
      <c r="D614" s="161"/>
      <c r="E614" s="162"/>
      <c r="G614" s="163"/>
      <c r="H614" s="160"/>
      <c r="J614" s="164">
        <v>33062562889</v>
      </c>
      <c r="K614" s="160">
        <v>278</v>
      </c>
    </row>
    <row r="615" spans="4:11" x14ac:dyDescent="0.25">
      <c r="D615" s="161"/>
      <c r="E615" s="162"/>
      <c r="G615" s="163"/>
      <c r="H615" s="160"/>
      <c r="J615" s="164">
        <v>33062562890</v>
      </c>
      <c r="K615" s="160">
        <v>12</v>
      </c>
    </row>
    <row r="616" spans="4:11" x14ac:dyDescent="0.25">
      <c r="D616" s="161"/>
      <c r="E616" s="162"/>
      <c r="G616" s="163"/>
      <c r="H616" s="160"/>
      <c r="J616" s="164">
        <v>33062562898</v>
      </c>
      <c r="K616" s="160">
        <v>40</v>
      </c>
    </row>
    <row r="617" spans="4:11" x14ac:dyDescent="0.25">
      <c r="D617" s="161"/>
      <c r="E617" s="162"/>
      <c r="G617" s="163"/>
      <c r="H617" s="160"/>
      <c r="J617" s="164">
        <v>33062562899</v>
      </c>
      <c r="K617" s="160">
        <v>40</v>
      </c>
    </row>
    <row r="618" spans="4:11" x14ac:dyDescent="0.25">
      <c r="D618" s="161"/>
      <c r="E618" s="162"/>
      <c r="G618" s="163"/>
      <c r="H618" s="160"/>
      <c r="J618" s="164">
        <v>33063063467</v>
      </c>
      <c r="K618" s="160">
        <v>23</v>
      </c>
    </row>
    <row r="619" spans="4:11" x14ac:dyDescent="0.25">
      <c r="D619" s="161"/>
      <c r="E619" s="162"/>
      <c r="G619" s="163"/>
      <c r="H619" s="160"/>
      <c r="J619" s="164">
        <v>33063063478</v>
      </c>
      <c r="K619" s="160">
        <v>4</v>
      </c>
    </row>
    <row r="620" spans="4:11" x14ac:dyDescent="0.25">
      <c r="D620" s="161"/>
      <c r="E620" s="162"/>
      <c r="G620" s="163"/>
      <c r="H620" s="160"/>
      <c r="J620" s="164">
        <v>33063063479</v>
      </c>
      <c r="K620" s="160">
        <v>4</v>
      </c>
    </row>
    <row r="621" spans="4:11" x14ac:dyDescent="0.25">
      <c r="D621" s="161"/>
      <c r="E621" s="162"/>
      <c r="G621" s="163"/>
      <c r="H621" s="160"/>
      <c r="J621" s="164">
        <v>33063063480</v>
      </c>
      <c r="K621" s="160">
        <v>4</v>
      </c>
    </row>
    <row r="622" spans="4:11" x14ac:dyDescent="0.25">
      <c r="D622" s="161"/>
      <c r="E622" s="162"/>
      <c r="G622" s="163"/>
      <c r="H622" s="160"/>
      <c r="J622" s="164">
        <v>33063063481</v>
      </c>
      <c r="K622" s="160">
        <v>4</v>
      </c>
    </row>
    <row r="623" spans="4:11" x14ac:dyDescent="0.25">
      <c r="D623" s="161"/>
      <c r="E623" s="162"/>
      <c r="G623" s="163"/>
      <c r="H623" s="160"/>
      <c r="J623" s="164">
        <v>33063063483</v>
      </c>
      <c r="K623" s="160">
        <v>10</v>
      </c>
    </row>
    <row r="624" spans="4:11" x14ac:dyDescent="0.25">
      <c r="D624" s="161"/>
      <c r="E624" s="162"/>
      <c r="G624" s="163"/>
      <c r="H624" s="160"/>
      <c r="J624" s="164">
        <v>33063063486</v>
      </c>
      <c r="K624" s="160">
        <v>267</v>
      </c>
    </row>
    <row r="625" spans="4:11" x14ac:dyDescent="0.25">
      <c r="D625" s="161"/>
      <c r="E625" s="162"/>
      <c r="G625" s="163"/>
      <c r="H625" s="160"/>
      <c r="J625" s="164">
        <v>33063063494</v>
      </c>
      <c r="K625" s="160">
        <v>53</v>
      </c>
    </row>
    <row r="626" spans="4:11" x14ac:dyDescent="0.25">
      <c r="D626" s="161"/>
      <c r="E626" s="162"/>
      <c r="G626" s="163"/>
      <c r="H626" s="160"/>
      <c r="J626" s="164">
        <v>33063063497</v>
      </c>
      <c r="K626" s="160">
        <v>50</v>
      </c>
    </row>
    <row r="627" spans="4:11" x14ac:dyDescent="0.25">
      <c r="D627" s="161"/>
      <c r="E627" s="162"/>
      <c r="G627" s="163"/>
      <c r="H627" s="160"/>
      <c r="J627" s="164">
        <v>33063063500</v>
      </c>
      <c r="K627" s="160">
        <v>75</v>
      </c>
    </row>
    <row r="628" spans="4:11" x14ac:dyDescent="0.25">
      <c r="D628" s="161"/>
      <c r="E628" s="162"/>
      <c r="G628" s="163"/>
      <c r="H628" s="160"/>
      <c r="J628" s="164">
        <v>33063063502</v>
      </c>
      <c r="K628" s="160">
        <v>155</v>
      </c>
    </row>
    <row r="629" spans="4:11" x14ac:dyDescent="0.25">
      <c r="D629" s="161"/>
      <c r="E629" s="162"/>
      <c r="G629" s="163"/>
      <c r="H629" s="160"/>
      <c r="J629" s="164">
        <v>33063063503</v>
      </c>
      <c r="K629" s="160">
        <v>150</v>
      </c>
    </row>
    <row r="630" spans="4:11" x14ac:dyDescent="0.25">
      <c r="D630" s="161"/>
      <c r="E630" s="162"/>
      <c r="G630" s="163"/>
      <c r="H630" s="160"/>
      <c r="J630" s="164">
        <v>33063063504</v>
      </c>
      <c r="K630" s="160">
        <v>155</v>
      </c>
    </row>
    <row r="631" spans="4:11" x14ac:dyDescent="0.25">
      <c r="D631" s="161"/>
      <c r="E631" s="162"/>
      <c r="G631" s="163"/>
      <c r="H631" s="160"/>
      <c r="J631" s="164">
        <v>33063063514</v>
      </c>
      <c r="K631" s="160">
        <v>270</v>
      </c>
    </row>
    <row r="632" spans="4:11" x14ac:dyDescent="0.25">
      <c r="D632" s="161"/>
      <c r="E632" s="162"/>
      <c r="G632" s="163"/>
      <c r="H632" s="160"/>
      <c r="J632" s="164">
        <v>33063063515</v>
      </c>
      <c r="K632" s="160">
        <v>290</v>
      </c>
    </row>
    <row r="633" spans="4:11" x14ac:dyDescent="0.25">
      <c r="D633" s="161"/>
      <c r="E633" s="162"/>
      <c r="G633" s="163"/>
      <c r="H633" s="160"/>
      <c r="J633" s="164">
        <v>33063063516</v>
      </c>
      <c r="K633" s="160">
        <v>300</v>
      </c>
    </row>
    <row r="634" spans="4:11" x14ac:dyDescent="0.25">
      <c r="D634" s="161"/>
      <c r="E634" s="162"/>
      <c r="G634" s="163"/>
      <c r="H634" s="160"/>
      <c r="J634" s="164">
        <v>33063063517</v>
      </c>
      <c r="K634" s="160">
        <v>245</v>
      </c>
    </row>
    <row r="635" spans="4:11" x14ac:dyDescent="0.25">
      <c r="D635" s="161"/>
      <c r="E635" s="162"/>
      <c r="G635" s="163"/>
      <c r="H635" s="160"/>
      <c r="J635" s="164">
        <v>33063063518</v>
      </c>
      <c r="K635" s="160">
        <v>220</v>
      </c>
    </row>
    <row r="636" spans="4:11" x14ac:dyDescent="0.25">
      <c r="D636" s="161"/>
      <c r="E636" s="162"/>
      <c r="G636" s="163"/>
      <c r="H636" s="160"/>
      <c r="J636" s="164">
        <v>33063063519</v>
      </c>
      <c r="K636" s="160">
        <v>15</v>
      </c>
    </row>
    <row r="637" spans="4:11" x14ac:dyDescent="0.25">
      <c r="D637" s="161"/>
      <c r="E637" s="162"/>
      <c r="G637" s="163"/>
      <c r="H637" s="160"/>
      <c r="J637" s="164">
        <v>33063063522</v>
      </c>
      <c r="K637" s="160">
        <v>13</v>
      </c>
    </row>
    <row r="638" spans="4:11" x14ac:dyDescent="0.25">
      <c r="G638" s="163"/>
      <c r="H638" s="160"/>
      <c r="J638" s="164">
        <v>33063063523</v>
      </c>
      <c r="K638" s="160">
        <v>14</v>
      </c>
    </row>
    <row r="639" spans="4:11" x14ac:dyDescent="0.25">
      <c r="G639" s="163"/>
      <c r="H639" s="160"/>
      <c r="J639" s="164">
        <v>33063063524</v>
      </c>
      <c r="K639" s="160">
        <v>13</v>
      </c>
    </row>
    <row r="640" spans="4:11" x14ac:dyDescent="0.25">
      <c r="G640" s="163"/>
      <c r="H640" s="160"/>
      <c r="J640" s="164">
        <v>33063263347</v>
      </c>
      <c r="K640" s="160">
        <v>54</v>
      </c>
    </row>
    <row r="641" spans="7:11" x14ac:dyDescent="0.25">
      <c r="G641" s="163"/>
      <c r="H641" s="160"/>
      <c r="J641" s="164">
        <v>33063263348</v>
      </c>
      <c r="K641" s="160">
        <v>54</v>
      </c>
    </row>
    <row r="642" spans="7:11" x14ac:dyDescent="0.25">
      <c r="G642" s="163"/>
      <c r="H642" s="160"/>
      <c r="J642" s="164">
        <v>33063263349</v>
      </c>
      <c r="K642" s="160">
        <v>50</v>
      </c>
    </row>
    <row r="643" spans="7:11" x14ac:dyDescent="0.25">
      <c r="G643" s="163"/>
      <c r="H643" s="160"/>
      <c r="J643" s="164">
        <v>33063263350</v>
      </c>
      <c r="K643" s="160">
        <v>51</v>
      </c>
    </row>
    <row r="644" spans="7:11" x14ac:dyDescent="0.25">
      <c r="G644" s="163"/>
      <c r="H644" s="160"/>
      <c r="J644" s="164">
        <v>33063263351</v>
      </c>
      <c r="K644" s="160">
        <v>50</v>
      </c>
    </row>
    <row r="645" spans="7:11" x14ac:dyDescent="0.25">
      <c r="G645" s="163"/>
      <c r="H645" s="160"/>
      <c r="J645" s="164">
        <v>33063263356</v>
      </c>
      <c r="K645" s="160">
        <v>50</v>
      </c>
    </row>
    <row r="646" spans="7:11" x14ac:dyDescent="0.25">
      <c r="G646" s="163"/>
      <c r="H646" s="160"/>
      <c r="J646" s="164">
        <v>33070754056</v>
      </c>
      <c r="K646" s="160">
        <v>1</v>
      </c>
    </row>
    <row r="647" spans="7:11" x14ac:dyDescent="0.25">
      <c r="G647" s="163"/>
      <c r="H647" s="160"/>
      <c r="J647" s="164">
        <v>33070754087</v>
      </c>
      <c r="K647" s="160">
        <v>1</v>
      </c>
    </row>
    <row r="648" spans="7:11" x14ac:dyDescent="0.25">
      <c r="G648" s="163"/>
      <c r="H648" s="160"/>
      <c r="J648" s="164">
        <v>33070754093</v>
      </c>
      <c r="K648" s="160">
        <v>1</v>
      </c>
    </row>
    <row r="649" spans="7:11" x14ac:dyDescent="0.25">
      <c r="G649" s="163"/>
      <c r="H649" s="160"/>
      <c r="J649" s="164">
        <v>33070754113</v>
      </c>
      <c r="K649" s="160">
        <v>1</v>
      </c>
    </row>
    <row r="650" spans="7:11" x14ac:dyDescent="0.25">
      <c r="G650" s="163"/>
      <c r="H650" s="160"/>
      <c r="J650" s="164">
        <v>33070760267</v>
      </c>
      <c r="K650" s="160">
        <v>4</v>
      </c>
    </row>
    <row r="651" spans="7:11" x14ac:dyDescent="0.25">
      <c r="G651" s="163"/>
      <c r="H651" s="160"/>
      <c r="J651" s="164">
        <v>33102163130</v>
      </c>
      <c r="K651" s="160">
        <v>14</v>
      </c>
    </row>
    <row r="652" spans="7:11" x14ac:dyDescent="0.25">
      <c r="G652" s="163"/>
      <c r="H652" s="160"/>
      <c r="J652" s="164">
        <v>33102263136</v>
      </c>
      <c r="K652" s="160">
        <v>1</v>
      </c>
    </row>
    <row r="653" spans="7:11" x14ac:dyDescent="0.25">
      <c r="G653" s="163"/>
      <c r="H653" s="160"/>
      <c r="J653" s="164">
        <v>33105063093</v>
      </c>
      <c r="K653" s="160">
        <v>1</v>
      </c>
    </row>
    <row r="654" spans="7:11" x14ac:dyDescent="0.25">
      <c r="G654" s="163"/>
      <c r="H654" s="160"/>
      <c r="J654" s="164">
        <v>33105063121</v>
      </c>
      <c r="K654" s="160">
        <v>12</v>
      </c>
    </row>
    <row r="655" spans="7:11" x14ac:dyDescent="0.25">
      <c r="G655" s="163"/>
      <c r="H655" s="160"/>
      <c r="J655" s="164">
        <v>33105063138</v>
      </c>
      <c r="K655" s="160">
        <v>1</v>
      </c>
    </row>
    <row r="656" spans="7:11" x14ac:dyDescent="0.25">
      <c r="G656" s="163"/>
      <c r="H656" s="160"/>
      <c r="J656" s="164">
        <v>33105063942</v>
      </c>
      <c r="K656" s="160">
        <v>2</v>
      </c>
    </row>
    <row r="657" spans="7:11" x14ac:dyDescent="0.25">
      <c r="G657" s="163"/>
      <c r="H657" s="160"/>
      <c r="J657" s="164">
        <v>33105063943</v>
      </c>
      <c r="K657" s="160">
        <v>1</v>
      </c>
    </row>
    <row r="658" spans="7:11" x14ac:dyDescent="0.25">
      <c r="G658" s="163"/>
      <c r="H658" s="160"/>
      <c r="J658" s="164"/>
      <c r="K658" s="160"/>
    </row>
    <row r="659" spans="7:11" x14ac:dyDescent="0.25">
      <c r="G659" s="163"/>
      <c r="H659" s="160"/>
      <c r="J659" s="164"/>
      <c r="K659" s="160"/>
    </row>
    <row r="660" spans="7:11" x14ac:dyDescent="0.25">
      <c r="G660" s="163"/>
      <c r="H660" s="160"/>
      <c r="J660" s="164"/>
      <c r="K660" s="160"/>
    </row>
    <row r="661" spans="7:11" x14ac:dyDescent="0.25">
      <c r="G661" s="163"/>
      <c r="H661" s="160"/>
      <c r="J661" s="164"/>
      <c r="K661" s="160"/>
    </row>
    <row r="662" spans="7:11" x14ac:dyDescent="0.25">
      <c r="G662" s="163"/>
      <c r="H662" s="160"/>
      <c r="J662" s="164"/>
      <c r="K662" s="160"/>
    </row>
    <row r="663" spans="7:11" x14ac:dyDescent="0.25">
      <c r="G663" s="163"/>
      <c r="H663" s="160"/>
      <c r="J663" s="164"/>
      <c r="K663" s="160"/>
    </row>
    <row r="664" spans="7:11" x14ac:dyDescent="0.25">
      <c r="G664" s="163"/>
      <c r="H664" s="160"/>
      <c r="J664" s="164"/>
      <c r="K664" s="160"/>
    </row>
    <row r="665" spans="7:11" x14ac:dyDescent="0.25">
      <c r="G665" s="163"/>
      <c r="H665" s="160"/>
      <c r="J665" s="164"/>
      <c r="K665" s="160"/>
    </row>
    <row r="666" spans="7:11" x14ac:dyDescent="0.25">
      <c r="G666" s="163"/>
      <c r="H666" s="160"/>
      <c r="J666" s="164"/>
      <c r="K666" s="160"/>
    </row>
    <row r="667" spans="7:11" x14ac:dyDescent="0.25">
      <c r="G667" s="163"/>
      <c r="H667" s="160"/>
      <c r="J667" s="164"/>
      <c r="K667" s="160"/>
    </row>
    <row r="668" spans="7:11" x14ac:dyDescent="0.25">
      <c r="G668" s="163"/>
      <c r="H668" s="160"/>
      <c r="J668" s="164"/>
      <c r="K668" s="160"/>
    </row>
    <row r="669" spans="7:11" x14ac:dyDescent="0.25">
      <c r="G669" s="163"/>
      <c r="H669" s="160"/>
      <c r="J669" s="164"/>
      <c r="K669" s="160"/>
    </row>
    <row r="670" spans="7:11" x14ac:dyDescent="0.25">
      <c r="G670" s="163"/>
      <c r="H670" s="160"/>
      <c r="J670" s="164"/>
      <c r="K670" s="160"/>
    </row>
    <row r="671" spans="7:11" x14ac:dyDescent="0.25">
      <c r="G671" s="163"/>
      <c r="H671" s="160"/>
      <c r="J671" s="164"/>
      <c r="K671" s="160"/>
    </row>
    <row r="672" spans="7:11" x14ac:dyDescent="0.25">
      <c r="G672" s="163"/>
      <c r="H672" s="160"/>
      <c r="J672" s="164"/>
      <c r="K672" s="160"/>
    </row>
    <row r="673" spans="7:11" x14ac:dyDescent="0.25">
      <c r="G673" s="163"/>
      <c r="H673" s="160"/>
      <c r="J673" s="164"/>
      <c r="K673" s="160"/>
    </row>
    <row r="674" spans="7:11" x14ac:dyDescent="0.25">
      <c r="G674" s="163"/>
      <c r="H674" s="160"/>
      <c r="J674" s="164"/>
      <c r="K674" s="160"/>
    </row>
    <row r="675" spans="7:11" x14ac:dyDescent="0.25">
      <c r="G675" s="163"/>
      <c r="H675" s="160"/>
      <c r="J675" s="164"/>
      <c r="K675" s="160"/>
    </row>
    <row r="676" spans="7:11" x14ac:dyDescent="0.25">
      <c r="G676" s="163"/>
      <c r="H676" s="160"/>
      <c r="J676" s="164"/>
      <c r="K676" s="160"/>
    </row>
    <row r="677" spans="7:11" x14ac:dyDescent="0.25">
      <c r="G677" s="163"/>
      <c r="H677" s="160"/>
      <c r="J677" s="164"/>
      <c r="K677" s="160"/>
    </row>
    <row r="678" spans="7:11" x14ac:dyDescent="0.25">
      <c r="G678" s="163"/>
      <c r="H678" s="160"/>
      <c r="J678" s="164"/>
      <c r="K678" s="160"/>
    </row>
    <row r="679" spans="7:11" x14ac:dyDescent="0.25">
      <c r="G679" s="163"/>
      <c r="H679" s="160"/>
      <c r="J679" s="164"/>
      <c r="K679" s="160"/>
    </row>
    <row r="680" spans="7:11" x14ac:dyDescent="0.25">
      <c r="G680" s="163"/>
      <c r="H680" s="160"/>
      <c r="J680" s="164"/>
      <c r="K680" s="160"/>
    </row>
    <row r="681" spans="7:11" x14ac:dyDescent="0.25">
      <c r="G681" s="163"/>
      <c r="H681" s="160"/>
      <c r="J681" s="164"/>
      <c r="K681" s="160"/>
    </row>
    <row r="682" spans="7:11" x14ac:dyDescent="0.25">
      <c r="G682" s="163"/>
      <c r="H682" s="160"/>
      <c r="J682" s="164"/>
      <c r="K682" s="160"/>
    </row>
    <row r="683" spans="7:11" x14ac:dyDescent="0.25">
      <c r="G683" s="163"/>
      <c r="H683" s="160"/>
      <c r="J683" s="164"/>
      <c r="K683" s="160"/>
    </row>
    <row r="684" spans="7:11" x14ac:dyDescent="0.25">
      <c r="G684" s="163"/>
      <c r="H684" s="160"/>
      <c r="J684" s="164"/>
      <c r="K684" s="160"/>
    </row>
    <row r="685" spans="7:11" x14ac:dyDescent="0.25">
      <c r="G685" s="163"/>
      <c r="H685" s="160"/>
      <c r="J685" s="164"/>
      <c r="K685" s="160"/>
    </row>
    <row r="686" spans="7:11" x14ac:dyDescent="0.25">
      <c r="G686" s="163"/>
      <c r="H686" s="160"/>
      <c r="J686" s="164"/>
      <c r="K686" s="160"/>
    </row>
    <row r="687" spans="7:11" x14ac:dyDescent="0.25">
      <c r="G687" s="163"/>
      <c r="H687" s="160"/>
      <c r="J687" s="164"/>
      <c r="K687" s="160"/>
    </row>
    <row r="688" spans="7:11" x14ac:dyDescent="0.25">
      <c r="G688" s="163"/>
      <c r="H688" s="160"/>
      <c r="J688" s="164"/>
      <c r="K688" s="160"/>
    </row>
    <row r="689" spans="7:11" x14ac:dyDescent="0.25">
      <c r="G689" s="163"/>
      <c r="H689" s="160"/>
      <c r="J689" s="164"/>
      <c r="K689" s="160"/>
    </row>
    <row r="690" spans="7:11" x14ac:dyDescent="0.25">
      <c r="G690" s="163"/>
      <c r="H690" s="160"/>
      <c r="J690" s="164"/>
      <c r="K690" s="160"/>
    </row>
    <row r="691" spans="7:11" x14ac:dyDescent="0.25">
      <c r="G691" s="163"/>
      <c r="H691" s="160"/>
      <c r="J691" s="164"/>
      <c r="K691" s="160"/>
    </row>
    <row r="692" spans="7:11" x14ac:dyDescent="0.25">
      <c r="G692" s="163"/>
      <c r="H692" s="160"/>
      <c r="J692" s="164"/>
      <c r="K692" s="160"/>
    </row>
    <row r="693" spans="7:11" x14ac:dyDescent="0.25">
      <c r="G693" s="163"/>
      <c r="H693" s="160"/>
      <c r="J693" s="164"/>
      <c r="K693" s="160"/>
    </row>
    <row r="694" spans="7:11" x14ac:dyDescent="0.25">
      <c r="G694" s="163"/>
      <c r="H694" s="160"/>
      <c r="J694" s="164"/>
      <c r="K694" s="160"/>
    </row>
    <row r="695" spans="7:11" x14ac:dyDescent="0.25">
      <c r="G695" s="163"/>
      <c r="H695" s="160"/>
      <c r="J695" s="164"/>
      <c r="K695" s="160"/>
    </row>
    <row r="696" spans="7:11" x14ac:dyDescent="0.25">
      <c r="G696" s="163"/>
      <c r="H696" s="160"/>
      <c r="J696" s="164"/>
      <c r="K696" s="160"/>
    </row>
    <row r="697" spans="7:11" x14ac:dyDescent="0.25">
      <c r="G697" s="163"/>
      <c r="H697" s="160"/>
      <c r="J697" s="164"/>
      <c r="K697" s="160"/>
    </row>
    <row r="698" spans="7:11" x14ac:dyDescent="0.25">
      <c r="G698" s="163"/>
      <c r="H698" s="160"/>
      <c r="J698" s="164"/>
      <c r="K698" s="160"/>
    </row>
    <row r="699" spans="7:11" x14ac:dyDescent="0.25">
      <c r="G699" s="163"/>
      <c r="H699" s="160"/>
      <c r="J699" s="164"/>
      <c r="K699" s="160"/>
    </row>
    <row r="700" spans="7:11" x14ac:dyDescent="0.25">
      <c r="G700" s="163"/>
      <c r="H700" s="160"/>
      <c r="J700" s="164"/>
      <c r="K700" s="160"/>
    </row>
    <row r="701" spans="7:11" x14ac:dyDescent="0.25">
      <c r="G701" s="163"/>
      <c r="H701" s="160"/>
      <c r="J701" s="164"/>
      <c r="K701" s="160"/>
    </row>
    <row r="702" spans="7:11" x14ac:dyDescent="0.25">
      <c r="G702" s="163"/>
      <c r="H702" s="160"/>
      <c r="J702" s="164"/>
      <c r="K702" s="160"/>
    </row>
    <row r="703" spans="7:11" x14ac:dyDescent="0.25">
      <c r="G703" s="163"/>
      <c r="H703" s="160"/>
      <c r="J703" s="164"/>
      <c r="K703" s="160"/>
    </row>
    <row r="704" spans="7:11" x14ac:dyDescent="0.25">
      <c r="G704" s="163"/>
      <c r="H704" s="160"/>
      <c r="J704" s="164"/>
      <c r="K704" s="160"/>
    </row>
    <row r="705" spans="7:11" x14ac:dyDescent="0.25">
      <c r="G705" s="163"/>
      <c r="H705" s="160"/>
      <c r="J705" s="164"/>
      <c r="K705" s="160"/>
    </row>
    <row r="706" spans="7:11" x14ac:dyDescent="0.25">
      <c r="G706" s="163"/>
      <c r="H706" s="160"/>
      <c r="J706" s="164"/>
      <c r="K706" s="160"/>
    </row>
    <row r="707" spans="7:11" x14ac:dyDescent="0.25">
      <c r="G707" s="163"/>
      <c r="H707" s="160"/>
      <c r="J707" s="164"/>
      <c r="K707" s="160"/>
    </row>
    <row r="708" spans="7:11" x14ac:dyDescent="0.25">
      <c r="G708" s="163"/>
      <c r="H708" s="160"/>
      <c r="J708" s="164"/>
      <c r="K708" s="160"/>
    </row>
    <row r="709" spans="7:11" x14ac:dyDescent="0.25">
      <c r="G709" s="163"/>
      <c r="H709" s="160"/>
      <c r="J709" s="164"/>
      <c r="K709" s="160"/>
    </row>
    <row r="710" spans="7:11" x14ac:dyDescent="0.25">
      <c r="G710" s="163"/>
      <c r="H710" s="160"/>
      <c r="J710" s="164"/>
      <c r="K710" s="160"/>
    </row>
    <row r="711" spans="7:11" x14ac:dyDescent="0.25">
      <c r="G711" s="163"/>
      <c r="H711" s="160"/>
      <c r="J711" s="164"/>
      <c r="K711" s="160"/>
    </row>
    <row r="712" spans="7:11" x14ac:dyDescent="0.25">
      <c r="G712" s="163"/>
      <c r="H712" s="160"/>
      <c r="J712" s="164"/>
      <c r="K712" s="160"/>
    </row>
    <row r="713" spans="7:11" x14ac:dyDescent="0.25">
      <c r="G713" s="163"/>
      <c r="H713" s="160"/>
      <c r="J713" s="164"/>
      <c r="K713" s="160"/>
    </row>
    <row r="714" spans="7:11" x14ac:dyDescent="0.25">
      <c r="G714" s="163"/>
      <c r="H714" s="160"/>
      <c r="J714" s="164"/>
      <c r="K714" s="160"/>
    </row>
    <row r="715" spans="7:11" x14ac:dyDescent="0.25">
      <c r="G715" s="163"/>
      <c r="H715" s="160"/>
      <c r="J715" s="164"/>
      <c r="K715" s="160"/>
    </row>
    <row r="716" spans="7:11" x14ac:dyDescent="0.25">
      <c r="G716" s="163"/>
      <c r="H716" s="160"/>
      <c r="J716" s="164"/>
      <c r="K716" s="160"/>
    </row>
    <row r="717" spans="7:11" x14ac:dyDescent="0.25">
      <c r="G717" s="163"/>
      <c r="H717" s="160"/>
      <c r="J717" s="164"/>
      <c r="K717" s="160"/>
    </row>
    <row r="718" spans="7:11" x14ac:dyDescent="0.25">
      <c r="G718" s="163"/>
      <c r="H718" s="160"/>
      <c r="J718" s="164"/>
      <c r="K718" s="160"/>
    </row>
    <row r="719" spans="7:11" x14ac:dyDescent="0.25">
      <c r="G719" s="163"/>
      <c r="H719" s="160"/>
      <c r="J719" s="164"/>
      <c r="K719" s="160"/>
    </row>
    <row r="720" spans="7:11" x14ac:dyDescent="0.25">
      <c r="G720" s="163"/>
      <c r="H720" s="160"/>
      <c r="J720" s="164"/>
      <c r="K720" s="160"/>
    </row>
    <row r="721" spans="7:11" x14ac:dyDescent="0.25">
      <c r="G721" s="163"/>
      <c r="H721" s="160"/>
      <c r="J721" s="164"/>
      <c r="K721" s="160"/>
    </row>
    <row r="722" spans="7:11" x14ac:dyDescent="0.25">
      <c r="G722" s="163"/>
      <c r="H722" s="160"/>
      <c r="J722" s="164"/>
      <c r="K722" s="160"/>
    </row>
    <row r="723" spans="7:11" x14ac:dyDescent="0.25">
      <c r="G723" s="163"/>
      <c r="H723" s="160"/>
      <c r="J723" s="164"/>
      <c r="K723" s="160"/>
    </row>
    <row r="724" spans="7:11" x14ac:dyDescent="0.25">
      <c r="G724" s="163"/>
      <c r="H724" s="160"/>
      <c r="J724" s="164"/>
      <c r="K724" s="160"/>
    </row>
    <row r="725" spans="7:11" x14ac:dyDescent="0.25">
      <c r="G725" s="163"/>
      <c r="H725" s="160"/>
      <c r="J725" s="164"/>
      <c r="K725" s="160"/>
    </row>
    <row r="726" spans="7:11" x14ac:dyDescent="0.25">
      <c r="G726" s="163"/>
      <c r="H726" s="160"/>
      <c r="J726" s="164"/>
      <c r="K726" s="160"/>
    </row>
    <row r="727" spans="7:11" x14ac:dyDescent="0.25">
      <c r="G727" s="163"/>
      <c r="H727" s="160"/>
      <c r="J727" s="164"/>
      <c r="K727" s="160"/>
    </row>
    <row r="728" spans="7:11" x14ac:dyDescent="0.25">
      <c r="G728" s="163"/>
      <c r="H728" s="160"/>
      <c r="J728" s="164"/>
      <c r="K728" s="160"/>
    </row>
    <row r="729" spans="7:11" x14ac:dyDescent="0.25">
      <c r="G729" s="163"/>
      <c r="H729" s="160"/>
      <c r="J729" s="164"/>
      <c r="K729" s="160"/>
    </row>
    <row r="730" spans="7:11" x14ac:dyDescent="0.25">
      <c r="G730" s="163"/>
      <c r="H730" s="160"/>
      <c r="J730" s="164"/>
      <c r="K730" s="160"/>
    </row>
    <row r="731" spans="7:11" x14ac:dyDescent="0.25">
      <c r="G731" s="163"/>
      <c r="H731" s="160"/>
      <c r="J731" s="164"/>
      <c r="K731" s="160"/>
    </row>
    <row r="732" spans="7:11" x14ac:dyDescent="0.25">
      <c r="G732" s="163"/>
      <c r="H732" s="160"/>
      <c r="J732" s="164"/>
      <c r="K732" s="160"/>
    </row>
    <row r="733" spans="7:11" x14ac:dyDescent="0.25">
      <c r="G733" s="163"/>
      <c r="H733" s="160"/>
      <c r="J733" s="164"/>
      <c r="K733" s="160"/>
    </row>
    <row r="734" spans="7:11" x14ac:dyDescent="0.25">
      <c r="G734" s="163"/>
      <c r="H734" s="160"/>
      <c r="J734" s="164"/>
      <c r="K734" s="160"/>
    </row>
    <row r="735" spans="7:11" x14ac:dyDescent="0.25">
      <c r="G735" s="163"/>
      <c r="H735" s="160"/>
      <c r="J735" s="164"/>
      <c r="K735" s="160"/>
    </row>
    <row r="736" spans="7:11" x14ac:dyDescent="0.25">
      <c r="G736" s="163"/>
      <c r="H736" s="160"/>
      <c r="J736" s="164"/>
      <c r="K736" s="160"/>
    </row>
    <row r="737" spans="7:11" x14ac:dyDescent="0.25">
      <c r="G737" s="163"/>
      <c r="H737" s="160"/>
      <c r="J737" s="164"/>
      <c r="K737" s="160"/>
    </row>
    <row r="738" spans="7:11" x14ac:dyDescent="0.25">
      <c r="G738" s="163"/>
      <c r="H738" s="160"/>
      <c r="J738" s="164"/>
      <c r="K738" s="160"/>
    </row>
    <row r="739" spans="7:11" x14ac:dyDescent="0.25">
      <c r="G739" s="163"/>
      <c r="H739" s="160"/>
      <c r="J739" s="164"/>
      <c r="K739" s="160"/>
    </row>
    <row r="740" spans="7:11" x14ac:dyDescent="0.25">
      <c r="G740" s="163"/>
      <c r="H740" s="160"/>
      <c r="J740" s="164"/>
      <c r="K740" s="160"/>
    </row>
    <row r="741" spans="7:11" x14ac:dyDescent="0.25">
      <c r="G741" s="163"/>
      <c r="H741" s="160"/>
      <c r="J741" s="164"/>
      <c r="K741" s="160"/>
    </row>
    <row r="742" spans="7:11" x14ac:dyDescent="0.25">
      <c r="G742" s="163"/>
      <c r="H742" s="160"/>
      <c r="J742" s="164"/>
      <c r="K742" s="160"/>
    </row>
    <row r="743" spans="7:11" x14ac:dyDescent="0.25">
      <c r="G743" s="163"/>
      <c r="H743" s="160"/>
      <c r="J743" s="164"/>
      <c r="K743" s="160"/>
    </row>
    <row r="744" spans="7:11" x14ac:dyDescent="0.25">
      <c r="G744" s="163"/>
      <c r="H744" s="160"/>
      <c r="J744" s="164"/>
      <c r="K744" s="160"/>
    </row>
    <row r="745" spans="7:11" x14ac:dyDescent="0.25">
      <c r="G745" s="163"/>
      <c r="H745" s="160"/>
      <c r="J745" s="164"/>
      <c r="K745" s="160"/>
    </row>
    <row r="746" spans="7:11" x14ac:dyDescent="0.25">
      <c r="G746" s="163"/>
      <c r="H746" s="160"/>
      <c r="J746" s="164"/>
      <c r="K746" s="160"/>
    </row>
    <row r="747" spans="7:11" x14ac:dyDescent="0.25">
      <c r="G747" s="163"/>
      <c r="H747" s="160"/>
      <c r="J747" s="164"/>
      <c r="K747" s="160"/>
    </row>
    <row r="748" spans="7:11" x14ac:dyDescent="0.25">
      <c r="G748" s="163"/>
      <c r="H748" s="160"/>
      <c r="J748" s="164"/>
      <c r="K748" s="160"/>
    </row>
    <row r="749" spans="7:11" x14ac:dyDescent="0.25">
      <c r="G749" s="163"/>
      <c r="H749" s="160"/>
      <c r="J749" s="164"/>
      <c r="K749" s="160"/>
    </row>
    <row r="750" spans="7:11" x14ac:dyDescent="0.25">
      <c r="G750" s="163"/>
      <c r="H750" s="160"/>
      <c r="J750" s="164"/>
      <c r="K750" s="160"/>
    </row>
    <row r="751" spans="7:11" x14ac:dyDescent="0.25">
      <c r="G751" s="163"/>
      <c r="H751" s="160"/>
      <c r="J751" s="164"/>
      <c r="K751" s="160"/>
    </row>
    <row r="752" spans="7:11" x14ac:dyDescent="0.25">
      <c r="G752" s="163"/>
      <c r="H752" s="160"/>
      <c r="J752" s="164"/>
      <c r="K752" s="160"/>
    </row>
    <row r="753" spans="7:11" x14ac:dyDescent="0.25">
      <c r="G753" s="163"/>
      <c r="H753" s="160"/>
      <c r="J753" s="164"/>
      <c r="K753" s="160"/>
    </row>
    <row r="754" spans="7:11" x14ac:dyDescent="0.25">
      <c r="G754" s="163"/>
      <c r="H754" s="160"/>
      <c r="J754" s="164"/>
      <c r="K754" s="160"/>
    </row>
    <row r="755" spans="7:11" x14ac:dyDescent="0.25">
      <c r="G755" s="163"/>
      <c r="H755" s="160"/>
      <c r="J755" s="164"/>
      <c r="K755" s="160"/>
    </row>
    <row r="756" spans="7:11" x14ac:dyDescent="0.25">
      <c r="G756" s="163"/>
      <c r="H756" s="160"/>
      <c r="J756" s="164"/>
      <c r="K756" s="160"/>
    </row>
    <row r="757" spans="7:11" x14ac:dyDescent="0.25">
      <c r="G757" s="163"/>
      <c r="H757" s="160"/>
      <c r="J757" s="164"/>
      <c r="K757" s="160"/>
    </row>
    <row r="758" spans="7:11" x14ac:dyDescent="0.25">
      <c r="G758" s="163"/>
      <c r="H758" s="160"/>
      <c r="J758" s="164"/>
      <c r="K758" s="160"/>
    </row>
    <row r="759" spans="7:11" x14ac:dyDescent="0.25">
      <c r="G759" s="163"/>
      <c r="H759" s="160"/>
      <c r="J759" s="164"/>
      <c r="K759" s="160"/>
    </row>
    <row r="760" spans="7:11" x14ac:dyDescent="0.25">
      <c r="G760" s="163"/>
      <c r="H760" s="160"/>
      <c r="J760" s="164"/>
      <c r="K760" s="160"/>
    </row>
    <row r="761" spans="7:11" x14ac:dyDescent="0.25">
      <c r="G761" s="163"/>
      <c r="H761" s="160"/>
      <c r="J761" s="164"/>
      <c r="K761" s="160"/>
    </row>
    <row r="762" spans="7:11" x14ac:dyDescent="0.25">
      <c r="G762" s="163"/>
      <c r="H762" s="160"/>
      <c r="J762" s="164"/>
      <c r="K762" s="160"/>
    </row>
    <row r="763" spans="7:11" x14ac:dyDescent="0.25">
      <c r="G763" s="163"/>
      <c r="H763" s="160"/>
      <c r="J763" s="164"/>
      <c r="K763" s="160"/>
    </row>
    <row r="764" spans="7:11" x14ac:dyDescent="0.25">
      <c r="G764" s="163"/>
      <c r="H764" s="160"/>
      <c r="J764" s="164"/>
      <c r="K764" s="160"/>
    </row>
    <row r="765" spans="7:11" x14ac:dyDescent="0.25">
      <c r="G765" s="163"/>
      <c r="H765" s="160"/>
      <c r="J765" s="164"/>
      <c r="K765" s="160"/>
    </row>
    <row r="766" spans="7:11" x14ac:dyDescent="0.25">
      <c r="G766" s="163"/>
      <c r="H766" s="160"/>
      <c r="J766" s="164"/>
      <c r="K766" s="160"/>
    </row>
    <row r="767" spans="7:11" x14ac:dyDescent="0.25">
      <c r="G767" s="163"/>
      <c r="H767" s="160"/>
      <c r="J767" s="164"/>
      <c r="K767" s="160"/>
    </row>
    <row r="768" spans="7:11" x14ac:dyDescent="0.25">
      <c r="G768" s="163"/>
      <c r="H768" s="160"/>
      <c r="J768" s="164"/>
      <c r="K768" s="160"/>
    </row>
    <row r="769" spans="7:11" x14ac:dyDescent="0.25">
      <c r="G769" s="163"/>
      <c r="H769" s="160"/>
      <c r="J769" s="164"/>
      <c r="K769" s="160"/>
    </row>
    <row r="770" spans="7:11" x14ac:dyDescent="0.25">
      <c r="G770" s="163"/>
      <c r="H770" s="160"/>
      <c r="J770" s="164"/>
      <c r="K770" s="160"/>
    </row>
    <row r="771" spans="7:11" x14ac:dyDescent="0.25">
      <c r="G771" s="163"/>
      <c r="H771" s="160"/>
      <c r="J771" s="164"/>
      <c r="K771" s="160"/>
    </row>
    <row r="772" spans="7:11" x14ac:dyDescent="0.25">
      <c r="G772" s="163"/>
      <c r="H772" s="160"/>
      <c r="J772" s="164"/>
      <c r="K772" s="160"/>
    </row>
    <row r="773" spans="7:11" x14ac:dyDescent="0.25">
      <c r="G773" s="163"/>
      <c r="H773" s="160"/>
      <c r="J773" s="164"/>
      <c r="K773" s="160"/>
    </row>
    <row r="774" spans="7:11" x14ac:dyDescent="0.25">
      <c r="G774" s="163"/>
      <c r="H774" s="160"/>
      <c r="J774" s="164"/>
      <c r="K774" s="160"/>
    </row>
    <row r="775" spans="7:11" x14ac:dyDescent="0.25">
      <c r="G775" s="163"/>
      <c r="H775" s="160"/>
      <c r="J775" s="164"/>
      <c r="K775" s="160"/>
    </row>
    <row r="776" spans="7:11" x14ac:dyDescent="0.25">
      <c r="G776" s="163"/>
      <c r="H776" s="160"/>
      <c r="J776" s="164"/>
      <c r="K776" s="160"/>
    </row>
    <row r="777" spans="7:11" x14ac:dyDescent="0.25">
      <c r="G777" s="163"/>
      <c r="H777" s="160"/>
      <c r="J777" s="164"/>
      <c r="K777" s="160"/>
    </row>
    <row r="778" spans="7:11" x14ac:dyDescent="0.25">
      <c r="G778" s="163"/>
      <c r="H778" s="160"/>
      <c r="J778" s="164"/>
      <c r="K778" s="160"/>
    </row>
    <row r="779" spans="7:11" x14ac:dyDescent="0.25">
      <c r="G779" s="163"/>
      <c r="H779" s="160"/>
      <c r="J779" s="164"/>
      <c r="K779" s="160"/>
    </row>
    <row r="780" spans="7:11" x14ac:dyDescent="0.25">
      <c r="G780" s="163"/>
      <c r="H780" s="160"/>
      <c r="J780" s="164"/>
      <c r="K780" s="160"/>
    </row>
    <row r="781" spans="7:11" x14ac:dyDescent="0.25">
      <c r="G781" s="163"/>
      <c r="H781" s="160"/>
      <c r="J781" s="164"/>
      <c r="K781" s="160"/>
    </row>
    <row r="782" spans="7:11" x14ac:dyDescent="0.25">
      <c r="G782" s="163"/>
      <c r="H782" s="160"/>
      <c r="J782" s="164"/>
      <c r="K782" s="160"/>
    </row>
    <row r="783" spans="7:11" x14ac:dyDescent="0.25">
      <c r="G783" s="163"/>
      <c r="H783" s="160"/>
      <c r="J783" s="164"/>
      <c r="K783" s="160"/>
    </row>
    <row r="784" spans="7:11" x14ac:dyDescent="0.25">
      <c r="G784" s="163"/>
      <c r="H784" s="160"/>
      <c r="J784" s="164"/>
      <c r="K784" s="160"/>
    </row>
    <row r="785" spans="7:11" x14ac:dyDescent="0.25">
      <c r="G785" s="163"/>
      <c r="H785" s="160"/>
      <c r="J785" s="164"/>
      <c r="K785" s="160"/>
    </row>
    <row r="786" spans="7:11" x14ac:dyDescent="0.25">
      <c r="G786" s="163"/>
      <c r="H786" s="160"/>
      <c r="J786" s="164"/>
      <c r="K786" s="160"/>
    </row>
    <row r="787" spans="7:11" x14ac:dyDescent="0.25">
      <c r="G787" s="163"/>
      <c r="H787" s="160"/>
      <c r="J787" s="164"/>
      <c r="K787" s="160"/>
    </row>
    <row r="788" spans="7:11" x14ac:dyDescent="0.25">
      <c r="G788" s="163"/>
      <c r="H788" s="160"/>
      <c r="J788" s="164"/>
      <c r="K788" s="160"/>
    </row>
    <row r="789" spans="7:11" x14ac:dyDescent="0.25">
      <c r="G789" s="163"/>
      <c r="H789" s="160"/>
      <c r="J789" s="164"/>
      <c r="K789" s="160"/>
    </row>
    <row r="790" spans="7:11" x14ac:dyDescent="0.25">
      <c r="G790" s="163"/>
      <c r="H790" s="160"/>
      <c r="J790" s="164"/>
      <c r="K790" s="160"/>
    </row>
    <row r="791" spans="7:11" x14ac:dyDescent="0.25">
      <c r="G791" s="163"/>
      <c r="H791" s="160"/>
      <c r="J791" s="164"/>
      <c r="K791" s="160"/>
    </row>
    <row r="792" spans="7:11" x14ac:dyDescent="0.25">
      <c r="G792" s="163"/>
      <c r="H792" s="160"/>
      <c r="J792" s="164"/>
      <c r="K792" s="160"/>
    </row>
    <row r="793" spans="7:11" x14ac:dyDescent="0.25">
      <c r="G793" s="163"/>
      <c r="H793" s="160"/>
      <c r="J793" s="164"/>
      <c r="K793" s="160"/>
    </row>
    <row r="794" spans="7:11" x14ac:dyDescent="0.25">
      <c r="G794" s="163"/>
      <c r="H794" s="160"/>
      <c r="J794" s="164"/>
      <c r="K794" s="160"/>
    </row>
    <row r="795" spans="7:11" x14ac:dyDescent="0.25">
      <c r="G795" s="163"/>
      <c r="H795" s="160"/>
      <c r="J795" s="164"/>
      <c r="K795" s="160"/>
    </row>
    <row r="796" spans="7:11" x14ac:dyDescent="0.25">
      <c r="G796" s="163"/>
      <c r="H796" s="160"/>
      <c r="J796" s="164"/>
      <c r="K796" s="160"/>
    </row>
    <row r="797" spans="7:11" x14ac:dyDescent="0.25">
      <c r="G797" s="163"/>
      <c r="H797" s="160"/>
      <c r="J797" s="164"/>
      <c r="K797" s="160"/>
    </row>
    <row r="798" spans="7:11" x14ac:dyDescent="0.25">
      <c r="G798" s="163"/>
      <c r="H798" s="160"/>
      <c r="J798" s="164"/>
      <c r="K798" s="160"/>
    </row>
    <row r="799" spans="7:11" x14ac:dyDescent="0.25">
      <c r="G799" s="163"/>
      <c r="H799" s="160"/>
      <c r="J799" s="164"/>
      <c r="K799" s="160"/>
    </row>
    <row r="800" spans="7:11" x14ac:dyDescent="0.25">
      <c r="G800" s="163"/>
      <c r="H800" s="160"/>
      <c r="J800" s="164"/>
      <c r="K800" s="160"/>
    </row>
    <row r="801" spans="7:11" x14ac:dyDescent="0.25">
      <c r="G801" s="163"/>
      <c r="H801" s="160"/>
      <c r="J801" s="164"/>
      <c r="K801" s="160"/>
    </row>
    <row r="802" spans="7:11" x14ac:dyDescent="0.25">
      <c r="G802" s="163"/>
      <c r="H802" s="160"/>
      <c r="J802" s="164"/>
      <c r="K802" s="160"/>
    </row>
    <row r="803" spans="7:11" x14ac:dyDescent="0.25">
      <c r="G803" s="163"/>
      <c r="H803" s="160"/>
      <c r="J803" s="164"/>
      <c r="K803" s="160"/>
    </row>
    <row r="804" spans="7:11" x14ac:dyDescent="0.25">
      <c r="G804" s="163"/>
      <c r="H804" s="160"/>
      <c r="J804" s="164"/>
      <c r="K804" s="160"/>
    </row>
    <row r="805" spans="7:11" x14ac:dyDescent="0.25">
      <c r="G805" s="163"/>
      <c r="H805" s="160"/>
      <c r="J805" s="164"/>
      <c r="K805" s="160"/>
    </row>
    <row r="806" spans="7:11" x14ac:dyDescent="0.25">
      <c r="G806" s="163"/>
      <c r="H806" s="160"/>
      <c r="J806" s="164"/>
      <c r="K806" s="160"/>
    </row>
    <row r="807" spans="7:11" x14ac:dyDescent="0.25">
      <c r="J807" s="164"/>
      <c r="K807" s="160"/>
    </row>
    <row r="808" spans="7:11" x14ac:dyDescent="0.25">
      <c r="J808" s="164"/>
      <c r="K808" s="160"/>
    </row>
    <row r="809" spans="7:11" x14ac:dyDescent="0.25">
      <c r="J809" s="164"/>
      <c r="K809" s="160"/>
    </row>
    <row r="810" spans="7:11" x14ac:dyDescent="0.25">
      <c r="J810" s="164"/>
      <c r="K810" s="160"/>
    </row>
    <row r="811" spans="7:11" x14ac:dyDescent="0.25">
      <c r="J811" s="164"/>
      <c r="K811" s="160"/>
    </row>
    <row r="812" spans="7:11" x14ac:dyDescent="0.25">
      <c r="J812" s="164"/>
      <c r="K812" s="160"/>
    </row>
    <row r="813" spans="7:11" x14ac:dyDescent="0.25">
      <c r="J813" s="164"/>
      <c r="K813" s="160"/>
    </row>
    <row r="814" spans="7:11" x14ac:dyDescent="0.25">
      <c r="J814" s="164"/>
      <c r="K814" s="160"/>
    </row>
    <row r="815" spans="7:11" x14ac:dyDescent="0.25">
      <c r="J815" s="164"/>
      <c r="K815" s="160"/>
    </row>
    <row r="816" spans="7:11" x14ac:dyDescent="0.25">
      <c r="J816" s="164"/>
      <c r="K816" s="160"/>
    </row>
    <row r="817" spans="10:11" x14ac:dyDescent="0.25">
      <c r="J817" s="164"/>
      <c r="K817" s="160"/>
    </row>
    <row r="818" spans="10:11" x14ac:dyDescent="0.25">
      <c r="J818" s="164"/>
      <c r="K818" s="160"/>
    </row>
    <row r="819" spans="10:11" x14ac:dyDescent="0.25">
      <c r="J819" s="164"/>
      <c r="K819" s="160"/>
    </row>
    <row r="820" spans="10:11" x14ac:dyDescent="0.25">
      <c r="J820" s="164"/>
      <c r="K820" s="160"/>
    </row>
    <row r="821" spans="10:11" x14ac:dyDescent="0.25">
      <c r="J821" s="164"/>
      <c r="K821" s="160"/>
    </row>
    <row r="822" spans="10:11" x14ac:dyDescent="0.25">
      <c r="J822" s="164"/>
      <c r="K822" s="160"/>
    </row>
    <row r="823" spans="10:11" x14ac:dyDescent="0.25">
      <c r="J823" s="164"/>
      <c r="K823" s="160"/>
    </row>
    <row r="824" spans="10:11" x14ac:dyDescent="0.25">
      <c r="J824" s="164"/>
      <c r="K824" s="160"/>
    </row>
    <row r="825" spans="10:11" x14ac:dyDescent="0.25">
      <c r="J825" s="164"/>
      <c r="K825" s="160"/>
    </row>
    <row r="826" spans="10:11" x14ac:dyDescent="0.25">
      <c r="J826" s="164"/>
      <c r="K826" s="160"/>
    </row>
    <row r="827" spans="10:11" x14ac:dyDescent="0.25">
      <c r="J827" s="164"/>
      <c r="K827" s="160"/>
    </row>
    <row r="828" spans="10:11" x14ac:dyDescent="0.25">
      <c r="J828" s="164"/>
      <c r="K828" s="160"/>
    </row>
    <row r="829" spans="10:11" x14ac:dyDescent="0.25">
      <c r="J829" s="164"/>
      <c r="K829" s="160"/>
    </row>
    <row r="830" spans="10:11" x14ac:dyDescent="0.25">
      <c r="J830" s="164"/>
      <c r="K830" s="160"/>
    </row>
    <row r="831" spans="10:11" x14ac:dyDescent="0.25">
      <c r="J831" s="164"/>
      <c r="K831" s="160"/>
    </row>
    <row r="832" spans="10:11" x14ac:dyDescent="0.25">
      <c r="J832" s="164"/>
      <c r="K832" s="160"/>
    </row>
    <row r="833" spans="10:11" x14ac:dyDescent="0.25">
      <c r="J833" s="164"/>
      <c r="K833" s="160"/>
    </row>
    <row r="834" spans="10:11" x14ac:dyDescent="0.25">
      <c r="J834" s="164"/>
      <c r="K834" s="160"/>
    </row>
    <row r="835" spans="10:11" x14ac:dyDescent="0.25">
      <c r="J835" s="164"/>
      <c r="K835" s="160"/>
    </row>
    <row r="836" spans="10:11" x14ac:dyDescent="0.25">
      <c r="J836" s="164"/>
      <c r="K836" s="160"/>
    </row>
    <row r="837" spans="10:11" x14ac:dyDescent="0.25">
      <c r="J837" s="164"/>
      <c r="K837" s="160"/>
    </row>
    <row r="838" spans="10:11" x14ac:dyDescent="0.25">
      <c r="J838" s="164"/>
      <c r="K838" s="160"/>
    </row>
    <row r="839" spans="10:11" x14ac:dyDescent="0.25">
      <c r="J839" s="164"/>
      <c r="K839" s="160"/>
    </row>
    <row r="840" spans="10:11" x14ac:dyDescent="0.25">
      <c r="J840" s="164"/>
      <c r="K840" s="160"/>
    </row>
    <row r="841" spans="10:11" x14ac:dyDescent="0.25">
      <c r="J841" s="164"/>
      <c r="K841" s="160"/>
    </row>
    <row r="842" spans="10:11" x14ac:dyDescent="0.25">
      <c r="J842" s="164"/>
      <c r="K842" s="160"/>
    </row>
    <row r="843" spans="10:11" x14ac:dyDescent="0.25">
      <c r="J843" s="164"/>
      <c r="K843" s="160"/>
    </row>
    <row r="844" spans="10:11" x14ac:dyDescent="0.25">
      <c r="J844" s="164"/>
      <c r="K844" s="160"/>
    </row>
    <row r="845" spans="10:11" x14ac:dyDescent="0.25">
      <c r="J845" s="164"/>
      <c r="K845" s="160"/>
    </row>
    <row r="846" spans="10:11" x14ac:dyDescent="0.25">
      <c r="J846" s="164"/>
      <c r="K846" s="160"/>
    </row>
    <row r="847" spans="10:11" x14ac:dyDescent="0.25">
      <c r="J847" s="164"/>
      <c r="K847" s="160"/>
    </row>
    <row r="848" spans="10:11" x14ac:dyDescent="0.25">
      <c r="J848" s="164"/>
      <c r="K848" s="160"/>
    </row>
    <row r="849" spans="10:11" x14ac:dyDescent="0.25">
      <c r="J849" s="164"/>
      <c r="K849" s="160"/>
    </row>
    <row r="850" spans="10:11" x14ac:dyDescent="0.25">
      <c r="J850" s="164"/>
      <c r="K850" s="160"/>
    </row>
    <row r="851" spans="10:11" x14ac:dyDescent="0.25">
      <c r="J851" s="164"/>
      <c r="K851" s="160"/>
    </row>
    <row r="852" spans="10:11" x14ac:dyDescent="0.25">
      <c r="J852" s="164"/>
      <c r="K852" s="160"/>
    </row>
    <row r="853" spans="10:11" x14ac:dyDescent="0.25">
      <c r="J853" s="164"/>
      <c r="K853" s="160"/>
    </row>
    <row r="854" spans="10:11" x14ac:dyDescent="0.25">
      <c r="J854" s="164"/>
      <c r="K854" s="160"/>
    </row>
    <row r="855" spans="10:11" x14ac:dyDescent="0.25">
      <c r="J855" s="164"/>
      <c r="K855" s="160"/>
    </row>
    <row r="856" spans="10:11" x14ac:dyDescent="0.25">
      <c r="J856" s="164"/>
      <c r="K856" s="160"/>
    </row>
    <row r="857" spans="10:11" x14ac:dyDescent="0.25">
      <c r="J857" s="164"/>
      <c r="K857" s="160"/>
    </row>
    <row r="858" spans="10:11" x14ac:dyDescent="0.25">
      <c r="J858" s="164"/>
      <c r="K858" s="160"/>
    </row>
    <row r="859" spans="10:11" x14ac:dyDescent="0.25">
      <c r="J859" s="164"/>
      <c r="K859" s="160"/>
    </row>
    <row r="860" spans="10:11" x14ac:dyDescent="0.25">
      <c r="J860" s="164"/>
      <c r="K860" s="160"/>
    </row>
    <row r="861" spans="10:11" x14ac:dyDescent="0.25">
      <c r="J861" s="164"/>
      <c r="K861" s="160"/>
    </row>
    <row r="862" spans="10:11" x14ac:dyDescent="0.25">
      <c r="J862" s="164"/>
      <c r="K862" s="160"/>
    </row>
    <row r="863" spans="10:11" x14ac:dyDescent="0.25">
      <c r="J863" s="164"/>
      <c r="K863" s="160"/>
    </row>
    <row r="864" spans="10:11" x14ac:dyDescent="0.25">
      <c r="J864" s="164"/>
      <c r="K864" s="160"/>
    </row>
    <row r="865" spans="10:11" x14ac:dyDescent="0.25">
      <c r="J865" s="164"/>
      <c r="K865" s="160"/>
    </row>
    <row r="866" spans="10:11" x14ac:dyDescent="0.25">
      <c r="J866" s="164"/>
      <c r="K866" s="160"/>
    </row>
    <row r="867" spans="10:11" x14ac:dyDescent="0.25">
      <c r="J867" s="164"/>
      <c r="K867" s="160"/>
    </row>
    <row r="868" spans="10:11" x14ac:dyDescent="0.25">
      <c r="J868" s="164"/>
      <c r="K868" s="160"/>
    </row>
    <row r="869" spans="10:11" x14ac:dyDescent="0.25">
      <c r="J869" s="164"/>
      <c r="K869" s="160"/>
    </row>
    <row r="870" spans="10:11" x14ac:dyDescent="0.25">
      <c r="J870" s="164"/>
      <c r="K870" s="160"/>
    </row>
    <row r="871" spans="10:11" x14ac:dyDescent="0.25">
      <c r="J871" s="164"/>
      <c r="K871" s="160"/>
    </row>
    <row r="872" spans="10:11" x14ac:dyDescent="0.25">
      <c r="J872" s="164"/>
      <c r="K872" s="160"/>
    </row>
    <row r="873" spans="10:11" x14ac:dyDescent="0.25">
      <c r="J873" s="164"/>
      <c r="K873" s="160"/>
    </row>
    <row r="874" spans="10:11" x14ac:dyDescent="0.25">
      <c r="J874" s="164"/>
      <c r="K874" s="160"/>
    </row>
    <row r="875" spans="10:11" x14ac:dyDescent="0.25">
      <c r="J875" s="164"/>
      <c r="K875" s="160"/>
    </row>
    <row r="876" spans="10:11" x14ac:dyDescent="0.25">
      <c r="J876" s="164"/>
      <c r="K876" s="160"/>
    </row>
    <row r="877" spans="10:11" x14ac:dyDescent="0.25">
      <c r="J877" s="164"/>
      <c r="K877" s="160"/>
    </row>
    <row r="878" spans="10:11" x14ac:dyDescent="0.25">
      <c r="J878" s="164"/>
      <c r="K878" s="160"/>
    </row>
    <row r="879" spans="10:11" x14ac:dyDescent="0.25">
      <c r="J879" s="164"/>
      <c r="K879" s="160"/>
    </row>
    <row r="880" spans="10:11" x14ac:dyDescent="0.25">
      <c r="J880" s="164"/>
      <c r="K880" s="160"/>
    </row>
    <row r="881" spans="10:11" x14ac:dyDescent="0.25">
      <c r="J881" s="164"/>
      <c r="K881" s="160"/>
    </row>
    <row r="882" spans="10:11" x14ac:dyDescent="0.25">
      <c r="J882" s="164"/>
      <c r="K882" s="160"/>
    </row>
    <row r="883" spans="10:11" x14ac:dyDescent="0.25">
      <c r="J883" s="164"/>
      <c r="K883" s="160"/>
    </row>
    <row r="884" spans="10:11" x14ac:dyDescent="0.25">
      <c r="J884" s="164"/>
      <c r="K884" s="160"/>
    </row>
    <row r="885" spans="10:11" x14ac:dyDescent="0.25">
      <c r="J885" s="164"/>
      <c r="K885" s="160"/>
    </row>
    <row r="886" spans="10:11" x14ac:dyDescent="0.25">
      <c r="J886" s="164"/>
      <c r="K886" s="160"/>
    </row>
    <row r="887" spans="10:11" x14ac:dyDescent="0.25">
      <c r="J887" s="164"/>
      <c r="K887" s="160"/>
    </row>
    <row r="888" spans="10:11" x14ac:dyDescent="0.25">
      <c r="J888" s="164"/>
      <c r="K888" s="160"/>
    </row>
    <row r="889" spans="10:11" x14ac:dyDescent="0.25">
      <c r="J889" s="164"/>
      <c r="K889" s="160"/>
    </row>
    <row r="890" spans="10:11" x14ac:dyDescent="0.25">
      <c r="J890" s="164"/>
      <c r="K890" s="160"/>
    </row>
    <row r="891" spans="10:11" x14ac:dyDescent="0.25">
      <c r="J891" s="164"/>
      <c r="K891" s="160"/>
    </row>
    <row r="892" spans="10:11" x14ac:dyDescent="0.25">
      <c r="J892" s="164"/>
      <c r="K892" s="160"/>
    </row>
    <row r="893" spans="10:11" x14ac:dyDescent="0.25">
      <c r="J893" s="164"/>
      <c r="K893" s="160"/>
    </row>
    <row r="894" spans="10:11" x14ac:dyDescent="0.25">
      <c r="J894" s="164"/>
      <c r="K894" s="160"/>
    </row>
    <row r="895" spans="10:11" x14ac:dyDescent="0.25">
      <c r="J895" s="164"/>
      <c r="K895" s="160"/>
    </row>
    <row r="896" spans="10:11" x14ac:dyDescent="0.25">
      <c r="J896" s="164"/>
      <c r="K896" s="160"/>
    </row>
    <row r="897" spans="10:11" x14ac:dyDescent="0.25">
      <c r="J897" s="164"/>
      <c r="K897" s="160"/>
    </row>
    <row r="898" spans="10:11" x14ac:dyDescent="0.25">
      <c r="J898" s="164"/>
      <c r="K898" s="160"/>
    </row>
    <row r="899" spans="10:11" x14ac:dyDescent="0.25">
      <c r="J899" s="164"/>
      <c r="K899" s="160"/>
    </row>
    <row r="900" spans="10:11" x14ac:dyDescent="0.25">
      <c r="J900" s="164"/>
      <c r="K900" s="160"/>
    </row>
    <row r="901" spans="10:11" x14ac:dyDescent="0.25">
      <c r="J901" s="164"/>
      <c r="K901" s="160"/>
    </row>
    <row r="902" spans="10:11" x14ac:dyDescent="0.25">
      <c r="J902" s="164"/>
      <c r="K902" s="160"/>
    </row>
    <row r="903" spans="10:11" x14ac:dyDescent="0.25">
      <c r="J903" s="164"/>
      <c r="K903" s="160"/>
    </row>
    <row r="904" spans="10:11" x14ac:dyDescent="0.25">
      <c r="J904" s="164"/>
      <c r="K904" s="160"/>
    </row>
    <row r="905" spans="10:11" x14ac:dyDescent="0.25">
      <c r="J905" s="164"/>
      <c r="K905" s="160"/>
    </row>
    <row r="906" spans="10:11" x14ac:dyDescent="0.25">
      <c r="J906" s="164"/>
      <c r="K906" s="160"/>
    </row>
    <row r="907" spans="10:11" x14ac:dyDescent="0.25">
      <c r="J907" s="164"/>
      <c r="K907" s="160"/>
    </row>
    <row r="908" spans="10:11" x14ac:dyDescent="0.25">
      <c r="J908" s="164"/>
      <c r="K908" s="160"/>
    </row>
    <row r="909" spans="10:11" x14ac:dyDescent="0.25">
      <c r="J909" s="164"/>
      <c r="K909" s="160"/>
    </row>
    <row r="910" spans="10:11" x14ac:dyDescent="0.25">
      <c r="J910" s="164"/>
      <c r="K910" s="160"/>
    </row>
    <row r="911" spans="10:11" x14ac:dyDescent="0.25">
      <c r="J911" s="164"/>
      <c r="K911" s="160"/>
    </row>
    <row r="912" spans="10:11" x14ac:dyDescent="0.25">
      <c r="J912" s="164"/>
      <c r="K912" s="160"/>
    </row>
    <row r="913" spans="10:11" x14ac:dyDescent="0.25">
      <c r="J913" s="164"/>
      <c r="K913" s="160"/>
    </row>
    <row r="914" spans="10:11" x14ac:dyDescent="0.25">
      <c r="J914" s="164"/>
      <c r="K914" s="160"/>
    </row>
    <row r="915" spans="10:11" x14ac:dyDescent="0.25">
      <c r="J915" s="164"/>
      <c r="K915" s="160"/>
    </row>
  </sheetData>
  <mergeCells count="5">
    <mergeCell ref="G2:H2"/>
    <mergeCell ref="J2:K2"/>
    <mergeCell ref="D2:E2"/>
    <mergeCell ref="A2:B2"/>
    <mergeCell ref="A1:K1"/>
  </mergeCells>
  <pageMargins left="0.511811024" right="0.511811024" top="0.78740157499999996" bottom="0.78740157499999996" header="0.31496062000000002" footer="0.31496062000000002"/>
  <pageSetup paperSize="9" orientation="portrait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64"/>
  <sheetViews>
    <sheetView workbookViewId="0">
      <selection activeCell="A31" sqref="A31"/>
    </sheetView>
  </sheetViews>
  <sheetFormatPr defaultColWidth="9.140625" defaultRowHeight="15" x14ac:dyDescent="0.25"/>
  <cols>
    <col min="1" max="1" width="12.5703125" style="47" bestFit="1" customWidth="1"/>
    <col min="2" max="2" width="45.5703125" style="46" customWidth="1"/>
    <col min="3" max="3" width="18" style="46" bestFit="1" customWidth="1"/>
    <col min="4" max="4" width="13.140625" style="46" bestFit="1" customWidth="1"/>
    <col min="5" max="6" width="18.7109375" style="46" bestFit="1" customWidth="1"/>
    <col min="7" max="7" width="13.28515625" style="114" bestFit="1" customWidth="1"/>
    <col min="8" max="8" width="9.140625" style="46" customWidth="1"/>
    <col min="9" max="9" width="11.5703125" style="46" customWidth="1"/>
    <col min="10" max="10" width="10" style="46" bestFit="1" customWidth="1"/>
    <col min="11" max="12" width="11.42578125" style="46" customWidth="1"/>
    <col min="13" max="14" width="11.85546875" style="46" bestFit="1" customWidth="1"/>
    <col min="15" max="15" width="9.140625" style="46"/>
    <col min="16" max="16" width="14.42578125" style="46" bestFit="1" customWidth="1"/>
    <col min="17" max="17" width="63.28515625" style="46" customWidth="1"/>
    <col min="18" max="18" width="2.42578125" style="46" customWidth="1"/>
    <col min="19" max="16384" width="9.140625" style="46"/>
  </cols>
  <sheetData>
    <row r="1" spans="1:18" s="22" customFormat="1" ht="30" x14ac:dyDescent="0.25">
      <c r="A1" s="55" t="s">
        <v>0</v>
      </c>
      <c r="B1" s="56" t="s">
        <v>2</v>
      </c>
      <c r="C1" s="56" t="s">
        <v>1726</v>
      </c>
      <c r="D1" s="56" t="s">
        <v>3</v>
      </c>
      <c r="E1" s="56" t="s">
        <v>4</v>
      </c>
      <c r="F1" s="56" t="s">
        <v>2821</v>
      </c>
      <c r="G1" s="112" t="s">
        <v>2826</v>
      </c>
      <c r="H1" s="56" t="s">
        <v>1648</v>
      </c>
      <c r="I1" s="57" t="s">
        <v>2825</v>
      </c>
      <c r="J1" s="58" t="s">
        <v>1</v>
      </c>
      <c r="K1" s="59" t="s">
        <v>2822</v>
      </c>
      <c r="L1" s="59" t="s">
        <v>2848</v>
      </c>
      <c r="M1" s="60" t="s">
        <v>2823</v>
      </c>
      <c r="N1" s="60" t="s">
        <v>2824</v>
      </c>
      <c r="P1"/>
      <c r="Q1"/>
      <c r="R1" s="61"/>
    </row>
    <row r="2" spans="1:18" x14ac:dyDescent="0.25">
      <c r="A2" s="116" t="s">
        <v>1655</v>
      </c>
      <c r="B2" s="117" t="e">
        <f>VLOOKUP(Importação[[#This Row],[Código]],BD_Produto[#All],6,FALSE)</f>
        <v>#N/A</v>
      </c>
      <c r="C2" s="117" t="s">
        <v>1655</v>
      </c>
      <c r="D2" s="117" t="s">
        <v>1655</v>
      </c>
      <c r="E2" s="117" t="s">
        <v>1655</v>
      </c>
      <c r="F2" s="118"/>
      <c r="G2" s="123" t="s">
        <v>1655</v>
      </c>
      <c r="H2" s="119" t="s">
        <v>1655</v>
      </c>
      <c r="I2" s="120" t="s">
        <v>1655</v>
      </c>
      <c r="J2" s="124" t="s">
        <v>2874</v>
      </c>
      <c r="K2" s="121" t="s">
        <v>1655</v>
      </c>
      <c r="L2" s="151" t="s">
        <v>1655</v>
      </c>
      <c r="M2" s="122" t="s">
        <v>1655</v>
      </c>
      <c r="N2" s="122" t="s">
        <v>3064</v>
      </c>
      <c r="P2" s="52" t="s">
        <v>1</v>
      </c>
      <c r="Q2" s="168" t="s">
        <v>3086</v>
      </c>
      <c r="R2"/>
    </row>
    <row r="3" spans="1:18" x14ac:dyDescent="0.25">
      <c r="A3" s="47">
        <v>11061224034</v>
      </c>
      <c r="B3" s="64" t="str">
        <f>VLOOKUP(Importação[[#This Row],[Código]],BD_Produto[#All],6,FALSE)</f>
        <v>MP-PAPEL VEGETAL SCHOELLER, A4 210 x 297 mm, 92-95 g/m²</v>
      </c>
      <c r="C3" s="64" t="str">
        <f>VLOOKUP(Importação[[#This Row],[Código]],BD_Produto[#All],2,FALSE)</f>
        <v>Vegetal - Schoeller</v>
      </c>
      <c r="D3" s="64" t="str">
        <f>VLOOKUP(Importação[[#This Row],[Código]],BD_Produto[#All],3,FALSE)</f>
        <v>90-95 g/m²</v>
      </c>
      <c r="E3" s="64" t="str">
        <f>VLOOKUP(Importação[[#This Row],[Código]],BD_Produto[#All],4,FALSE)</f>
        <v>A4 210 x 297 mm</v>
      </c>
      <c r="F3" s="51"/>
      <c r="G3" s="113"/>
      <c r="I3" s="48">
        <v>42327</v>
      </c>
      <c r="J3" s="49" t="s">
        <v>2828</v>
      </c>
      <c r="K3" s="80">
        <v>42450</v>
      </c>
      <c r="L3" s="48"/>
      <c r="M3" s="50"/>
      <c r="N3" s="50">
        <v>42450</v>
      </c>
      <c r="P3"/>
      <c r="Q3"/>
      <c r="R3"/>
    </row>
    <row r="4" spans="1:18" x14ac:dyDescent="0.25">
      <c r="A4" s="47">
        <v>11061224035</v>
      </c>
      <c r="B4" s="64" t="str">
        <f>VLOOKUP(Importação[[#This Row],[Código]],BD_Produto[#All],6,FALSE)</f>
        <v>MP-PAPEL VEGETAL SCHOELLER 92/95 GR LEGAL (216X355MM)FOLHAS</v>
      </c>
      <c r="C4" s="64" t="str">
        <f>VLOOKUP(Importação[[#This Row],[Código]],BD_Produto[#All],2,FALSE)</f>
        <v>Vegetal - Schoeller</v>
      </c>
      <c r="D4" s="64" t="str">
        <f>VLOOKUP(Importação[[#This Row],[Código]],BD_Produto[#All],3,FALSE)</f>
        <v>90-95 g/m²</v>
      </c>
      <c r="E4" s="64" t="str">
        <f>VLOOKUP(Importação[[#This Row],[Código]],BD_Produto[#All],4,FALSE)</f>
        <v>LEGAL 216 x 355 mm</v>
      </c>
      <c r="F4" s="51"/>
      <c r="G4" s="113"/>
      <c r="I4" s="48">
        <v>42327</v>
      </c>
      <c r="J4" s="49" t="s">
        <v>2828</v>
      </c>
      <c r="K4" s="80">
        <v>42450</v>
      </c>
      <c r="L4" s="48"/>
      <c r="M4" s="50"/>
      <c r="N4" s="50">
        <v>42450</v>
      </c>
      <c r="P4" s="52" t="s">
        <v>0</v>
      </c>
      <c r="Q4" s="52" t="s">
        <v>2</v>
      </c>
      <c r="R4" t="s">
        <v>851</v>
      </c>
    </row>
    <row r="5" spans="1:18" x14ac:dyDescent="0.25">
      <c r="A5" s="47">
        <v>11061224037</v>
      </c>
      <c r="B5" s="64" t="str">
        <f>VLOOKUP(Importação[[#This Row],[Código]],BD_Produto[#All],6,FALSE)</f>
        <v>MP-PAPEL VEGETAL SCHOELLER, A3 297 x 420 mm, 90-95 g/m²</v>
      </c>
      <c r="C5" s="64" t="str">
        <f>VLOOKUP(Importação[[#This Row],[Código]],BD_Produto[#All],2,FALSE)</f>
        <v>Vegetal - Schoeller</v>
      </c>
      <c r="D5" s="64" t="str">
        <f>VLOOKUP(Importação[[#This Row],[Código]],BD_Produto[#All],3,FALSE)</f>
        <v>90-95 g/m²</v>
      </c>
      <c r="E5" s="64" t="str">
        <f>VLOOKUP(Importação[[#This Row],[Código]],BD_Produto[#All],4,FALSE)</f>
        <v>A3 297 x 420 mm</v>
      </c>
      <c r="F5" s="51"/>
      <c r="G5" s="113"/>
      <c r="I5" s="48">
        <v>42327</v>
      </c>
      <c r="J5" s="49" t="s">
        <v>2828</v>
      </c>
      <c r="K5" s="80">
        <v>42450</v>
      </c>
      <c r="L5" s="48"/>
      <c r="M5" s="50"/>
      <c r="N5" s="50">
        <v>42450</v>
      </c>
      <c r="P5" s="54">
        <v>11061224034</v>
      </c>
      <c r="Q5" s="168" t="s">
        <v>2829</v>
      </c>
      <c r="R5" s="53"/>
    </row>
    <row r="6" spans="1:18" x14ac:dyDescent="0.25">
      <c r="A6" s="47">
        <v>11061224037</v>
      </c>
      <c r="B6" s="46" t="str">
        <f>VLOOKUP(Importação[[#This Row],[Código]],BD_Produto[#All],6,FALSE)</f>
        <v>MP-PAPEL VEGETAL SCHOELLER, A3 297 x 420 mm, 90-95 g/m²</v>
      </c>
      <c r="C6" s="46" t="str">
        <f>VLOOKUP(Importação[[#This Row],[Código]],BD_Produto[#All],2,FALSE)</f>
        <v>Vegetal - Schoeller</v>
      </c>
      <c r="D6" s="46" t="str">
        <f>VLOOKUP(Importação[[#This Row],[Código]],BD_Produto[#All],3,FALSE)</f>
        <v>90-95 g/m²</v>
      </c>
      <c r="E6" s="46" t="str">
        <f>VLOOKUP(Importação[[#This Row],[Código]],BD_Produto[#All],4,FALSE)</f>
        <v>A3 297 x 420 mm</v>
      </c>
      <c r="F6" s="51"/>
      <c r="G6" s="113"/>
      <c r="I6" s="48">
        <v>42327</v>
      </c>
      <c r="J6" s="49" t="s">
        <v>2828</v>
      </c>
      <c r="K6" s="80">
        <v>42133</v>
      </c>
      <c r="L6" s="48"/>
      <c r="M6" s="50">
        <v>42430</v>
      </c>
      <c r="N6" s="50">
        <v>42489</v>
      </c>
      <c r="P6" s="54">
        <v>11061224035</v>
      </c>
      <c r="Q6" s="168" t="s">
        <v>2830</v>
      </c>
      <c r="R6" s="53"/>
    </row>
    <row r="7" spans="1:18" x14ac:dyDescent="0.25">
      <c r="A7" s="47">
        <v>11061224044</v>
      </c>
      <c r="B7" s="46" t="str">
        <f>VLOOKUP(Importação[[#This Row],[Código]],BD_Produto[#All],6,FALSE)</f>
        <v>MP-PAPEL VEGETAL SCHOELLER 60/65GR - A3 (297X420 MM)-FOLHAS</v>
      </c>
      <c r="C7" s="46" t="str">
        <f>VLOOKUP(Importação[[#This Row],[Código]],BD_Produto[#All],2,FALSE)</f>
        <v>Vegetal - Schoeller</v>
      </c>
      <c r="D7" s="46" t="str">
        <f>VLOOKUP(Importação[[#This Row],[Código]],BD_Produto[#All],3,FALSE)</f>
        <v>60-65 g/m²</v>
      </c>
      <c r="E7" s="46" t="str">
        <f>VLOOKUP(Importação[[#This Row],[Código]],BD_Produto[#All],4,FALSE)</f>
        <v>A3 297 x 420 mm</v>
      </c>
      <c r="F7" s="51"/>
      <c r="G7" s="113"/>
      <c r="I7" s="48">
        <v>42327</v>
      </c>
      <c r="J7" s="49" t="s">
        <v>2828</v>
      </c>
      <c r="K7" s="80">
        <v>42133</v>
      </c>
      <c r="L7" s="48"/>
      <c r="M7" s="50">
        <v>42430</v>
      </c>
      <c r="N7" s="50">
        <v>42489</v>
      </c>
      <c r="P7" s="54">
        <v>11061224037</v>
      </c>
      <c r="Q7" s="168" t="s">
        <v>44</v>
      </c>
      <c r="R7" s="53"/>
    </row>
    <row r="8" spans="1:18" x14ac:dyDescent="0.25">
      <c r="A8" s="47">
        <v>11061224034</v>
      </c>
      <c r="B8" s="46" t="str">
        <f>VLOOKUP(Importação[[#This Row],[Código]],BD_Produto[#All],6,FALSE)</f>
        <v>MP-PAPEL VEGETAL SCHOELLER, A4 210 x 297 mm, 92-95 g/m²</v>
      </c>
      <c r="C8" s="46" t="str">
        <f>VLOOKUP(Importação[[#This Row],[Código]],BD_Produto[#All],2,FALSE)</f>
        <v>Vegetal - Schoeller</v>
      </c>
      <c r="D8" s="46" t="str">
        <f>VLOOKUP(Importação[[#This Row],[Código]],BD_Produto[#All],3,FALSE)</f>
        <v>90-95 g/m²</v>
      </c>
      <c r="E8" s="46" t="str">
        <f>VLOOKUP(Importação[[#This Row],[Código]],BD_Produto[#All],4,FALSE)</f>
        <v>A4 210 x 297 mm</v>
      </c>
      <c r="F8" s="51"/>
      <c r="G8" s="113"/>
      <c r="I8" s="48">
        <v>42327</v>
      </c>
      <c r="J8" s="49" t="s">
        <v>2828</v>
      </c>
      <c r="K8" s="80">
        <v>42327</v>
      </c>
      <c r="L8" s="48"/>
      <c r="M8" s="50">
        <v>42430</v>
      </c>
      <c r="N8" s="50">
        <v>42471</v>
      </c>
      <c r="P8" s="157">
        <v>11061224043</v>
      </c>
      <c r="Q8" s="168" t="s">
        <v>2831</v>
      </c>
      <c r="R8" s="53"/>
    </row>
    <row r="9" spans="1:18" x14ac:dyDescent="0.25">
      <c r="A9" s="47">
        <v>11061224035</v>
      </c>
      <c r="B9" s="46" t="str">
        <f>VLOOKUP(Importação[[#This Row],[Código]],BD_Produto[#All],6,FALSE)</f>
        <v>MP-PAPEL VEGETAL SCHOELLER 92/95 GR LEGAL (216X355MM)FOLHAS</v>
      </c>
      <c r="C9" s="46" t="str">
        <f>VLOOKUP(Importação[[#This Row],[Código]],BD_Produto[#All],2,FALSE)</f>
        <v>Vegetal - Schoeller</v>
      </c>
      <c r="D9" s="46" t="str">
        <f>VLOOKUP(Importação[[#This Row],[Código]],BD_Produto[#All],3,FALSE)</f>
        <v>90-95 g/m²</v>
      </c>
      <c r="E9" s="46" t="str">
        <f>VLOOKUP(Importação[[#This Row],[Código]],BD_Produto[#All],4,FALSE)</f>
        <v>LEGAL 216 x 355 mm</v>
      </c>
      <c r="F9" s="51"/>
      <c r="G9" s="113"/>
      <c r="I9" s="48">
        <v>42327</v>
      </c>
      <c r="J9" s="49" t="s">
        <v>2828</v>
      </c>
      <c r="K9" s="80">
        <v>42327</v>
      </c>
      <c r="L9" s="48"/>
      <c r="M9" s="50">
        <v>42430</v>
      </c>
      <c r="N9" s="50">
        <v>42471</v>
      </c>
      <c r="P9" s="157">
        <v>11061224044</v>
      </c>
      <c r="Q9" s="1" t="s">
        <v>46</v>
      </c>
      <c r="R9" s="53"/>
    </row>
    <row r="10" spans="1:18" x14ac:dyDescent="0.25">
      <c r="A10" s="47">
        <v>11061224043</v>
      </c>
      <c r="B10" s="46" t="str">
        <f>VLOOKUP(Importação[[#This Row],[Código]],BD_Produto[#All],6,FALSE)</f>
        <v>MP-PAPEL VEGETAL SCHOELLER 62/65GR- A4 (210X297 MM )FOLHAS</v>
      </c>
      <c r="C10" s="46" t="str">
        <f>VLOOKUP(Importação[[#This Row],[Código]],BD_Produto[#All],2,FALSE)</f>
        <v>Vegetal - Schoeller</v>
      </c>
      <c r="D10" s="46" t="str">
        <f>VLOOKUP(Importação[[#This Row],[Código]],BD_Produto[#All],3,FALSE)</f>
        <v>60-65 g/m²</v>
      </c>
      <c r="E10" s="46" t="str">
        <f>VLOOKUP(Importação[[#This Row],[Código]],BD_Produto[#All],4,FALSE)</f>
        <v>A4 210 x 297 mm</v>
      </c>
      <c r="F10" s="51"/>
      <c r="G10" s="113"/>
      <c r="I10" s="48">
        <v>42327</v>
      </c>
      <c r="J10" s="49" t="s">
        <v>2828</v>
      </c>
      <c r="K10" s="80">
        <v>42327</v>
      </c>
      <c r="L10" s="48"/>
      <c r="M10" s="50">
        <v>42430</v>
      </c>
      <c r="N10" s="50">
        <v>42471</v>
      </c>
      <c r="P10" s="54">
        <v>33070654135</v>
      </c>
      <c r="Q10" s="168" t="s">
        <v>668</v>
      </c>
      <c r="R10" s="53"/>
    </row>
    <row r="11" spans="1:18" x14ac:dyDescent="0.25">
      <c r="A11" s="47">
        <v>33070654135</v>
      </c>
      <c r="B11" s="64" t="str">
        <f>VLOOKUP(Importação[[#This Row],[Código]],BD_Produto[#All],6,FALSE)</f>
        <v>OLFA, ESTOJO DE LÂMINAS RSKB-2 - KIT COM 5</v>
      </c>
      <c r="C11" s="64" t="str">
        <f>VLOOKUP(Importação[[#This Row],[Código]],BD_Produto[#All],2,FALSE)</f>
        <v>Olfa</v>
      </c>
      <c r="D11" s="64" t="str">
        <f>VLOOKUP(Importação[[#This Row],[Código]],BD_Produto[#All],3,FALSE)</f>
        <v>Estojo de Lâminas</v>
      </c>
      <c r="E11" s="64" t="str">
        <f>VLOOKUP(Importação[[#This Row],[Código]],BD_Produto[#All],4,FALSE)</f>
        <v>Segurança</v>
      </c>
      <c r="F11" s="51"/>
      <c r="I11" s="48">
        <v>42133</v>
      </c>
      <c r="J11" s="49" t="s">
        <v>2828</v>
      </c>
      <c r="K11" s="80">
        <v>42133</v>
      </c>
      <c r="L11" s="80">
        <v>42133</v>
      </c>
      <c r="M11" s="50">
        <v>42558</v>
      </c>
      <c r="N11" s="50">
        <v>42604</v>
      </c>
      <c r="P11" s="54">
        <v>33070663218</v>
      </c>
      <c r="Q11" s="168" t="s">
        <v>684</v>
      </c>
      <c r="R11" s="53"/>
    </row>
    <row r="12" spans="1:18" x14ac:dyDescent="0.25">
      <c r="A12" s="47">
        <v>33070663218</v>
      </c>
      <c r="B12" s="64" t="str">
        <f>VLOOKUP(Importação[[#This Row],[Código]],BD_Produto[#All],6,FALSE)</f>
        <v>OLFA, ESTILETE DE SEGURANÇA SK-10</v>
      </c>
      <c r="C12" s="64" t="str">
        <f>VLOOKUP(Importação[[#This Row],[Código]],BD_Produto[#All],2,FALSE)</f>
        <v>Olfa</v>
      </c>
      <c r="D12" s="64" t="str">
        <f>VLOOKUP(Importação[[#This Row],[Código]],BD_Produto[#All],3,FALSE)</f>
        <v>Estilete de Segurança</v>
      </c>
      <c r="E12" s="64" t="str">
        <f>VLOOKUP(Importação[[#This Row],[Código]],BD_Produto[#All],4,FALSE)</f>
        <v>Segurança</v>
      </c>
      <c r="F12" s="51"/>
      <c r="I12" s="48">
        <v>42133</v>
      </c>
      <c r="J12" s="49" t="s">
        <v>2828</v>
      </c>
      <c r="K12" s="80">
        <v>42133</v>
      </c>
      <c r="L12" s="80">
        <v>42133</v>
      </c>
      <c r="M12" s="50">
        <v>42558</v>
      </c>
      <c r="N12" s="50">
        <v>42604</v>
      </c>
      <c r="P12" s="54">
        <v>33070664309</v>
      </c>
      <c r="Q12" s="168" t="s">
        <v>709</v>
      </c>
      <c r="R12" s="53"/>
    </row>
    <row r="13" spans="1:18" x14ac:dyDescent="0.25">
      <c r="A13" s="47">
        <v>33070664309</v>
      </c>
      <c r="B13" s="64" t="str">
        <f>VLOOKUP(Importação[[#This Row],[Código]],BD_Produto[#All],6,FALSE)</f>
        <v>OLFA, ESTILETE DE SEGURANÇA SK-6</v>
      </c>
      <c r="C13" s="64" t="str">
        <f>VLOOKUP(Importação[[#This Row],[Código]],BD_Produto[#All],2,FALSE)</f>
        <v>Olfa</v>
      </c>
      <c r="D13" s="64" t="str">
        <f>VLOOKUP(Importação[[#This Row],[Código]],BD_Produto[#All],3,FALSE)</f>
        <v>Estilete de Segurança</v>
      </c>
      <c r="E13" s="64" t="str">
        <f>VLOOKUP(Importação[[#This Row],[Código]],BD_Produto[#All],4,FALSE)</f>
        <v>Segurança</v>
      </c>
      <c r="F13" s="51"/>
      <c r="I13" s="48">
        <v>42133</v>
      </c>
      <c r="J13" s="49" t="s">
        <v>2828</v>
      </c>
      <c r="K13" s="80">
        <v>42133</v>
      </c>
      <c r="L13" s="80">
        <v>42133</v>
      </c>
      <c r="M13" s="50">
        <v>42558</v>
      </c>
      <c r="N13" s="50">
        <v>42604</v>
      </c>
      <c r="P13" s="54">
        <v>33070614813</v>
      </c>
      <c r="Q13" s="168" t="s">
        <v>644</v>
      </c>
      <c r="R13" s="53"/>
    </row>
    <row r="14" spans="1:18" x14ac:dyDescent="0.25">
      <c r="A14" s="47">
        <v>33070614813</v>
      </c>
      <c r="B14" s="64" t="str">
        <f>VLOOKUP(Importação[[#This Row],[Código]],BD_Produto[#All],6,FALSE)</f>
        <v>OLFA, BASE DE CORTE MULTIUSO CM-A2 - 60X43CM - 24"X17"</v>
      </c>
      <c r="C14" s="64" t="str">
        <f>VLOOKUP(Importação[[#This Row],[Código]],BD_Produto[#All],2,FALSE)</f>
        <v>Olfa</v>
      </c>
      <c r="D14" s="64" t="str">
        <f>VLOOKUP(Importação[[#This Row],[Código]],BD_Produto[#All],3,FALSE)</f>
        <v>Base de Corte</v>
      </c>
      <c r="E14" s="64" t="str">
        <f>VLOOKUP(Importação[[#This Row],[Código]],BD_Produto[#All],4,FALSE)</f>
        <v>Multiuso</v>
      </c>
      <c r="F14" s="51"/>
      <c r="I14" s="48">
        <v>42133</v>
      </c>
      <c r="J14" s="49" t="s">
        <v>2828</v>
      </c>
      <c r="K14" s="80">
        <v>42133</v>
      </c>
      <c r="L14" s="80">
        <v>42133</v>
      </c>
      <c r="M14" s="50">
        <v>42558</v>
      </c>
      <c r="N14" s="50">
        <v>42604</v>
      </c>
      <c r="P14" s="54">
        <v>33070663175</v>
      </c>
      <c r="Q14" s="168" t="s">
        <v>682</v>
      </c>
      <c r="R14" s="53"/>
    </row>
    <row r="15" spans="1:18" x14ac:dyDescent="0.25">
      <c r="A15" s="47">
        <v>33070663175</v>
      </c>
      <c r="B15" s="64" t="str">
        <f>VLOOKUP(Importação[[#This Row],[Código]],BD_Produto[#All],6,FALSE)</f>
        <v>OLFA, ESTILETE ESPECIAL PC-S</v>
      </c>
      <c r="C15" s="64" t="str">
        <f>VLOOKUP(Importação[[#This Row],[Código]],BD_Produto[#All],2,FALSE)</f>
        <v>Olfa</v>
      </c>
      <c r="D15" s="64" t="str">
        <f>VLOOKUP(Importação[[#This Row],[Código]],BD_Produto[#All],3,FALSE)</f>
        <v>Estilete Especial</v>
      </c>
      <c r="E15" s="64" t="str">
        <f>VLOOKUP(Importação[[#This Row],[Código]],BD_Produto[#All],4,FALSE)</f>
        <v>Especial</v>
      </c>
      <c r="F15" s="51"/>
      <c r="I15" s="48">
        <v>42133</v>
      </c>
      <c r="J15" s="49" t="s">
        <v>2828</v>
      </c>
      <c r="K15" s="80">
        <v>42133</v>
      </c>
      <c r="L15" s="80">
        <v>42133</v>
      </c>
      <c r="M15" s="50">
        <v>42558</v>
      </c>
      <c r="N15" s="50">
        <v>42604</v>
      </c>
      <c r="P15" s="54">
        <v>33070661635</v>
      </c>
      <c r="Q15" s="168" t="s">
        <v>677</v>
      </c>
      <c r="R15" s="53"/>
    </row>
    <row r="16" spans="1:18" x14ac:dyDescent="0.25">
      <c r="A16" s="47">
        <v>33070661635</v>
      </c>
      <c r="B16" s="64" t="str">
        <f>VLOOKUP(Importação[[#This Row],[Código]],BD_Produto[#All],6,FALSE)</f>
        <v>OLFA, ESTILETE MÉDIO MT-1</v>
      </c>
      <c r="C16" s="64" t="str">
        <f>VLOOKUP(Importação[[#This Row],[Código]],BD_Produto[#All],2,FALSE)</f>
        <v>Olfa</v>
      </c>
      <c r="D16" s="64" t="str">
        <f>VLOOKUP(Importação[[#This Row],[Código]],BD_Produto[#All],3,FALSE)</f>
        <v>Estilete Multiuso</v>
      </c>
      <c r="E16" s="64" t="str">
        <f>VLOOKUP(Importação[[#This Row],[Código]],BD_Produto[#All],4,FALSE)</f>
        <v>Multiuso</v>
      </c>
      <c r="F16" s="51"/>
      <c r="I16" s="48">
        <v>42133</v>
      </c>
      <c r="J16" s="49" t="s">
        <v>2828</v>
      </c>
      <c r="K16" s="80">
        <v>42133</v>
      </c>
      <c r="L16" s="80">
        <v>42133</v>
      </c>
      <c r="M16" s="50">
        <v>42558</v>
      </c>
      <c r="N16" s="50">
        <v>42604</v>
      </c>
      <c r="P16" s="54">
        <v>33070614831</v>
      </c>
      <c r="Q16" s="168" t="s">
        <v>648</v>
      </c>
      <c r="R16" s="53"/>
    </row>
    <row r="17" spans="1:18" x14ac:dyDescent="0.25">
      <c r="A17" s="47">
        <v>33070614831</v>
      </c>
      <c r="B17" s="64" t="str">
        <f>VLOOKUP(Importação[[#This Row],[Código]],BD_Produto[#All],6,FALSE)</f>
        <v>OLFA, ESTILETE ESPECIAL AK-1/5B</v>
      </c>
      <c r="C17" s="64" t="str">
        <f>VLOOKUP(Importação[[#This Row],[Código]],BD_Produto[#All],2,FALSE)</f>
        <v>Olfa</v>
      </c>
      <c r="D17" s="64" t="str">
        <f>VLOOKUP(Importação[[#This Row],[Código]],BD_Produto[#All],3,FALSE)</f>
        <v>Estilete Especial</v>
      </c>
      <c r="E17" s="64" t="str">
        <f>VLOOKUP(Importação[[#This Row],[Código]],BD_Produto[#All],4,FALSE)</f>
        <v>Especial</v>
      </c>
      <c r="F17" s="51"/>
      <c r="I17" s="48">
        <v>42133</v>
      </c>
      <c r="J17" s="49" t="s">
        <v>2828</v>
      </c>
      <c r="K17" s="80">
        <v>42133</v>
      </c>
      <c r="L17" s="80">
        <v>42133</v>
      </c>
      <c r="M17" s="50">
        <v>42558</v>
      </c>
      <c r="N17" s="50">
        <v>42604</v>
      </c>
      <c r="P17" s="54">
        <v>33070614830</v>
      </c>
      <c r="Q17" s="168" t="s">
        <v>647</v>
      </c>
      <c r="R17" s="53"/>
    </row>
    <row r="18" spans="1:18" x14ac:dyDescent="0.25">
      <c r="A18" s="47">
        <v>33070614830</v>
      </c>
      <c r="B18" s="64" t="str">
        <f>VLOOKUP(Importação[[#This Row],[Código]],BD_Produto[#All],6,FALSE)</f>
        <v>OLFA, BASE DE CORTE MULTIUSO CM-A3 - 43X30CM - 17"X12"</v>
      </c>
      <c r="C18" s="64" t="str">
        <f>VLOOKUP(Importação[[#This Row],[Código]],BD_Produto[#All],2,FALSE)</f>
        <v>Olfa</v>
      </c>
      <c r="D18" s="64" t="str">
        <f>VLOOKUP(Importação[[#This Row],[Código]],BD_Produto[#All],3,FALSE)</f>
        <v>Base de Corte</v>
      </c>
      <c r="E18" s="64" t="str">
        <f>VLOOKUP(Importação[[#This Row],[Código]],BD_Produto[#All],4,FALSE)</f>
        <v>Multiuso</v>
      </c>
      <c r="F18" s="51"/>
      <c r="I18" s="48">
        <v>42133</v>
      </c>
      <c r="J18" s="49" t="s">
        <v>2828</v>
      </c>
      <c r="K18" s="80">
        <v>42133</v>
      </c>
      <c r="L18" s="80">
        <v>42133</v>
      </c>
      <c r="M18" s="50">
        <v>42558</v>
      </c>
      <c r="N18" s="50">
        <v>42604</v>
      </c>
      <c r="P18" s="54">
        <v>33070665222</v>
      </c>
      <c r="Q18" s="168" t="s">
        <v>3035</v>
      </c>
      <c r="R18" s="53"/>
    </row>
    <row r="19" spans="1:18" x14ac:dyDescent="0.25">
      <c r="A19" s="47">
        <v>33070665222</v>
      </c>
      <c r="B19" s="64" t="str">
        <f>VLOOKUP(Importação[[#This Row],[Código]],BD_Produto[#All],6,FALSE)</f>
        <v>OLFA, ESTOJO DE LÂMINAS LB-50 - KIT COM 50</v>
      </c>
      <c r="C19" s="64" t="str">
        <f>VLOOKUP(Importação[[#This Row],[Código]],BD_Produto[#All],2,FALSE)</f>
        <v>Olfa</v>
      </c>
      <c r="D19" s="64" t="s">
        <v>1650</v>
      </c>
      <c r="E19" s="64" t="s">
        <v>2182</v>
      </c>
      <c r="F19" s="51"/>
      <c r="I19" s="48">
        <v>42133</v>
      </c>
      <c r="J19" s="49" t="s">
        <v>2828</v>
      </c>
      <c r="K19" s="80">
        <v>42133</v>
      </c>
      <c r="L19" s="80">
        <v>42133</v>
      </c>
      <c r="M19" s="50">
        <v>42558</v>
      </c>
      <c r="N19" s="50">
        <v>42604</v>
      </c>
      <c r="P19" s="54">
        <v>33070663727</v>
      </c>
      <c r="Q19" s="168" t="s">
        <v>1245</v>
      </c>
      <c r="R19" s="53"/>
    </row>
    <row r="20" spans="1:18" x14ac:dyDescent="0.25">
      <c r="A20" s="47">
        <v>33070663727</v>
      </c>
      <c r="B20" s="64" t="str">
        <f>VLOOKUP(Importação[[#This Row],[Código]],BD_Produto[#All],6,FALSE)</f>
        <v>OLFA, ESTOJO DE LÂMINAS LB-10B - KIT COM 10</v>
      </c>
      <c r="C20" s="64" t="str">
        <f>VLOOKUP(Importação[[#This Row],[Código]],BD_Produto[#All],2,FALSE)</f>
        <v>Olfa</v>
      </c>
      <c r="D20" s="64" t="str">
        <f>VLOOKUP(Importação[[#This Row],[Código]],BD_Produto[#All],3,FALSE)</f>
        <v>Estojo de Lâminas</v>
      </c>
      <c r="E20" s="64" t="str">
        <f>VLOOKUP(Importação[[#This Row],[Código]],BD_Produto[#All],4,FALSE)</f>
        <v>Heavy Duty</v>
      </c>
      <c r="F20" s="51"/>
      <c r="G20" s="113"/>
      <c r="I20" s="48">
        <v>42591</v>
      </c>
      <c r="J20" s="49" t="s">
        <v>2828</v>
      </c>
      <c r="K20" s="80">
        <v>42597</v>
      </c>
      <c r="L20" s="80">
        <v>42597</v>
      </c>
      <c r="M20" s="50"/>
      <c r="N20" s="115">
        <v>42705</v>
      </c>
      <c r="P20" s="54">
        <v>33070614744</v>
      </c>
      <c r="Q20" s="168" t="s">
        <v>627</v>
      </c>
      <c r="R20" s="53"/>
    </row>
    <row r="21" spans="1:18" x14ac:dyDescent="0.25">
      <c r="A21" s="47">
        <v>33070614744</v>
      </c>
      <c r="B21" s="64" t="str">
        <f>VLOOKUP(Importação[[#This Row],[Código]],BD_Produto[#All],6,FALSE)</f>
        <v>OLFA, ESTOJO DE LÂMINAS ASB-10 - KIT COM 10</v>
      </c>
      <c r="C21" s="64" t="str">
        <f>VLOOKUP(Importação[[#This Row],[Código]],BD_Produto[#All],2,FALSE)</f>
        <v>Olfa</v>
      </c>
      <c r="D21" s="64" t="str">
        <f>VLOOKUP(Importação[[#This Row],[Código]],BD_Produto[#All],3,FALSE)</f>
        <v>Estojo de Lâminas</v>
      </c>
      <c r="E21" s="64" t="str">
        <f>VLOOKUP(Importação[[#This Row],[Código]],BD_Produto[#All],4,FALSE)</f>
        <v>Multiuso</v>
      </c>
      <c r="F21" s="51"/>
      <c r="G21" s="113"/>
      <c r="I21" s="48">
        <v>42591</v>
      </c>
      <c r="J21" s="49" t="s">
        <v>2828</v>
      </c>
      <c r="K21" s="80">
        <v>42597</v>
      </c>
      <c r="L21" s="80">
        <v>42597</v>
      </c>
      <c r="M21" s="50"/>
      <c r="N21" s="115">
        <v>42705</v>
      </c>
      <c r="P21" s="54">
        <v>33070614727</v>
      </c>
      <c r="Q21" s="168" t="s">
        <v>616</v>
      </c>
      <c r="R21" s="53"/>
    </row>
    <row r="22" spans="1:18" x14ac:dyDescent="0.25">
      <c r="A22" s="47">
        <v>33070665222</v>
      </c>
      <c r="B22" s="64" t="str">
        <f>VLOOKUP(Importação[[#This Row],[Código]],BD_Produto[#All],6,FALSE)</f>
        <v>OLFA, ESTOJO DE LÂMINAS LB-50 - KIT COM 50</v>
      </c>
      <c r="C22" s="64" t="str">
        <f>VLOOKUP(Importação[[#This Row],[Código]],BD_Produto[#All],2,FALSE)</f>
        <v>Olfa</v>
      </c>
      <c r="D22" s="64" t="str">
        <f>VLOOKUP(Importação[[#This Row],[Código]],BD_Produto[#All],3,FALSE)</f>
        <v>Estojo de Lâminas</v>
      </c>
      <c r="E22" s="64" t="str">
        <f>VLOOKUP(Importação[[#This Row],[Código]],BD_Produto[#All],4,FALSE)</f>
        <v>Heavy Duty</v>
      </c>
      <c r="F22" s="51"/>
      <c r="G22" s="113"/>
      <c r="I22" s="48">
        <v>42591</v>
      </c>
      <c r="J22" s="49" t="s">
        <v>2828</v>
      </c>
      <c r="K22" s="80">
        <v>42597</v>
      </c>
      <c r="L22" s="80">
        <v>42597</v>
      </c>
      <c r="M22" s="50"/>
      <c r="N22" s="115">
        <v>42705</v>
      </c>
      <c r="P22" s="54">
        <v>33070614756</v>
      </c>
      <c r="Q22" s="168" t="s">
        <v>636</v>
      </c>
      <c r="R22" s="53"/>
    </row>
    <row r="23" spans="1:18" x14ac:dyDescent="0.25">
      <c r="A23" s="47">
        <v>33070614727</v>
      </c>
      <c r="B23" s="64" t="str">
        <f>VLOOKUP(Importação[[#This Row],[Código]],BD_Produto[#All],6,FALSE)</f>
        <v>OLFA, ESTILETE HEAVY DUTY SL-1</v>
      </c>
      <c r="C23" s="64" t="str">
        <f>VLOOKUP(Importação[[#This Row],[Código]],BD_Produto[#All],2,FALSE)</f>
        <v>Olfa</v>
      </c>
      <c r="D23" s="64" t="str">
        <f>VLOOKUP(Importação[[#This Row],[Código]],BD_Produto[#All],3,FALSE)</f>
        <v>Estilete Heavy Duty</v>
      </c>
      <c r="E23" s="64" t="str">
        <f>VLOOKUP(Importação[[#This Row],[Código]],BD_Produto[#All],4,FALSE)</f>
        <v>Heavy Duty</v>
      </c>
      <c r="F23" s="51"/>
      <c r="G23" s="113"/>
      <c r="I23" s="48">
        <v>42591</v>
      </c>
      <c r="J23" s="49" t="s">
        <v>2828</v>
      </c>
      <c r="K23" s="80">
        <v>42597</v>
      </c>
      <c r="L23" s="80">
        <v>42597</v>
      </c>
      <c r="M23" s="50"/>
      <c r="N23" s="115">
        <v>42705</v>
      </c>
      <c r="P23" s="54">
        <v>33070614750</v>
      </c>
      <c r="Q23" s="168" t="s">
        <v>1241</v>
      </c>
      <c r="R23" s="53"/>
    </row>
    <row r="24" spans="1:18" x14ac:dyDescent="0.25">
      <c r="A24" s="47">
        <v>33070614756</v>
      </c>
      <c r="B24" s="64" t="str">
        <f>VLOOKUP(Importação[[#This Row],[Código]],BD_Produto[#All],6,FALSE)</f>
        <v>OLFA, ESTOJO DE LÂMINAS RB28-2 - KIT COM 2</v>
      </c>
      <c r="C24" s="64" t="str">
        <f>VLOOKUP(Importação[[#This Row],[Código]],BD_Produto[#All],2,FALSE)</f>
        <v>Olfa</v>
      </c>
      <c r="D24" s="64" t="str">
        <f>VLOOKUP(Importação[[#This Row],[Código]],BD_Produto[#All],3,FALSE)</f>
        <v>Estojo de Lâminas</v>
      </c>
      <c r="E24" s="64" t="str">
        <f>VLOOKUP(Importação[[#This Row],[Código]],BD_Produto[#All],4,FALSE)</f>
        <v>Rotativo</v>
      </c>
      <c r="F24" s="51"/>
      <c r="G24" s="113"/>
      <c r="I24" s="48">
        <v>42591</v>
      </c>
      <c r="J24" s="49" t="s">
        <v>2828</v>
      </c>
      <c r="K24" s="80">
        <v>42597</v>
      </c>
      <c r="L24" s="80">
        <v>42597</v>
      </c>
      <c r="M24" s="50"/>
      <c r="N24" s="115">
        <v>42705</v>
      </c>
      <c r="P24" s="54">
        <v>33070614723</v>
      </c>
      <c r="Q24" s="168" t="s">
        <v>613</v>
      </c>
      <c r="R24" s="53"/>
    </row>
    <row r="25" spans="1:18" x14ac:dyDescent="0.25">
      <c r="A25" s="47">
        <v>33070614723</v>
      </c>
      <c r="B25" s="64" t="str">
        <f>VLOOKUP(Importação[[#This Row],[Código]],BD_Produto[#All],6,FALSE)</f>
        <v>OLFA, ESTILETE HEAVY DUTY L-1</v>
      </c>
      <c r="C25" s="64" t="str">
        <f>VLOOKUP(Importação[[#This Row],[Código]],BD_Produto[#All],2,FALSE)</f>
        <v>Olfa</v>
      </c>
      <c r="D25" s="64" t="str">
        <f>VLOOKUP(Importação[[#This Row],[Código]],BD_Produto[#All],3,FALSE)</f>
        <v>Estilete Heavy Duty</v>
      </c>
      <c r="E25" s="64" t="str">
        <f>VLOOKUP(Importação[[#This Row],[Código]],BD_Produto[#All],4,FALSE)</f>
        <v>Heavy Duty</v>
      </c>
      <c r="F25" s="51"/>
      <c r="G25" s="113"/>
      <c r="I25" s="48">
        <v>42591</v>
      </c>
      <c r="J25" s="49" t="s">
        <v>2828</v>
      </c>
      <c r="K25" s="80">
        <v>42597</v>
      </c>
      <c r="L25" s="80">
        <v>42597</v>
      </c>
      <c r="M25" s="50"/>
      <c r="N25" s="115">
        <v>42705</v>
      </c>
      <c r="P25" s="54">
        <v>33070614718</v>
      </c>
      <c r="Q25" s="168" t="s">
        <v>608</v>
      </c>
      <c r="R25" s="53"/>
    </row>
    <row r="26" spans="1:18" x14ac:dyDescent="0.25">
      <c r="A26" s="47">
        <v>33070614750</v>
      </c>
      <c r="B26" s="64" t="str">
        <f>VLOOKUP(Importação[[#This Row],[Código]],BD_Produto[#All],6,FALSE)</f>
        <v>OLFA, ESTOJO DE LÂMINAS RB45-1</v>
      </c>
      <c r="C26" s="64" t="str">
        <f>VLOOKUP(Importação[[#This Row],[Código]],BD_Produto[#All],2,FALSE)</f>
        <v>Olfa</v>
      </c>
      <c r="D26" s="64" t="str">
        <f>VLOOKUP(Importação[[#This Row],[Código]],BD_Produto[#All],3,FALSE)</f>
        <v>Estojo de Lâminas</v>
      </c>
      <c r="E26" s="64" t="str">
        <f>VLOOKUP(Importação[[#This Row],[Código]],BD_Produto[#All],4,FALSE)</f>
        <v>Rotativo</v>
      </c>
      <c r="F26" s="51"/>
      <c r="G26" s="113"/>
      <c r="I26" s="48">
        <v>42591</v>
      </c>
      <c r="J26" s="49" t="s">
        <v>2828</v>
      </c>
      <c r="K26" s="80">
        <v>42597</v>
      </c>
      <c r="L26" s="80">
        <v>42597</v>
      </c>
      <c r="M26" s="50"/>
      <c r="N26" s="115">
        <v>42705</v>
      </c>
      <c r="P26" s="54">
        <v>33070654136</v>
      </c>
      <c r="Q26" s="168" t="s">
        <v>669</v>
      </c>
      <c r="R26" s="53"/>
    </row>
    <row r="27" spans="1:18" x14ac:dyDescent="0.25">
      <c r="A27" s="47">
        <v>33070614718</v>
      </c>
      <c r="B27" s="64" t="str">
        <f>VLOOKUP(Importação[[#This Row],[Código]],BD_Produto[#All],6,FALSE)</f>
        <v>OLFA, ESTILETE MULTIUSO 180 BLACK</v>
      </c>
      <c r="C27" s="64" t="str">
        <f>VLOOKUP(Importação[[#This Row],[Código]],BD_Produto[#All],2,FALSE)</f>
        <v>Olfa</v>
      </c>
      <c r="D27" s="64" t="str">
        <f>VLOOKUP(Importação[[#This Row],[Código]],BD_Produto[#All],3,FALSE)</f>
        <v>Estilete Multiuso</v>
      </c>
      <c r="E27" s="64" t="str">
        <f>VLOOKUP(Importação[[#This Row],[Código]],BD_Produto[#All],4,FALSE)</f>
        <v>Multiuso</v>
      </c>
      <c r="F27" s="51"/>
      <c r="G27" s="113"/>
      <c r="I27" s="48">
        <v>42591</v>
      </c>
      <c r="J27" s="49" t="s">
        <v>2828</v>
      </c>
      <c r="K27" s="80">
        <v>42597</v>
      </c>
      <c r="L27" s="80">
        <v>42597</v>
      </c>
      <c r="M27" s="50"/>
      <c r="N27" s="115">
        <v>42705</v>
      </c>
      <c r="P27" s="54">
        <v>33070614724</v>
      </c>
      <c r="Q27" s="168" t="s">
        <v>614</v>
      </c>
      <c r="R27" s="53"/>
    </row>
    <row r="28" spans="1:18" x14ac:dyDescent="0.25">
      <c r="A28" s="47">
        <v>33070614831</v>
      </c>
      <c r="B28" s="64" t="str">
        <f>VLOOKUP(Importação[[#This Row],[Código]],BD_Produto[#All],6,FALSE)</f>
        <v>OLFA, ESTILETE ESPECIAL AK-1/5B</v>
      </c>
      <c r="C28" s="64" t="str">
        <f>VLOOKUP(Importação[[#This Row],[Código]],BD_Produto[#All],2,FALSE)</f>
        <v>Olfa</v>
      </c>
      <c r="D28" s="64" t="str">
        <f>VLOOKUP(Importação[[#This Row],[Código]],BD_Produto[#All],3,FALSE)</f>
        <v>Estilete Especial</v>
      </c>
      <c r="E28" s="64" t="str">
        <f>VLOOKUP(Importação[[#This Row],[Código]],BD_Produto[#All],4,FALSE)</f>
        <v>Especial</v>
      </c>
      <c r="F28" s="51"/>
      <c r="G28" s="113"/>
      <c r="I28" s="48">
        <v>42591</v>
      </c>
      <c r="J28" s="49" t="s">
        <v>2828</v>
      </c>
      <c r="K28" s="80">
        <v>42597</v>
      </c>
      <c r="L28" s="80">
        <v>42597</v>
      </c>
      <c r="M28" s="50"/>
      <c r="N28" s="115">
        <v>42705</v>
      </c>
      <c r="P28" s="54">
        <v>33070665297</v>
      </c>
      <c r="Q28" s="168" t="s">
        <v>3062</v>
      </c>
      <c r="R28" s="53"/>
    </row>
    <row r="29" spans="1:18" x14ac:dyDescent="0.25">
      <c r="A29" s="47">
        <v>33070614724</v>
      </c>
      <c r="B29" s="64" t="str">
        <f>VLOOKUP(Importação[[#This Row],[Código]],BD_Produto[#All],6,FALSE)</f>
        <v>OLFA, ESTILETE HEAVY DUTY L-2</v>
      </c>
      <c r="C29" s="64" t="str">
        <f>VLOOKUP(Importação[[#This Row],[Código]],BD_Produto[#All],2,FALSE)</f>
        <v>Olfa</v>
      </c>
      <c r="D29" s="64" t="str">
        <f>VLOOKUP(Importação[[#This Row],[Código]],BD_Produto[#All],3,FALSE)</f>
        <v>Estilete Heavy Duty</v>
      </c>
      <c r="E29" s="64" t="str">
        <f>VLOOKUP(Importação[[#This Row],[Código]],BD_Produto[#All],4,FALSE)</f>
        <v>Heavy Duty</v>
      </c>
      <c r="F29" s="51"/>
      <c r="G29" s="113"/>
      <c r="I29" s="48">
        <v>42591</v>
      </c>
      <c r="J29" s="49" t="s">
        <v>2828</v>
      </c>
      <c r="K29" s="80">
        <v>42597</v>
      </c>
      <c r="L29" s="80">
        <v>42597</v>
      </c>
      <c r="M29" s="50"/>
      <c r="N29" s="115">
        <v>42705</v>
      </c>
      <c r="P29" s="54">
        <v>33070614742</v>
      </c>
      <c r="Q29" s="168" t="s">
        <v>626</v>
      </c>
      <c r="R29" s="53"/>
    </row>
    <row r="30" spans="1:18" x14ac:dyDescent="0.25">
      <c r="A30" s="47">
        <v>33070654136</v>
      </c>
      <c r="B30" s="64" t="str">
        <f>VLOOKUP(Importação[[#This Row],[Código]],BD_Produto[#All],6,FALSE)</f>
        <v>OLFA, ESTILETE MULTIUSO SPC-1</v>
      </c>
      <c r="C30" s="64" t="str">
        <f>VLOOKUP(Importação[[#This Row],[Código]],BD_Produto[#All],2,FALSE)</f>
        <v>Olfa</v>
      </c>
      <c r="D30" s="64" t="str">
        <f>VLOOKUP(Importação[[#This Row],[Código]],BD_Produto[#All],3,FALSE)</f>
        <v>Estilete Multiuso</v>
      </c>
      <c r="E30" s="64" t="str">
        <f>VLOOKUP(Importação[[#This Row],[Código]],BD_Produto[#All],4,FALSE)</f>
        <v>Multiuso</v>
      </c>
      <c r="F30" s="51"/>
      <c r="G30" s="113"/>
      <c r="I30" s="48">
        <v>42591</v>
      </c>
      <c r="J30" s="49" t="s">
        <v>2828</v>
      </c>
      <c r="K30" s="80">
        <v>42597</v>
      </c>
      <c r="L30" s="80">
        <v>42597</v>
      </c>
      <c r="M30" s="50"/>
      <c r="N30" s="115">
        <v>42705</v>
      </c>
      <c r="P30" s="54">
        <v>33070614751</v>
      </c>
      <c r="Q30" s="168" t="s">
        <v>633</v>
      </c>
      <c r="R30" s="53"/>
    </row>
    <row r="31" spans="1:18" x14ac:dyDescent="0.25">
      <c r="A31" s="47">
        <v>33070614830</v>
      </c>
      <c r="B31" s="64" t="str">
        <f>VLOOKUP(Importação[[#This Row],[Código]],BD_Produto[#All],6,FALSE)</f>
        <v>OLFA, BASE DE CORTE MULTIUSO CM-A3 - 43X30CM - 17"X12"</v>
      </c>
      <c r="C31" s="64" t="str">
        <f>VLOOKUP(Importação[[#This Row],[Código]],BD_Produto[#All],2,FALSE)</f>
        <v>Olfa</v>
      </c>
      <c r="D31" s="64" t="str">
        <f>VLOOKUP(Importação[[#This Row],[Código]],BD_Produto[#All],3,FALSE)</f>
        <v>Base de Corte</v>
      </c>
      <c r="E31" s="64" t="str">
        <f>VLOOKUP(Importação[[#This Row],[Código]],BD_Produto[#All],4,FALSE)</f>
        <v>Multiuso</v>
      </c>
      <c r="F31" s="51"/>
      <c r="G31" s="113"/>
      <c r="I31" s="48">
        <v>42591</v>
      </c>
      <c r="J31" s="49" t="s">
        <v>2828</v>
      </c>
      <c r="K31" s="80">
        <v>42597</v>
      </c>
      <c r="L31" s="80">
        <v>42597</v>
      </c>
      <c r="M31" s="50"/>
      <c r="N31" s="115">
        <v>42705</v>
      </c>
      <c r="P31" s="54">
        <v>33070663721</v>
      </c>
      <c r="Q31" s="168" t="s">
        <v>1208</v>
      </c>
      <c r="R31" s="53"/>
    </row>
    <row r="32" spans="1:18" x14ac:dyDescent="0.25">
      <c r="A32" s="47">
        <v>33070614813</v>
      </c>
      <c r="B32" s="64" t="str">
        <f>VLOOKUP(Importação[[#This Row],[Código]],BD_Produto[#All],6,FALSE)</f>
        <v>OLFA, BASE DE CORTE MULTIUSO CM-A2 - 60X43CM - 24"X17"</v>
      </c>
      <c r="C32" s="64" t="str">
        <f>VLOOKUP(Importação[[#This Row],[Código]],BD_Produto[#All],2,FALSE)</f>
        <v>Olfa</v>
      </c>
      <c r="D32" s="64" t="str">
        <f>VLOOKUP(Importação[[#This Row],[Código]],BD_Produto[#All],3,FALSE)</f>
        <v>Base de Corte</v>
      </c>
      <c r="E32" s="64" t="str">
        <f>VLOOKUP(Importação[[#This Row],[Código]],BD_Produto[#All],4,FALSE)</f>
        <v>Multiuso</v>
      </c>
      <c r="F32" s="51"/>
      <c r="G32" s="113"/>
      <c r="I32" s="48">
        <v>42591</v>
      </c>
      <c r="J32" s="49" t="s">
        <v>2828</v>
      </c>
      <c r="K32" s="80">
        <v>42597</v>
      </c>
      <c r="L32" s="80">
        <v>42597</v>
      </c>
      <c r="M32" s="50"/>
      <c r="N32" s="115">
        <v>42705</v>
      </c>
      <c r="P32" s="54">
        <v>33070665298</v>
      </c>
      <c r="Q32" s="168" t="s">
        <v>3063</v>
      </c>
      <c r="R32" s="53"/>
    </row>
    <row r="33" spans="1:18" x14ac:dyDescent="0.25">
      <c r="A33" s="47">
        <v>33070663721</v>
      </c>
      <c r="B33" s="64" t="str">
        <f>VLOOKUP(Importação[[#This Row],[Código]],BD_Produto[#All],6,FALSE)</f>
        <v>OLFA, ESTOJO DE LÂMINAS SAB-10B</v>
      </c>
      <c r="C33" s="64" t="str">
        <f>VLOOKUP(Importação[[#This Row],[Código]],BD_Produto[#All],2,FALSE)</f>
        <v>Olfa</v>
      </c>
      <c r="D33" s="64" t="str">
        <f>VLOOKUP(Importação[[#This Row],[Código]],BD_Produto[#All],3,FALSE)</f>
        <v>Estojo de Lâminas</v>
      </c>
      <c r="E33" s="64" t="str">
        <f>VLOOKUP(Importação[[#This Row],[Código]],BD_Produto[#All],4,FALSE)</f>
        <v>Especial</v>
      </c>
      <c r="F33" s="51"/>
      <c r="G33" s="113"/>
      <c r="I33" s="48">
        <v>42591</v>
      </c>
      <c r="J33" s="49" t="s">
        <v>2828</v>
      </c>
      <c r="K33" s="80">
        <v>42597</v>
      </c>
      <c r="L33" s="80">
        <v>42597</v>
      </c>
      <c r="M33" s="50"/>
      <c r="N33" s="115">
        <v>42705</v>
      </c>
      <c r="P33" s="54">
        <v>33070614716</v>
      </c>
      <c r="Q33" s="168" t="s">
        <v>606</v>
      </c>
      <c r="R33" s="53"/>
    </row>
    <row r="34" spans="1:18" x14ac:dyDescent="0.25">
      <c r="A34" s="47">
        <v>33070614751</v>
      </c>
      <c r="B34" s="64" t="str">
        <f>VLOOKUP(Importação[[#This Row],[Código]],BD_Produto[#All],6,FALSE)</f>
        <v>OLFA, ESTOJO DE LÂMINAS KB - KIT COM 25</v>
      </c>
      <c r="C34" s="64" t="str">
        <f>VLOOKUP(Importação[[#This Row],[Código]],BD_Produto[#All],2,FALSE)</f>
        <v>Olfa</v>
      </c>
      <c r="D34" s="64" t="str">
        <f>VLOOKUP(Importação[[#This Row],[Código]],BD_Produto[#All],3,FALSE)</f>
        <v>Estojo de Lâminas</v>
      </c>
      <c r="E34" s="64" t="str">
        <f>VLOOKUP(Importação[[#This Row],[Código]],BD_Produto[#All],4,FALSE)</f>
        <v>Especial</v>
      </c>
      <c r="F34" s="51"/>
      <c r="G34" s="113"/>
      <c r="I34" s="48">
        <v>42591</v>
      </c>
      <c r="J34" s="49" t="s">
        <v>2828</v>
      </c>
      <c r="K34" s="80">
        <v>42597</v>
      </c>
      <c r="L34" s="80">
        <v>42597</v>
      </c>
      <c r="M34" s="50"/>
      <c r="N34" s="115">
        <v>42705</v>
      </c>
      <c r="P34" s="54">
        <v>33070614741</v>
      </c>
      <c r="Q34" s="168" t="s">
        <v>625</v>
      </c>
      <c r="R34" s="53"/>
    </row>
    <row r="35" spans="1:18" x14ac:dyDescent="0.25">
      <c r="A35" s="47">
        <v>33070614742</v>
      </c>
      <c r="B35" s="64" t="str">
        <f>VLOOKUP(Importação[[#This Row],[Código]],BD_Produto[#All],6,FALSE)</f>
        <v>OLFA, ESTILETE ROTATIVO RTY-2G (45MM)</v>
      </c>
      <c r="C35" s="64" t="str">
        <f>VLOOKUP(Importação[[#This Row],[Código]],BD_Produto[#All],2,FALSE)</f>
        <v>Olfa</v>
      </c>
      <c r="D35" s="64" t="str">
        <f>VLOOKUP(Importação[[#This Row],[Código]],BD_Produto[#All],3,FALSE)</f>
        <v>Estilete Rotativo</v>
      </c>
      <c r="E35" s="64" t="str">
        <f>VLOOKUP(Importação[[#This Row],[Código]],BD_Produto[#All],4,FALSE)</f>
        <v>Rotativo</v>
      </c>
      <c r="F35" s="51"/>
      <c r="G35" s="113"/>
      <c r="I35" s="48">
        <v>42591</v>
      </c>
      <c r="J35" s="49" t="s">
        <v>2828</v>
      </c>
      <c r="K35" s="80">
        <v>42597</v>
      </c>
      <c r="L35" s="80">
        <v>42597</v>
      </c>
      <c r="M35" s="50"/>
      <c r="N35" s="115">
        <v>42705</v>
      </c>
      <c r="P35" s="54">
        <v>33070614028</v>
      </c>
      <c r="Q35" s="168" t="s">
        <v>604</v>
      </c>
      <c r="R35" s="53"/>
    </row>
    <row r="36" spans="1:18" x14ac:dyDescent="0.25">
      <c r="A36" s="47">
        <v>33070663734</v>
      </c>
      <c r="B36" s="64" t="str">
        <f>VLOOKUP(Importação[[#This Row],[Código]],BD_Produto[#All],6,FALSE)</f>
        <v>OLFA, ESTILETE ESPECIAL CMP-1/DX</v>
      </c>
      <c r="C36" s="64" t="str">
        <f>VLOOKUP(Importação[[#This Row],[Código]],BD_Produto[#All],2,FALSE)</f>
        <v>Olfa</v>
      </c>
      <c r="D36" s="64" t="str">
        <f>VLOOKUP(Importação[[#This Row],[Código]],BD_Produto[#All],3,FALSE)</f>
        <v>Estilete Especial</v>
      </c>
      <c r="E36" s="64" t="str">
        <f>VLOOKUP(Importação[[#This Row],[Código]],BD_Produto[#All],4,FALSE)</f>
        <v>Especial</v>
      </c>
      <c r="F36" s="51"/>
      <c r="G36" s="113"/>
      <c r="I36" s="48">
        <v>42591</v>
      </c>
      <c r="J36" s="49" t="s">
        <v>2828</v>
      </c>
      <c r="K36" s="80">
        <v>42597</v>
      </c>
      <c r="L36" s="80">
        <v>42597</v>
      </c>
      <c r="M36" s="50"/>
      <c r="N36" s="115">
        <v>42705</v>
      </c>
      <c r="P36" s="54">
        <v>33070614747</v>
      </c>
      <c r="Q36" s="168" t="s">
        <v>630</v>
      </c>
      <c r="R36" s="53"/>
    </row>
    <row r="37" spans="1:18" x14ac:dyDescent="0.25">
      <c r="A37" s="47">
        <v>33070614028</v>
      </c>
      <c r="B37" s="64" t="str">
        <f>VLOOKUP(Importação[[#This Row],[Código]],BD_Produto[#All],6,FALSE)</f>
        <v>OLFA, ESTILETE HEAVY DUTY L-5</v>
      </c>
      <c r="C37" s="64" t="str">
        <f>VLOOKUP(Importação[[#This Row],[Código]],BD_Produto[#All],2,FALSE)</f>
        <v>Olfa</v>
      </c>
      <c r="D37" s="64" t="str">
        <f>VLOOKUP(Importação[[#This Row],[Código]],BD_Produto[#All],3,FALSE)</f>
        <v>Estilete Heavy Duty</v>
      </c>
      <c r="E37" s="64" t="str">
        <f>VLOOKUP(Importação[[#This Row],[Código]],BD_Produto[#All],4,FALSE)</f>
        <v>Heavy Duty</v>
      </c>
      <c r="F37" s="51"/>
      <c r="G37" s="113"/>
      <c r="I37" s="48">
        <v>42591</v>
      </c>
      <c r="J37" s="49" t="s">
        <v>2828</v>
      </c>
      <c r="K37" s="80">
        <v>42597</v>
      </c>
      <c r="L37" s="80">
        <v>42597</v>
      </c>
      <c r="M37" s="50"/>
      <c r="N37" s="115">
        <v>42705</v>
      </c>
      <c r="P37" s="54">
        <v>33070614016</v>
      </c>
      <c r="Q37" s="168" t="s">
        <v>597</v>
      </c>
      <c r="R37" s="53"/>
    </row>
    <row r="38" spans="1:18" x14ac:dyDescent="0.25">
      <c r="A38" s="47">
        <v>33070654001</v>
      </c>
      <c r="B38" s="64" t="str">
        <f>VLOOKUP(Importação[[#This Row],[Código]],BD_Produto[#All],6,FALSE)</f>
        <v>OLFA, ESTILETE MULTIUSO SVR-2 - ESTILETE DE INOX</v>
      </c>
      <c r="C38" s="64" t="str">
        <f>VLOOKUP(Importação[[#This Row],[Código]],BD_Produto[#All],2,FALSE)</f>
        <v>Olfa</v>
      </c>
      <c r="D38" s="64" t="str">
        <f>VLOOKUP(Importação[[#This Row],[Código]],BD_Produto[#All],3,FALSE)</f>
        <v>Estilete Multiuso</v>
      </c>
      <c r="E38" s="64" t="str">
        <f>VLOOKUP(Importação[[#This Row],[Código]],BD_Produto[#All],4,FALSE)</f>
        <v>Multiuso</v>
      </c>
      <c r="F38" s="51"/>
      <c r="G38" s="113"/>
      <c r="I38" s="48">
        <v>42591</v>
      </c>
      <c r="J38" s="49" t="s">
        <v>2828</v>
      </c>
      <c r="K38" s="80">
        <v>42597</v>
      </c>
      <c r="L38" s="80">
        <v>42597</v>
      </c>
      <c r="M38" s="50"/>
      <c r="N38" s="115">
        <v>42705</v>
      </c>
      <c r="P38" s="54">
        <v>33070663219</v>
      </c>
      <c r="Q38" s="168" t="s">
        <v>685</v>
      </c>
      <c r="R38" s="53"/>
    </row>
    <row r="39" spans="1:18" x14ac:dyDescent="0.25">
      <c r="A39" s="47">
        <v>33070614716</v>
      </c>
      <c r="B39" s="64" t="str">
        <f>VLOOKUP(Importação[[#This Row],[Código]],BD_Produto[#All],6,FALSE)</f>
        <v>OLFA, ESTILETE HEAVY DUTY EXL</v>
      </c>
      <c r="C39" s="64" t="str">
        <f>VLOOKUP(Importação[[#This Row],[Código]],BD_Produto[#All],2,FALSE)</f>
        <v>Olfa</v>
      </c>
      <c r="D39" s="64" t="str">
        <f>VLOOKUP(Importação[[#This Row],[Código]],BD_Produto[#All],3,FALSE)</f>
        <v>Estilete Heavy Duty</v>
      </c>
      <c r="E39" s="64" t="str">
        <f>VLOOKUP(Importação[[#This Row],[Código]],BD_Produto[#All],4,FALSE)</f>
        <v>Heavy Duty</v>
      </c>
      <c r="F39" s="51"/>
      <c r="G39" s="113"/>
      <c r="I39" s="48">
        <v>42591</v>
      </c>
      <c r="J39" s="49" t="s">
        <v>2828</v>
      </c>
      <c r="K39" s="80">
        <v>42597</v>
      </c>
      <c r="L39" s="80">
        <v>42597</v>
      </c>
      <c r="M39" s="50"/>
      <c r="N39" s="115">
        <v>42705</v>
      </c>
      <c r="P39" s="54">
        <v>33070664013</v>
      </c>
      <c r="Q39" s="168" t="s">
        <v>706</v>
      </c>
      <c r="R39" s="53"/>
    </row>
    <row r="40" spans="1:18" x14ac:dyDescent="0.25">
      <c r="A40" s="47">
        <v>33070664013</v>
      </c>
      <c r="B40" s="64" t="str">
        <f>VLOOKUP(Importação[[#This Row],[Código]],BD_Produto[#All],6,FALSE)</f>
        <v>OLFA, ESTILETE MULTIUSO A-1</v>
      </c>
      <c r="C40" s="64" t="str">
        <f>VLOOKUP(Importação[[#This Row],[Código]],BD_Produto[#All],2,FALSE)</f>
        <v>Olfa</v>
      </c>
      <c r="D40" s="64" t="str">
        <f>VLOOKUP(Importação[[#This Row],[Código]],BD_Produto[#All],3,FALSE)</f>
        <v>Estilete Multiuso</v>
      </c>
      <c r="E40" s="64" t="str">
        <f>VLOOKUP(Importação[[#This Row],[Código]],BD_Produto[#All],4,FALSE)</f>
        <v>Multiuso</v>
      </c>
      <c r="F40" s="51"/>
      <c r="G40" s="113"/>
      <c r="I40" s="48">
        <v>42591</v>
      </c>
      <c r="J40" s="49" t="s">
        <v>2828</v>
      </c>
      <c r="K40" s="80">
        <v>42597</v>
      </c>
      <c r="L40" s="80">
        <v>42597</v>
      </c>
      <c r="M40" s="50"/>
      <c r="N40" s="115">
        <v>42705</v>
      </c>
      <c r="P40" s="54">
        <v>33070663734</v>
      </c>
      <c r="Q40" s="168" t="s">
        <v>1205</v>
      </c>
      <c r="R40" s="53"/>
    </row>
    <row r="41" spans="1:18" x14ac:dyDescent="0.25">
      <c r="A41" s="47">
        <v>33070614741</v>
      </c>
      <c r="B41" s="64" t="str">
        <f>VLOOKUP(Importação[[#This Row],[Código]],BD_Produto[#All],6,FALSE)</f>
        <v>OLFA, ESTILETE ROTATIVO RTY-1G (28MM)</v>
      </c>
      <c r="C41" s="64" t="str">
        <f>VLOOKUP(Importação[[#This Row],[Código]],BD_Produto[#All],2,FALSE)</f>
        <v>Olfa</v>
      </c>
      <c r="D41" s="64" t="str">
        <f>VLOOKUP(Importação[[#This Row],[Código]],BD_Produto[#All],3,FALSE)</f>
        <v>Estilete Rotativo</v>
      </c>
      <c r="E41" s="64" t="str">
        <f>VLOOKUP(Importação[[#This Row],[Código]],BD_Produto[#All],4,FALSE)</f>
        <v>Rotativo</v>
      </c>
      <c r="F41" s="51"/>
      <c r="G41" s="113"/>
      <c r="I41" s="48">
        <v>42591</v>
      </c>
      <c r="J41" s="49" t="s">
        <v>2828</v>
      </c>
      <c r="K41" s="80">
        <v>42597</v>
      </c>
      <c r="L41" s="80">
        <v>42597</v>
      </c>
      <c r="M41" s="50"/>
      <c r="N41" s="115">
        <v>42705</v>
      </c>
      <c r="P41" s="54">
        <v>33070654001</v>
      </c>
      <c r="Q41" s="168" t="s">
        <v>666</v>
      </c>
      <c r="R41" s="53"/>
    </row>
    <row r="42" spans="1:18" x14ac:dyDescent="0.25">
      <c r="A42" s="47">
        <v>33070614747</v>
      </c>
      <c r="B42" s="64" t="str">
        <f>VLOOKUP(Importação[[#This Row],[Código]],BD_Produto[#All],6,FALSE)</f>
        <v>OLFA, ESTOJO DE LÂMINAS CKB-1 - KIT COM 2</v>
      </c>
      <c r="C42" s="64" t="str">
        <f>VLOOKUP(Importação[[#This Row],[Código]],BD_Produto[#All],2,FALSE)</f>
        <v>Olfa</v>
      </c>
      <c r="D42" s="64" t="str">
        <f>VLOOKUP(Importação[[#This Row],[Código]],BD_Produto[#All],3,FALSE)</f>
        <v>Estojo de Lâminas</v>
      </c>
      <c r="E42" s="64" t="str">
        <f>VLOOKUP(Importação[[#This Row],[Código]],BD_Produto[#All],4,FALSE)</f>
        <v>Especial</v>
      </c>
      <c r="F42" s="51"/>
      <c r="G42" s="113"/>
      <c r="I42" s="48">
        <v>42591</v>
      </c>
      <c r="J42" s="49" t="s">
        <v>2828</v>
      </c>
      <c r="K42" s="80">
        <v>42597</v>
      </c>
      <c r="L42" s="80">
        <v>42597</v>
      </c>
      <c r="M42" s="50"/>
      <c r="N42" s="115">
        <v>42705</v>
      </c>
      <c r="P42" s="54">
        <v>33070665295</v>
      </c>
      <c r="Q42" s="168" t="s">
        <v>3060</v>
      </c>
      <c r="R42" s="53"/>
    </row>
    <row r="43" spans="1:18" x14ac:dyDescent="0.25">
      <c r="A43" s="47">
        <v>33070614016</v>
      </c>
      <c r="B43" s="64" t="str">
        <f>VLOOKUP(Importação[[#This Row],[Código]],BD_Produto[#All],6,FALSE)</f>
        <v>OLFA, ESTOJO DE LÂMINA RB60-1</v>
      </c>
      <c r="C43" s="64" t="str">
        <f>VLOOKUP(Importação[[#This Row],[Código]],BD_Produto[#All],2,FALSE)</f>
        <v>Olfa</v>
      </c>
      <c r="D43" s="64" t="str">
        <f>VLOOKUP(Importação[[#This Row],[Código]],BD_Produto[#All],3,FALSE)</f>
        <v>Estojo de Lâminas</v>
      </c>
      <c r="E43" s="64" t="str">
        <f>VLOOKUP(Importação[[#This Row],[Código]],BD_Produto[#All],4,FALSE)</f>
        <v>Rotativo</v>
      </c>
      <c r="F43" s="51"/>
      <c r="G43" s="113"/>
      <c r="I43" s="48">
        <v>42591</v>
      </c>
      <c r="J43" s="49" t="s">
        <v>2828</v>
      </c>
      <c r="K43" s="80">
        <v>42597</v>
      </c>
      <c r="L43" s="80">
        <v>42597</v>
      </c>
      <c r="M43" s="50"/>
      <c r="N43" s="115">
        <v>42705</v>
      </c>
      <c r="P43" s="54">
        <v>33070614909</v>
      </c>
      <c r="Q43" s="168" t="s">
        <v>655</v>
      </c>
      <c r="R43" s="53"/>
    </row>
    <row r="44" spans="1:18" x14ac:dyDescent="0.25">
      <c r="A44" s="47">
        <v>33070663219</v>
      </c>
      <c r="B44" s="64" t="str">
        <f>VLOOKUP(Importação[[#This Row],[Código]],BD_Produto[#All],6,FALSE)</f>
        <v>OLFA, ESTOJO DE LÂMINAS SKB-10/10B - KIT COM 10</v>
      </c>
      <c r="C44" s="64" t="str">
        <f>VLOOKUP(Importação[[#This Row],[Código]],BD_Produto[#All],2,FALSE)</f>
        <v>Olfa</v>
      </c>
      <c r="D44" s="64" t="str">
        <f>VLOOKUP(Importação[[#This Row],[Código]],BD_Produto[#All],3,FALSE)</f>
        <v>Estojo de Lâminas</v>
      </c>
      <c r="E44" s="64" t="str">
        <f>VLOOKUP(Importação[[#This Row],[Código]],BD_Produto[#All],4,FALSE)</f>
        <v>Segurança</v>
      </c>
      <c r="F44" s="51"/>
      <c r="G44" s="113"/>
      <c r="I44" s="48">
        <v>42591</v>
      </c>
      <c r="J44" s="49" t="s">
        <v>2828</v>
      </c>
      <c r="K44" s="80">
        <v>42597</v>
      </c>
      <c r="L44" s="80">
        <v>42597</v>
      </c>
      <c r="M44" s="50"/>
      <c r="N44" s="115">
        <v>42705</v>
      </c>
      <c r="P44" s="54">
        <v>33070614897</v>
      </c>
      <c r="Q44" s="168" t="s">
        <v>650</v>
      </c>
      <c r="R44" s="53"/>
    </row>
    <row r="45" spans="1:18" x14ac:dyDescent="0.25">
      <c r="A45" s="47">
        <v>33070614909</v>
      </c>
      <c r="B45" s="64" t="str">
        <f>VLOOKUP(Importação[[#This Row],[Código]],BD_Produto[#All],6,FALSE)</f>
        <v>OLFA, ESTOJO DE LÂMINAS RB45-10 - KIT COM 10</v>
      </c>
      <c r="C45" s="64" t="str">
        <f>VLOOKUP(Importação[[#This Row],[Código]],BD_Produto[#All],2,FALSE)</f>
        <v>Olfa</v>
      </c>
      <c r="D45" s="64" t="str">
        <f>VLOOKUP(Importação[[#This Row],[Código]],BD_Produto[#All],3,FALSE)</f>
        <v>Estojo de Lâminas</v>
      </c>
      <c r="E45" s="64" t="str">
        <f>VLOOKUP(Importação[[#This Row],[Código]],BD_Produto[#All],4,FALSE)</f>
        <v>Rotativo</v>
      </c>
      <c r="F45" s="51"/>
      <c r="G45" s="113"/>
      <c r="I45" s="48">
        <v>42591</v>
      </c>
      <c r="J45" s="49" t="s">
        <v>2828</v>
      </c>
      <c r="K45" s="80">
        <v>42597</v>
      </c>
      <c r="L45" s="80">
        <v>42597</v>
      </c>
      <c r="M45" s="50"/>
      <c r="N45" s="115">
        <v>42705</v>
      </c>
      <c r="P45" s="54">
        <v>33070614021</v>
      </c>
      <c r="Q45" s="168" t="s">
        <v>599</v>
      </c>
      <c r="R45" s="53"/>
    </row>
    <row r="46" spans="1:18" x14ac:dyDescent="0.25">
      <c r="A46" s="47">
        <v>33070614897</v>
      </c>
      <c r="B46" s="64" t="str">
        <f>VLOOKUP(Importação[[#This Row],[Código]],BD_Produto[#All],6,FALSE)</f>
        <v>OLFA, ESTILETE ESPECIAL PRC-2</v>
      </c>
      <c r="C46" s="64" t="str">
        <f>VLOOKUP(Importação[[#This Row],[Código]],BD_Produto[#All],2,FALSE)</f>
        <v>Olfa</v>
      </c>
      <c r="D46" s="64" t="str">
        <f>VLOOKUP(Importação[[#This Row],[Código]],BD_Produto[#All],3,FALSE)</f>
        <v>Estilete Especial</v>
      </c>
      <c r="E46" s="64" t="str">
        <f>VLOOKUP(Importação[[#This Row],[Código]],BD_Produto[#All],4,FALSE)</f>
        <v>Especial</v>
      </c>
      <c r="F46" s="51"/>
      <c r="G46" s="113"/>
      <c r="I46" s="48">
        <v>42591</v>
      </c>
      <c r="J46" s="49" t="s">
        <v>2828</v>
      </c>
      <c r="K46" s="80">
        <v>42597</v>
      </c>
      <c r="L46" s="80">
        <v>42597</v>
      </c>
      <c r="M46" s="50"/>
      <c r="N46" s="115">
        <v>42705</v>
      </c>
      <c r="P46" s="54">
        <v>33070614732</v>
      </c>
      <c r="Q46" s="168" t="s">
        <v>621</v>
      </c>
      <c r="R46" s="53"/>
    </row>
    <row r="47" spans="1:18" x14ac:dyDescent="0.25">
      <c r="A47" s="47">
        <v>33070614732</v>
      </c>
      <c r="B47" s="64" t="str">
        <f>VLOOKUP(Importação[[#This Row],[Código]],BD_Produto[#All],6,FALSE)</f>
        <v>OLFA, ESTILETE ESPECIAL CMP-1</v>
      </c>
      <c r="C47" s="64" t="str">
        <f>VLOOKUP(Importação[[#This Row],[Código]],BD_Produto[#All],2,FALSE)</f>
        <v>Olfa</v>
      </c>
      <c r="D47" s="64" t="str">
        <f>VLOOKUP(Importação[[#This Row],[Código]],BD_Produto[#All],3,FALSE)</f>
        <v>Estilete Especial</v>
      </c>
      <c r="E47" s="64" t="str">
        <f>VLOOKUP(Importação[[#This Row],[Código]],BD_Produto[#All],4,FALSE)</f>
        <v>Especial</v>
      </c>
      <c r="F47" s="51"/>
      <c r="G47" s="113"/>
      <c r="I47" s="48">
        <v>42591</v>
      </c>
      <c r="J47" s="49" t="s">
        <v>2828</v>
      </c>
      <c r="K47" s="80">
        <v>42597</v>
      </c>
      <c r="L47" s="80">
        <v>42597</v>
      </c>
      <c r="M47" s="50"/>
      <c r="N47" s="115">
        <v>42705</v>
      </c>
      <c r="P47" s="54">
        <v>33070663176</v>
      </c>
      <c r="Q47" s="168" t="s">
        <v>683</v>
      </c>
      <c r="R47" s="53"/>
    </row>
    <row r="48" spans="1:18" x14ac:dyDescent="0.25">
      <c r="A48" s="47">
        <v>33070614021</v>
      </c>
      <c r="B48" s="64" t="str">
        <f>VLOOKUP(Importação[[#This Row],[Código]],BD_Produto[#All],6,FALSE)</f>
        <v>OLFA, ESTILETE ROTATIVO RTY-4 (18MM)</v>
      </c>
      <c r="C48" s="64" t="str">
        <f>VLOOKUP(Importação[[#This Row],[Código]],BD_Produto[#All],2,FALSE)</f>
        <v>Olfa</v>
      </c>
      <c r="D48" s="64" t="str">
        <f>VLOOKUP(Importação[[#This Row],[Código]],BD_Produto[#All],3,FALSE)</f>
        <v>Estilete Rotativo</v>
      </c>
      <c r="E48" s="64" t="str">
        <f>VLOOKUP(Importação[[#This Row],[Código]],BD_Produto[#All],4,FALSE)</f>
        <v>Rotativo</v>
      </c>
      <c r="F48" s="51"/>
      <c r="G48" s="113"/>
      <c r="I48" s="48">
        <v>42591</v>
      </c>
      <c r="J48" s="49" t="s">
        <v>2828</v>
      </c>
      <c r="K48" s="80">
        <v>42597</v>
      </c>
      <c r="L48" s="80">
        <v>42597</v>
      </c>
      <c r="M48" s="50"/>
      <c r="N48" s="115">
        <v>42705</v>
      </c>
      <c r="P48" s="54">
        <v>33070665293</v>
      </c>
      <c r="Q48" s="168" t="s">
        <v>3080</v>
      </c>
      <c r="R48" s="53"/>
    </row>
    <row r="49" spans="1:18" x14ac:dyDescent="0.25">
      <c r="A49" s="47">
        <v>33070663176</v>
      </c>
      <c r="B49" s="64" t="str">
        <f>VLOOKUP(Importação[[#This Row],[Código]],BD_Produto[#All],6,FALSE)</f>
        <v>OLFA, ESTILETE ESPECIAL PC-L</v>
      </c>
      <c r="C49" s="64" t="str">
        <f>VLOOKUP(Importação[[#This Row],[Código]],BD_Produto[#All],2,FALSE)</f>
        <v>Olfa</v>
      </c>
      <c r="D49" s="64" t="str">
        <f>VLOOKUP(Importação[[#This Row],[Código]],BD_Produto[#All],3,FALSE)</f>
        <v>Estilete Especial</v>
      </c>
      <c r="E49" s="64" t="str">
        <f>VLOOKUP(Importação[[#This Row],[Código]],BD_Produto[#All],4,FALSE)</f>
        <v>Especial</v>
      </c>
      <c r="F49" s="51"/>
      <c r="G49" s="113"/>
      <c r="I49" s="48">
        <v>42591</v>
      </c>
      <c r="J49" s="49" t="s">
        <v>2828</v>
      </c>
      <c r="K49" s="80">
        <v>42597</v>
      </c>
      <c r="L49" s="80">
        <v>42597</v>
      </c>
      <c r="M49" s="50"/>
      <c r="N49" s="115">
        <v>42705</v>
      </c>
      <c r="P49" s="54">
        <v>33070665294</v>
      </c>
      <c r="Q49" s="168" t="s">
        <v>3082</v>
      </c>
      <c r="R49" s="53"/>
    </row>
    <row r="50" spans="1:18" x14ac:dyDescent="0.25">
      <c r="A50" s="47">
        <v>33070614812</v>
      </c>
      <c r="B50" s="64" t="str">
        <f>VLOOKUP(Importação[[#This Row],[Código]],BD_Produto[#All],6,FALSE)</f>
        <v>OLFA, BASE DE CORTE MULTIUSO CM-A1 - 92X61CM - 36"X24"</v>
      </c>
      <c r="C50" s="64" t="str">
        <f>VLOOKUP(Importação[[#This Row],[Código]],BD_Produto[#All],2,FALSE)</f>
        <v>Olfa</v>
      </c>
      <c r="D50" s="64" t="str">
        <f>VLOOKUP(Importação[[#This Row],[Código]],BD_Produto[#All],3,FALSE)</f>
        <v>Base de Corte</v>
      </c>
      <c r="E50" s="64" t="str">
        <f>VLOOKUP(Importação[[#This Row],[Código]],BD_Produto[#All],4,FALSE)</f>
        <v>Multiuso</v>
      </c>
      <c r="F50" s="51"/>
      <c r="G50" s="113"/>
      <c r="I50" s="48">
        <v>42591</v>
      </c>
      <c r="J50" s="49" t="s">
        <v>2828</v>
      </c>
      <c r="K50" s="80">
        <v>42597</v>
      </c>
      <c r="L50" s="80">
        <v>42597</v>
      </c>
      <c r="M50" s="50"/>
      <c r="N50" s="115">
        <v>42705</v>
      </c>
      <c r="P50" s="54">
        <v>33070665296</v>
      </c>
      <c r="Q50" s="168" t="s">
        <v>3061</v>
      </c>
      <c r="R50" s="53"/>
    </row>
    <row r="51" spans="1:18" x14ac:dyDescent="0.25">
      <c r="A51" s="47">
        <v>33070665293</v>
      </c>
      <c r="B51" s="64" t="str">
        <f>VLOOKUP(Importação[[#This Row],[Código]],BD_Produto[#All],6,FALSE)</f>
        <v>OLFA, ESTILETE HEAVY DUTY L-5/FLB</v>
      </c>
      <c r="C51" s="64" t="str">
        <f>VLOOKUP(Importação[[#This Row],[Código]],BD_Produto[#All],2,FALSE)</f>
        <v>Olfa</v>
      </c>
      <c r="D51" s="64" t="str">
        <f>VLOOKUP(Importação[[#This Row],[Código]],BD_Produto[#All],3,FALSE)</f>
        <v>Estilete Heavy Duty</v>
      </c>
      <c r="E51" s="64" t="str">
        <f>VLOOKUP(Importação[[#This Row],[Código]],BD_Produto[#All],4,FALSE)</f>
        <v>Heavy Duty</v>
      </c>
      <c r="F51" s="51"/>
      <c r="G51" s="113"/>
      <c r="I51" s="48">
        <v>42591</v>
      </c>
      <c r="J51" s="49" t="s">
        <v>2828</v>
      </c>
      <c r="K51" s="80">
        <v>42597</v>
      </c>
      <c r="L51" s="80">
        <v>42597</v>
      </c>
      <c r="M51" s="50"/>
      <c r="N51" s="115">
        <v>42705</v>
      </c>
      <c r="P51" s="54">
        <v>33070614812</v>
      </c>
      <c r="Q51" s="168" t="s">
        <v>643</v>
      </c>
      <c r="R51" s="53"/>
    </row>
    <row r="52" spans="1:18" x14ac:dyDescent="0.25">
      <c r="A52" s="47">
        <v>33070665294</v>
      </c>
      <c r="B52" s="64" t="str">
        <f>VLOOKUP(Importação[[#This Row],[Código]],BD_Produto[#All],6,FALSE)</f>
        <v>OLFA, ESTILETE HEAVY DUTY L5-AL/LWB</v>
      </c>
      <c r="C52" s="64" t="str">
        <f>VLOOKUP(Importação[[#This Row],[Código]],BD_Produto[#All],2,FALSE)</f>
        <v>Olfa</v>
      </c>
      <c r="D52" s="64" t="str">
        <f>VLOOKUP(Importação[[#This Row],[Código]],BD_Produto[#All],3,FALSE)</f>
        <v>Estilete Heavy Duty</v>
      </c>
      <c r="E52" s="64" t="str">
        <f>VLOOKUP(Importação[[#This Row],[Código]],BD_Produto[#All],4,FALSE)</f>
        <v>Heavy Duty</v>
      </c>
      <c r="F52" s="51"/>
      <c r="G52" s="113"/>
      <c r="I52" s="48">
        <v>42591</v>
      </c>
      <c r="J52" s="49" t="s">
        <v>2828</v>
      </c>
      <c r="K52" s="80">
        <v>42597</v>
      </c>
      <c r="L52" s="80">
        <v>42597</v>
      </c>
      <c r="M52" s="50"/>
      <c r="N52" s="115">
        <v>42705</v>
      </c>
      <c r="P52" s="54" t="s">
        <v>1655</v>
      </c>
      <c r="Q52" s="168" t="s">
        <v>3087</v>
      </c>
      <c r="R52" s="53"/>
    </row>
    <row r="53" spans="1:18" x14ac:dyDescent="0.25">
      <c r="A53" s="47">
        <v>33070665295</v>
      </c>
      <c r="B53" s="64" t="str">
        <f>VLOOKUP(Importação[[#This Row],[Código]],BD_Produto[#All],6,FALSE)</f>
        <v>OLFA, ESTILETE ESPECIAL PRC-3</v>
      </c>
      <c r="C53" s="64" t="str">
        <f>VLOOKUP(Importação[[#This Row],[Código]],BD_Produto[#All],2,FALSE)</f>
        <v>Olfa</v>
      </c>
      <c r="D53" s="64" t="str">
        <f>VLOOKUP(Importação[[#This Row],[Código]],BD_Produto[#All],3,FALSE)</f>
        <v>Estilete Especial</v>
      </c>
      <c r="E53" s="64" t="str">
        <f>VLOOKUP(Importação[[#This Row],[Código]],BD_Produto[#All],4,FALSE)</f>
        <v>Especial</v>
      </c>
      <c r="F53" s="51"/>
      <c r="G53" s="113"/>
      <c r="I53" s="48">
        <v>42591</v>
      </c>
      <c r="J53" s="49" t="s">
        <v>2828</v>
      </c>
      <c r="K53" s="80">
        <v>42597</v>
      </c>
      <c r="L53" s="80">
        <v>42597</v>
      </c>
      <c r="M53" s="50"/>
      <c r="N53" s="115">
        <v>42705</v>
      </c>
      <c r="P53" s="54">
        <v>33070660894</v>
      </c>
      <c r="Q53" s="168" t="s">
        <v>673</v>
      </c>
      <c r="R53" s="53"/>
    </row>
    <row r="54" spans="1:18" x14ac:dyDescent="0.25">
      <c r="A54" s="47">
        <v>33070665296</v>
      </c>
      <c r="B54" s="64" t="str">
        <f>VLOOKUP(Importação[[#This Row],[Código]],BD_Produto[#All],6,FALSE)</f>
        <v>OLFA, TESOURA ESPECIAL SCS-4</v>
      </c>
      <c r="C54" s="64" t="str">
        <f>VLOOKUP(Importação[[#This Row],[Código]],BD_Produto[#All],2,FALSE)</f>
        <v>Olfa</v>
      </c>
      <c r="D54" s="64" t="str">
        <f>VLOOKUP(Importação[[#This Row],[Código]],BD_Produto[#All],3,FALSE)</f>
        <v>Tesoura</v>
      </c>
      <c r="E54" s="64" t="str">
        <f>VLOOKUP(Importação[[#This Row],[Código]],BD_Produto[#All],4,FALSE)</f>
        <v>Tesoura</v>
      </c>
      <c r="F54" s="51"/>
      <c r="G54" s="113"/>
      <c r="I54" s="48">
        <v>42591</v>
      </c>
      <c r="J54" s="49" t="s">
        <v>2828</v>
      </c>
      <c r="K54" s="80">
        <v>42597</v>
      </c>
      <c r="L54" s="80">
        <v>42597</v>
      </c>
      <c r="M54" s="50"/>
      <c r="N54" s="115">
        <v>42705</v>
      </c>
      <c r="P54" s="54">
        <v>33070663730</v>
      </c>
      <c r="Q54" s="168" t="s">
        <v>701</v>
      </c>
      <c r="R54" s="53"/>
    </row>
    <row r="55" spans="1:18" x14ac:dyDescent="0.25">
      <c r="A55" s="47">
        <v>33070665297</v>
      </c>
      <c r="B55" s="64" t="str">
        <f>VLOOKUP(Importação[[#This Row],[Código]],BD_Produto[#All],6,FALSE)</f>
        <v>OLFA, ESTILETE ROTATIVO RTY-2/C (45MM)</v>
      </c>
      <c r="C55" s="64" t="str">
        <f>VLOOKUP(Importação[[#This Row],[Código]],BD_Produto[#All],2,FALSE)</f>
        <v>Olfa</v>
      </c>
      <c r="D55" s="64" t="str">
        <f>VLOOKUP(Importação[[#This Row],[Código]],BD_Produto[#All],3,FALSE)</f>
        <v>Estilete Rotativo</v>
      </c>
      <c r="E55" s="64" t="str">
        <f>VLOOKUP(Importação[[#This Row],[Código]],BD_Produto[#All],4,FALSE)</f>
        <v>Rotativo</v>
      </c>
      <c r="F55" s="51"/>
      <c r="G55" s="113"/>
      <c r="I55" s="48">
        <v>42591</v>
      </c>
      <c r="J55" s="49" t="s">
        <v>2828</v>
      </c>
      <c r="K55" s="80">
        <v>42597</v>
      </c>
      <c r="L55" s="80">
        <v>42597</v>
      </c>
      <c r="M55" s="50"/>
      <c r="N55" s="115">
        <v>42705</v>
      </c>
      <c r="P55" s="54">
        <v>33070665319</v>
      </c>
      <c r="Q55" s="168" t="s">
        <v>3076</v>
      </c>
      <c r="R55" s="53"/>
    </row>
    <row r="56" spans="1:18" x14ac:dyDescent="0.25">
      <c r="A56" s="47">
        <v>33070654135</v>
      </c>
      <c r="B56" s="64" t="str">
        <f>VLOOKUP(Importação[[#This Row],[Código]],BD_Produto[#All],6,FALSE)</f>
        <v>OLFA, ESTOJO DE LÂMINAS RSKB-2 - KIT COM 5</v>
      </c>
      <c r="C56" s="64" t="str">
        <f>VLOOKUP(Importação[[#This Row],[Código]],BD_Produto[#All],2,FALSE)</f>
        <v>Olfa</v>
      </c>
      <c r="D56" s="64" t="str">
        <f>VLOOKUP(Importação[[#This Row],[Código]],BD_Produto[#All],3,FALSE)</f>
        <v>Estojo de Lâminas</v>
      </c>
      <c r="E56" s="64" t="str">
        <f>VLOOKUP(Importação[[#This Row],[Código]],BD_Produto[#All],4,FALSE)</f>
        <v>Segurança</v>
      </c>
      <c r="F56" s="51"/>
      <c r="G56" s="113"/>
      <c r="I56" s="48">
        <v>42591</v>
      </c>
      <c r="J56" s="49" t="s">
        <v>2828</v>
      </c>
      <c r="K56" s="80">
        <v>42597</v>
      </c>
      <c r="L56" s="80">
        <v>42597</v>
      </c>
      <c r="M56" s="50"/>
      <c r="N56" s="115">
        <v>42705</v>
      </c>
      <c r="P56" s="54">
        <v>33070665320</v>
      </c>
      <c r="Q56" s="168" t="s">
        <v>3077</v>
      </c>
      <c r="R56" s="53"/>
    </row>
    <row r="57" spans="1:18" x14ac:dyDescent="0.25">
      <c r="A57" s="47">
        <v>33070660894</v>
      </c>
      <c r="B57" s="64" t="str">
        <f>VLOOKUP(Importação[[#This Row],[Código]],BD_Produto[#All],6,FALSE)</f>
        <v>OLFA, ESTILETE MULTIUSO A-5</v>
      </c>
      <c r="C57" s="64" t="str">
        <f>VLOOKUP(Importação[[#This Row],[Código]],BD_Produto[#All],2,FALSE)</f>
        <v>Olfa</v>
      </c>
      <c r="D57" s="64" t="str">
        <f>VLOOKUP(Importação[[#This Row],[Código]],BD_Produto[#All],3,FALSE)</f>
        <v>Estilete Multiuso</v>
      </c>
      <c r="E57" s="64" t="str">
        <f>VLOOKUP(Importação[[#This Row],[Código]],BD_Produto[#All],4,FALSE)</f>
        <v>Multiuso</v>
      </c>
      <c r="F57" s="51"/>
      <c r="G57" s="113"/>
      <c r="I57" s="48">
        <v>42591</v>
      </c>
      <c r="J57" s="49" t="s">
        <v>2828</v>
      </c>
      <c r="K57" s="80">
        <v>42597</v>
      </c>
      <c r="L57" s="80">
        <v>42597</v>
      </c>
      <c r="M57" s="50"/>
      <c r="N57" s="115">
        <v>42705</v>
      </c>
      <c r="P57" s="54">
        <v>33070665327</v>
      </c>
      <c r="Q57" s="168" t="s">
        <v>3078</v>
      </c>
      <c r="R57" s="53"/>
    </row>
    <row r="58" spans="1:18" x14ac:dyDescent="0.25">
      <c r="A58" s="47">
        <v>33070663730</v>
      </c>
      <c r="B58" s="64" t="str">
        <f>VLOOKUP(Importação[[#This Row],[Código]],BD_Produto[#All],6,FALSE)</f>
        <v>OLFA, ESTILETE HEAVY DUTY ML</v>
      </c>
      <c r="C58" s="64" t="str">
        <f>VLOOKUP(Importação[[#This Row],[Código]],BD_Produto[#All],2,FALSE)</f>
        <v>Olfa</v>
      </c>
      <c r="D58" s="64" t="str">
        <f>VLOOKUP(Importação[[#This Row],[Código]],BD_Produto[#All],3,FALSE)</f>
        <v>Estilete Multiuso</v>
      </c>
      <c r="E58" s="64" t="str">
        <f>VLOOKUP(Importação[[#This Row],[Código]],BD_Produto[#All],4,FALSE)</f>
        <v>Multiuso</v>
      </c>
      <c r="F58" s="51"/>
      <c r="G58" s="113"/>
      <c r="I58" s="48">
        <v>42591</v>
      </c>
      <c r="J58" s="49" t="s">
        <v>2828</v>
      </c>
      <c r="K58" s="80">
        <v>42597</v>
      </c>
      <c r="L58" s="80">
        <v>42597</v>
      </c>
      <c r="M58" s="50"/>
      <c r="N58" s="115">
        <v>42705</v>
      </c>
      <c r="P58" s="54">
        <v>33070665325</v>
      </c>
      <c r="Q58" s="168" t="s">
        <v>3082</v>
      </c>
      <c r="R58" s="53"/>
    </row>
    <row r="59" spans="1:18" x14ac:dyDescent="0.25">
      <c r="A59" s="47">
        <v>33070665298</v>
      </c>
      <c r="B59" s="64" t="str">
        <f>VLOOKUP(Importação[[#This Row],[Código]],BD_Produto[#All],6,FALSE)</f>
        <v>OLFA, ESTILETE DE SEGURANÇA SK-12</v>
      </c>
      <c r="C59" s="64" t="str">
        <f>VLOOKUP(Importação[[#This Row],[Código]],BD_Produto[#All],2,FALSE)</f>
        <v>Olfa</v>
      </c>
      <c r="D59" s="64" t="str">
        <f>VLOOKUP(Importação[[#This Row],[Código]],BD_Produto[#All],3,FALSE)</f>
        <v>Estilete de Segurança</v>
      </c>
      <c r="E59" s="64" t="str">
        <f>VLOOKUP(Importação[[#This Row],[Código]],BD_Produto[#All],4,FALSE)</f>
        <v>Segurança</v>
      </c>
      <c r="F59" s="51"/>
      <c r="G59" s="113"/>
      <c r="I59" s="48">
        <v>42591</v>
      </c>
      <c r="J59" s="49" t="s">
        <v>2828</v>
      </c>
      <c r="K59" s="80">
        <v>42597</v>
      </c>
      <c r="L59" s="80">
        <v>42597</v>
      </c>
      <c r="M59" s="50"/>
      <c r="N59" s="115">
        <v>42705</v>
      </c>
      <c r="P59" s="54">
        <v>33070665326</v>
      </c>
      <c r="Q59" s="168" t="s">
        <v>3080</v>
      </c>
      <c r="R59" s="53"/>
    </row>
    <row r="60" spans="1:18" x14ac:dyDescent="0.25">
      <c r="A60" s="47">
        <v>33070665319</v>
      </c>
      <c r="B60" s="64" t="str">
        <f>VLOOKUP(Importação[[#This Row],[Código]],BD_Produto[#All],6,FALSE)</f>
        <v>OLFA, ESPÁTULA GSR-1/3B</v>
      </c>
      <c r="C60" s="64" t="str">
        <f>VLOOKUP(Importação[[#This Row],[Código]],BD_Produto[#All],2,FALSE)</f>
        <v>Olfa</v>
      </c>
      <c r="D60" s="64" t="str">
        <f>VLOOKUP(Importação[[#This Row],[Código]],BD_Produto[#All],3,FALSE)</f>
        <v>Espátula</v>
      </c>
      <c r="E60" s="64" t="str">
        <f>VLOOKUP(Importação[[#This Row],[Código]],BD_Produto[#All],4,FALSE)</f>
        <v>Espátula</v>
      </c>
      <c r="F60" s="51"/>
      <c r="G60" s="113"/>
      <c r="I60" s="48">
        <v>42591</v>
      </c>
      <c r="J60" s="49" t="s">
        <v>2828</v>
      </c>
      <c r="K60" s="80">
        <v>42597</v>
      </c>
      <c r="L60" s="80">
        <v>42597</v>
      </c>
      <c r="M60" s="50"/>
      <c r="N60" s="115">
        <v>42705</v>
      </c>
    </row>
    <row r="61" spans="1:18" x14ac:dyDescent="0.25">
      <c r="A61" s="47">
        <v>33070665320</v>
      </c>
      <c r="B61" s="64" t="str">
        <f>VLOOKUP(Importação[[#This Row],[Código]],BD_Produto[#All],6,FALSE)</f>
        <v>OLFA, ESTOJO DE LÂMINAS GSB-1S - KIT COM 30</v>
      </c>
      <c r="C61" s="64" t="str">
        <f>VLOOKUP(Importação[[#This Row],[Código]],BD_Produto[#All],2,FALSE)</f>
        <v>Olfa</v>
      </c>
      <c r="D61" s="64" t="str">
        <f>VLOOKUP(Importação[[#This Row],[Código]],BD_Produto[#All],3,FALSE)</f>
        <v>Estojo de Lâminas</v>
      </c>
      <c r="E61" s="64" t="str">
        <f>VLOOKUP(Importação[[#This Row],[Código]],BD_Produto[#All],4,FALSE)</f>
        <v>Espátula</v>
      </c>
      <c r="F61" s="51"/>
      <c r="G61" s="113"/>
      <c r="I61" s="48">
        <v>42591</v>
      </c>
      <c r="J61" s="49" t="s">
        <v>2828</v>
      </c>
      <c r="K61" s="80">
        <v>42597</v>
      </c>
      <c r="L61" s="80">
        <v>42597</v>
      </c>
      <c r="M61" s="50"/>
      <c r="N61" s="115">
        <v>42705</v>
      </c>
    </row>
    <row r="62" spans="1:18" x14ac:dyDescent="0.25">
      <c r="A62" s="47">
        <v>33070665327</v>
      </c>
      <c r="B62" s="64" t="str">
        <f>VLOOKUP(Importação[[#This Row],[Código]],BD_Produto[#All],6,FALSE)</f>
        <v>OLFA, ESTOJO DE LÂMINAS SKB-2S/10B - AÇO INOX - KIT COM 10</v>
      </c>
      <c r="C62" s="64" t="str">
        <f>VLOOKUP(Importação[[#This Row],[Código]],BD_Produto[#All],2,FALSE)</f>
        <v>Olfa</v>
      </c>
      <c r="D62" s="64" t="str">
        <f>VLOOKUP(Importação[[#This Row],[Código]],BD_Produto[#All],3,FALSE)</f>
        <v>Estojo de Lâminas</v>
      </c>
      <c r="E62" s="64" t="str">
        <f>VLOOKUP(Importação[[#This Row],[Código]],BD_Produto[#All],4,FALSE)</f>
        <v>Segurança</v>
      </c>
      <c r="F62" s="51"/>
      <c r="G62" s="113"/>
      <c r="I62" s="48">
        <v>42591</v>
      </c>
      <c r="J62" s="49" t="s">
        <v>2828</v>
      </c>
      <c r="K62" s="80">
        <v>42597</v>
      </c>
      <c r="L62" s="80">
        <v>42597</v>
      </c>
      <c r="M62" s="50"/>
      <c r="N62" s="115">
        <v>42705</v>
      </c>
    </row>
    <row r="63" spans="1:18" x14ac:dyDescent="0.25">
      <c r="A63" s="47">
        <v>33070665325</v>
      </c>
      <c r="B63" s="64" t="str">
        <f>VLOOKUP(Importação[[#This Row],[Código]],BD_Produto[#All],6,FALSE)</f>
        <v>OLFA, ESTILETE HEAVY DUTY L5-AL/LWB</v>
      </c>
      <c r="C63" s="64" t="str">
        <f>VLOOKUP(Importação[[#This Row],[Código]],BD_Produto[#All],2,FALSE)</f>
        <v>Olfa</v>
      </c>
      <c r="D63" s="64" t="str">
        <f>VLOOKUP(Importação[[#This Row],[Código]],BD_Produto[#All],3,FALSE)</f>
        <v>Estilete Heavy Duty</v>
      </c>
      <c r="E63" s="64" t="str">
        <f>VLOOKUP(Importação[[#This Row],[Código]],BD_Produto[#All],4,FALSE)</f>
        <v>Heavy Duty</v>
      </c>
      <c r="F63" s="51"/>
      <c r="G63" s="113"/>
      <c r="I63" s="48">
        <v>42591</v>
      </c>
      <c r="J63" s="49" t="s">
        <v>2828</v>
      </c>
      <c r="K63" s="80">
        <v>42597</v>
      </c>
      <c r="L63" s="80">
        <v>42597</v>
      </c>
      <c r="M63" s="50"/>
      <c r="N63" s="115">
        <v>42705</v>
      </c>
    </row>
    <row r="64" spans="1:18" x14ac:dyDescent="0.25">
      <c r="A64" s="47">
        <v>33070665326</v>
      </c>
      <c r="B64" s="64" t="str">
        <f>VLOOKUP(Importação[[#This Row],[Código]],BD_Produto[#All],6,FALSE)</f>
        <v>OLFA, ESTILETE HEAVY DUTY L-5/FLB</v>
      </c>
      <c r="C64" s="64" t="str">
        <f>VLOOKUP(Importação[[#This Row],[Código]],BD_Produto[#All],2,FALSE)</f>
        <v>Olfa</v>
      </c>
      <c r="D64" s="64" t="str">
        <f>VLOOKUP(Importação[[#This Row],[Código]],BD_Produto[#All],3,FALSE)</f>
        <v>Estilete Heavy Duty</v>
      </c>
      <c r="E64" s="64" t="str">
        <f>VLOOKUP(Importação[[#This Row],[Código]],BD_Produto[#All],4,FALSE)</f>
        <v>Heavy Duty</v>
      </c>
      <c r="F64" s="51"/>
      <c r="G64" s="113"/>
      <c r="I64" s="48">
        <v>42591</v>
      </c>
      <c r="J64" s="49" t="s">
        <v>2828</v>
      </c>
      <c r="K64" s="80">
        <v>42597</v>
      </c>
      <c r="L64" s="80">
        <v>42597</v>
      </c>
      <c r="M64" s="50"/>
      <c r="N64" s="115">
        <v>42705</v>
      </c>
    </row>
  </sheetData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1">
    <tablePart r:id="rId4"/>
  </tableParts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48"/>
  <sheetViews>
    <sheetView topLeftCell="A1602" zoomScale="70" zoomScaleNormal="70" workbookViewId="0">
      <selection activeCell="F1651" sqref="F1651"/>
    </sheetView>
  </sheetViews>
  <sheetFormatPr defaultColWidth="9.140625" defaultRowHeight="15" x14ac:dyDescent="0.25"/>
  <cols>
    <col min="1" max="1" width="13.140625" style="29" bestFit="1" customWidth="1"/>
    <col min="2" max="2" width="20" style="1" bestFit="1" customWidth="1"/>
    <col min="3" max="3" width="22.28515625" style="1" bestFit="1" customWidth="1"/>
    <col min="4" max="4" width="29.42578125" style="1" bestFit="1" customWidth="1"/>
    <col min="5" max="5" width="20.28515625" style="1" bestFit="1" customWidth="1"/>
    <col min="6" max="6" width="81" style="1" bestFit="1" customWidth="1"/>
    <col min="7" max="7" width="17.5703125" style="1" bestFit="1" customWidth="1"/>
    <col min="8" max="8" width="81" style="1" bestFit="1" customWidth="1"/>
    <col min="9" max="9" width="26" style="1" bestFit="1" customWidth="1"/>
    <col min="10" max="16384" width="9.140625" style="1"/>
  </cols>
  <sheetData>
    <row r="1" spans="1:8" x14ac:dyDescent="0.25">
      <c r="A1" s="29" t="s">
        <v>1725</v>
      </c>
      <c r="B1" s="1" t="s">
        <v>1726</v>
      </c>
      <c r="C1" s="1" t="s">
        <v>3</v>
      </c>
      <c r="D1" s="1" t="s">
        <v>4</v>
      </c>
      <c r="E1" s="1" t="s">
        <v>1727</v>
      </c>
      <c r="F1" s="1" t="s">
        <v>2</v>
      </c>
      <c r="G1" s="1" t="s">
        <v>1</v>
      </c>
      <c r="H1" s="1" t="s">
        <v>1728</v>
      </c>
    </row>
    <row r="2" spans="1:8" x14ac:dyDescent="0.25">
      <c r="A2" s="32">
        <v>11052214698</v>
      </c>
      <c r="B2" s="33" t="s">
        <v>2159</v>
      </c>
      <c r="C2" s="33" t="s">
        <v>2160</v>
      </c>
      <c r="D2" s="33"/>
      <c r="E2" s="33" t="s">
        <v>1649</v>
      </c>
      <c r="F2" s="33" t="s">
        <v>2166</v>
      </c>
      <c r="G2" s="33" t="s">
        <v>1732</v>
      </c>
      <c r="H2" s="33" t="s">
        <v>2166</v>
      </c>
    </row>
    <row r="3" spans="1:8" x14ac:dyDescent="0.25">
      <c r="A3" s="32">
        <v>11052214968</v>
      </c>
      <c r="B3" s="33" t="s">
        <v>2159</v>
      </c>
      <c r="C3" s="33" t="s">
        <v>2160</v>
      </c>
      <c r="D3" s="33"/>
      <c r="E3" s="33" t="s">
        <v>1649</v>
      </c>
      <c r="F3" s="33" t="s">
        <v>2163</v>
      </c>
      <c r="G3" s="33" t="s">
        <v>1732</v>
      </c>
      <c r="H3" s="33" t="s">
        <v>2163</v>
      </c>
    </row>
    <row r="4" spans="1:8" x14ac:dyDescent="0.25">
      <c r="A4" s="32">
        <v>11052214969</v>
      </c>
      <c r="B4" s="33" t="s">
        <v>2159</v>
      </c>
      <c r="C4" s="33" t="s">
        <v>2160</v>
      </c>
      <c r="D4" s="33"/>
      <c r="E4" s="33" t="s">
        <v>1649</v>
      </c>
      <c r="F4" s="33" t="s">
        <v>2162</v>
      </c>
      <c r="G4" s="33" t="s">
        <v>1732</v>
      </c>
      <c r="H4" s="33" t="s">
        <v>2162</v>
      </c>
    </row>
    <row r="5" spans="1:8" x14ac:dyDescent="0.25">
      <c r="A5" s="32">
        <v>11052214970</v>
      </c>
      <c r="B5" s="33" t="s">
        <v>2159</v>
      </c>
      <c r="C5" s="33" t="s">
        <v>2160</v>
      </c>
      <c r="D5" s="33"/>
      <c r="E5" s="33" t="s">
        <v>1649</v>
      </c>
      <c r="F5" s="33" t="s">
        <v>2164</v>
      </c>
      <c r="G5" s="33" t="s">
        <v>1732</v>
      </c>
      <c r="H5" s="33" t="s">
        <v>2164</v>
      </c>
    </row>
    <row r="6" spans="1:8" x14ac:dyDescent="0.25">
      <c r="A6" s="32">
        <v>11052214971</v>
      </c>
      <c r="B6" s="33" t="s">
        <v>2159</v>
      </c>
      <c r="C6" s="33" t="s">
        <v>2160</v>
      </c>
      <c r="D6" s="33"/>
      <c r="E6" s="33" t="s">
        <v>1649</v>
      </c>
      <c r="F6" s="33" t="s">
        <v>2165</v>
      </c>
      <c r="G6" s="33" t="s">
        <v>1732</v>
      </c>
      <c r="H6" s="33" t="s">
        <v>2165</v>
      </c>
    </row>
    <row r="7" spans="1:8" x14ac:dyDescent="0.25">
      <c r="A7" s="32">
        <v>11052214972</v>
      </c>
      <c r="B7" s="33" t="s">
        <v>2159</v>
      </c>
      <c r="C7" s="33" t="s">
        <v>2160</v>
      </c>
      <c r="D7" s="33"/>
      <c r="E7" s="33" t="s">
        <v>1649</v>
      </c>
      <c r="F7" s="33" t="s">
        <v>2161</v>
      </c>
      <c r="G7" s="33" t="s">
        <v>1732</v>
      </c>
      <c r="H7" s="33" t="s">
        <v>2161</v>
      </c>
    </row>
    <row r="8" spans="1:8" x14ac:dyDescent="0.25">
      <c r="A8" s="32">
        <v>11061224013</v>
      </c>
      <c r="B8" s="33" t="s">
        <v>2167</v>
      </c>
      <c r="C8" s="33" t="s">
        <v>2171</v>
      </c>
      <c r="D8" s="33" t="s">
        <v>2174</v>
      </c>
      <c r="E8" s="33"/>
      <c r="F8" s="33" t="s">
        <v>40</v>
      </c>
      <c r="G8" s="33" t="s">
        <v>2150</v>
      </c>
      <c r="H8" s="33" t="s">
        <v>40</v>
      </c>
    </row>
    <row r="9" spans="1:8" x14ac:dyDescent="0.25">
      <c r="A9" s="32">
        <v>11061224034</v>
      </c>
      <c r="B9" s="33" t="s">
        <v>2167</v>
      </c>
      <c r="C9" s="33" t="s">
        <v>2171</v>
      </c>
      <c r="D9" s="33" t="s">
        <v>2170</v>
      </c>
      <c r="E9" s="33"/>
      <c r="F9" s="33" t="s">
        <v>2829</v>
      </c>
      <c r="G9" s="33" t="s">
        <v>1649</v>
      </c>
      <c r="H9" s="33" t="s">
        <v>41</v>
      </c>
    </row>
    <row r="10" spans="1:8" x14ac:dyDescent="0.25">
      <c r="A10" s="32">
        <v>11061224035</v>
      </c>
      <c r="B10" s="33" t="s">
        <v>2167</v>
      </c>
      <c r="C10" s="33" t="s">
        <v>2171</v>
      </c>
      <c r="D10" s="33" t="s">
        <v>2172</v>
      </c>
      <c r="E10" s="33"/>
      <c r="F10" s="33" t="s">
        <v>2830</v>
      </c>
      <c r="G10" s="33" t="s">
        <v>1649</v>
      </c>
      <c r="H10" s="33" t="s">
        <v>42</v>
      </c>
    </row>
    <row r="11" spans="1:8" x14ac:dyDescent="0.25">
      <c r="A11" s="32">
        <v>11061224036</v>
      </c>
      <c r="B11" s="33" t="s">
        <v>2167</v>
      </c>
      <c r="C11" s="33" t="s">
        <v>2171</v>
      </c>
      <c r="D11" s="33" t="s">
        <v>2176</v>
      </c>
      <c r="E11" s="33"/>
      <c r="F11" s="33" t="s">
        <v>43</v>
      </c>
      <c r="G11" s="33" t="s">
        <v>2150</v>
      </c>
      <c r="H11" s="33" t="s">
        <v>43</v>
      </c>
    </row>
    <row r="12" spans="1:8" x14ac:dyDescent="0.25">
      <c r="A12" s="32">
        <v>11061224037</v>
      </c>
      <c r="B12" s="33" t="s">
        <v>2167</v>
      </c>
      <c r="C12" s="33" t="s">
        <v>2171</v>
      </c>
      <c r="D12" s="33" t="s">
        <v>2169</v>
      </c>
      <c r="E12" s="33"/>
      <c r="F12" s="33" t="s">
        <v>44</v>
      </c>
      <c r="G12" s="33" t="s">
        <v>1649</v>
      </c>
      <c r="H12" s="33" t="s">
        <v>44</v>
      </c>
    </row>
    <row r="13" spans="1:8" x14ac:dyDescent="0.25">
      <c r="A13" s="32">
        <v>11061224043</v>
      </c>
      <c r="B13" s="33" t="s">
        <v>2167</v>
      </c>
      <c r="C13" s="33" t="s">
        <v>2168</v>
      </c>
      <c r="D13" s="33" t="s">
        <v>2170</v>
      </c>
      <c r="E13" s="33"/>
      <c r="F13" s="33" t="s">
        <v>2831</v>
      </c>
      <c r="G13" s="33" t="s">
        <v>1649</v>
      </c>
      <c r="H13" s="33" t="s">
        <v>45</v>
      </c>
    </row>
    <row r="14" spans="1:8" x14ac:dyDescent="0.25">
      <c r="A14" s="32">
        <v>11061224044</v>
      </c>
      <c r="B14" s="33" t="s">
        <v>2167</v>
      </c>
      <c r="C14" s="33" t="s">
        <v>2168</v>
      </c>
      <c r="D14" s="33" t="s">
        <v>2169</v>
      </c>
      <c r="E14" s="33"/>
      <c r="F14" s="33" t="s">
        <v>46</v>
      </c>
      <c r="G14" s="33" t="s">
        <v>1649</v>
      </c>
      <c r="H14" s="33" t="s">
        <v>46</v>
      </c>
    </row>
    <row r="15" spans="1:8" x14ac:dyDescent="0.25">
      <c r="A15" s="32">
        <v>11061224654</v>
      </c>
      <c r="B15" s="33" t="s">
        <v>2167</v>
      </c>
      <c r="C15" s="33" t="s">
        <v>2221</v>
      </c>
      <c r="D15" s="33" t="s">
        <v>2222</v>
      </c>
      <c r="E15" s="33"/>
      <c r="F15" s="33" t="s">
        <v>47</v>
      </c>
      <c r="G15" s="33" t="s">
        <v>2150</v>
      </c>
      <c r="H15" s="33" t="s">
        <v>47</v>
      </c>
    </row>
    <row r="16" spans="1:8" x14ac:dyDescent="0.25">
      <c r="A16" s="32">
        <v>11061260273</v>
      </c>
      <c r="B16" s="33" t="s">
        <v>2167</v>
      </c>
      <c r="C16" s="33" t="s">
        <v>2175</v>
      </c>
      <c r="D16" s="33" t="s">
        <v>2174</v>
      </c>
      <c r="E16" s="33"/>
      <c r="F16" s="33" t="s">
        <v>48</v>
      </c>
      <c r="G16" s="33" t="s">
        <v>2150</v>
      </c>
      <c r="H16" s="33" t="s">
        <v>48</v>
      </c>
    </row>
    <row r="17" spans="1:8" x14ac:dyDescent="0.25">
      <c r="A17" s="32">
        <v>11061260274</v>
      </c>
      <c r="B17" s="33" t="s">
        <v>2167</v>
      </c>
      <c r="C17" s="33" t="s">
        <v>2173</v>
      </c>
      <c r="D17" s="33" t="s">
        <v>2174</v>
      </c>
      <c r="E17" s="33"/>
      <c r="F17" s="33" t="s">
        <v>49</v>
      </c>
      <c r="G17" s="33" t="s">
        <v>2150</v>
      </c>
      <c r="H17" s="33" t="s">
        <v>49</v>
      </c>
    </row>
    <row r="18" spans="1:8" x14ac:dyDescent="0.25">
      <c r="A18" s="32">
        <v>11100062410</v>
      </c>
      <c r="B18" s="33" t="s">
        <v>1737</v>
      </c>
      <c r="C18" s="33" t="s">
        <v>2850</v>
      </c>
      <c r="D18" s="33"/>
      <c r="E18" s="33" t="s">
        <v>1649</v>
      </c>
      <c r="F18" s="33" t="s">
        <v>2851</v>
      </c>
      <c r="G18" s="33" t="s">
        <v>1649</v>
      </c>
      <c r="H18" s="33" t="s">
        <v>2851</v>
      </c>
    </row>
    <row r="19" spans="1:8" x14ac:dyDescent="0.25">
      <c r="A19" s="32">
        <v>11111111111</v>
      </c>
      <c r="B19" s="33" t="s">
        <v>2065</v>
      </c>
      <c r="C19" s="33" t="s">
        <v>2066</v>
      </c>
      <c r="D19" s="33"/>
      <c r="E19" s="33" t="s">
        <v>1730</v>
      </c>
      <c r="F19" s="33" t="s">
        <v>2120</v>
      </c>
      <c r="G19" s="33" t="s">
        <v>1740</v>
      </c>
      <c r="H19" s="33" t="s">
        <v>2120</v>
      </c>
    </row>
    <row r="20" spans="1:8" x14ac:dyDescent="0.25">
      <c r="A20" s="32">
        <v>20011661611</v>
      </c>
      <c r="B20" s="33" t="s">
        <v>1737</v>
      </c>
      <c r="C20" s="33" t="s">
        <v>2850</v>
      </c>
      <c r="D20" s="33"/>
      <c r="E20" s="33" t="s">
        <v>1649</v>
      </c>
      <c r="F20" s="33" t="s">
        <v>51</v>
      </c>
      <c r="G20" s="33" t="s">
        <v>1649</v>
      </c>
      <c r="H20" s="33" t="s">
        <v>51</v>
      </c>
    </row>
    <row r="21" spans="1:8" x14ac:dyDescent="0.25">
      <c r="A21" s="32">
        <v>20100061515</v>
      </c>
      <c r="B21" s="33" t="s">
        <v>1737</v>
      </c>
      <c r="C21" s="33" t="s">
        <v>2850</v>
      </c>
      <c r="D21" s="33"/>
      <c r="E21" s="33" t="s">
        <v>1649</v>
      </c>
      <c r="F21" s="33" t="s">
        <v>2852</v>
      </c>
      <c r="G21" s="33" t="s">
        <v>1649</v>
      </c>
      <c r="H21" s="33" t="s">
        <v>2852</v>
      </c>
    </row>
    <row r="22" spans="1:8" x14ac:dyDescent="0.25">
      <c r="A22" s="32">
        <v>20100061516</v>
      </c>
      <c r="B22" s="33" t="s">
        <v>1737</v>
      </c>
      <c r="C22" s="33" t="s">
        <v>2850</v>
      </c>
      <c r="D22" s="33"/>
      <c r="E22" s="33" t="s">
        <v>1649</v>
      </c>
      <c r="F22" s="33" t="s">
        <v>2853</v>
      </c>
      <c r="G22" s="33" t="s">
        <v>1649</v>
      </c>
      <c r="H22" s="33" t="s">
        <v>2853</v>
      </c>
    </row>
    <row r="23" spans="1:8" x14ac:dyDescent="0.25">
      <c r="A23" s="32">
        <v>20100061517</v>
      </c>
      <c r="B23" s="33" t="s">
        <v>1737</v>
      </c>
      <c r="C23" s="33" t="s">
        <v>2850</v>
      </c>
      <c r="D23" s="33"/>
      <c r="E23" s="33" t="s">
        <v>1649</v>
      </c>
      <c r="F23" s="33" t="s">
        <v>2854</v>
      </c>
      <c r="G23" s="33" t="s">
        <v>1649</v>
      </c>
      <c r="H23" s="33" t="s">
        <v>2854</v>
      </c>
    </row>
    <row r="24" spans="1:8" x14ac:dyDescent="0.25">
      <c r="A24" s="32">
        <v>20100061518</v>
      </c>
      <c r="B24" s="33" t="s">
        <v>1737</v>
      </c>
      <c r="C24" s="33" t="s">
        <v>2850</v>
      </c>
      <c r="D24" s="33"/>
      <c r="E24" s="33" t="s">
        <v>1649</v>
      </c>
      <c r="F24" s="33" t="s">
        <v>2855</v>
      </c>
      <c r="G24" s="33" t="s">
        <v>1649</v>
      </c>
      <c r="H24" s="33" t="s">
        <v>2855</v>
      </c>
    </row>
    <row r="25" spans="1:8" x14ac:dyDescent="0.25">
      <c r="A25" s="32">
        <v>20100061519</v>
      </c>
      <c r="B25" s="33" t="s">
        <v>1737</v>
      </c>
      <c r="C25" s="33" t="s">
        <v>2850</v>
      </c>
      <c r="D25" s="33"/>
      <c r="E25" s="33" t="s">
        <v>1649</v>
      </c>
      <c r="F25" s="33" t="s">
        <v>2856</v>
      </c>
      <c r="G25" s="33" t="s">
        <v>1649</v>
      </c>
      <c r="H25" s="33" t="s">
        <v>2856</v>
      </c>
    </row>
    <row r="26" spans="1:8" x14ac:dyDescent="0.25">
      <c r="A26" s="32">
        <v>20100061520</v>
      </c>
      <c r="B26" s="33" t="s">
        <v>1737</v>
      </c>
      <c r="C26" s="33" t="s">
        <v>2850</v>
      </c>
      <c r="D26" s="33"/>
      <c r="E26" s="33" t="s">
        <v>1649</v>
      </c>
      <c r="F26" s="33" t="s">
        <v>2857</v>
      </c>
      <c r="G26" s="33" t="s">
        <v>1649</v>
      </c>
      <c r="H26" s="33" t="s">
        <v>2857</v>
      </c>
    </row>
    <row r="27" spans="1:8" x14ac:dyDescent="0.25">
      <c r="A27" s="32">
        <v>20100061522</v>
      </c>
      <c r="B27" s="33" t="s">
        <v>1737</v>
      </c>
      <c r="C27" s="33" t="s">
        <v>2850</v>
      </c>
      <c r="D27" s="33"/>
      <c r="E27" s="33" t="s">
        <v>1649</v>
      </c>
      <c r="F27" s="33" t="s">
        <v>58</v>
      </c>
      <c r="G27" s="33" t="s">
        <v>1649</v>
      </c>
      <c r="H27" s="33" t="s">
        <v>58</v>
      </c>
    </row>
    <row r="28" spans="1:8" x14ac:dyDescent="0.25">
      <c r="A28" s="32">
        <v>20100061523</v>
      </c>
      <c r="B28" s="33" t="s">
        <v>1737</v>
      </c>
      <c r="C28" s="33" t="s">
        <v>2850</v>
      </c>
      <c r="D28" s="33"/>
      <c r="E28" s="33" t="s">
        <v>1649</v>
      </c>
      <c r="F28" s="33" t="s">
        <v>2858</v>
      </c>
      <c r="G28" s="33" t="s">
        <v>1649</v>
      </c>
      <c r="H28" s="33" t="s">
        <v>2858</v>
      </c>
    </row>
    <row r="29" spans="1:8" x14ac:dyDescent="0.25">
      <c r="A29" s="32">
        <v>20100061524</v>
      </c>
      <c r="B29" s="33" t="s">
        <v>1737</v>
      </c>
      <c r="C29" s="33" t="s">
        <v>2850</v>
      </c>
      <c r="D29" s="33"/>
      <c r="E29" s="33" t="s">
        <v>1649</v>
      </c>
      <c r="F29" s="33" t="s">
        <v>2859</v>
      </c>
      <c r="G29" s="33" t="s">
        <v>1649</v>
      </c>
      <c r="H29" s="33" t="s">
        <v>2859</v>
      </c>
    </row>
    <row r="30" spans="1:8" x14ac:dyDescent="0.25">
      <c r="A30" s="32">
        <v>20100061525</v>
      </c>
      <c r="B30" s="33" t="s">
        <v>1737</v>
      </c>
      <c r="C30" s="33" t="s">
        <v>2850</v>
      </c>
      <c r="D30" s="33"/>
      <c r="E30" s="33" t="s">
        <v>1649</v>
      </c>
      <c r="F30" s="33" t="s">
        <v>2860</v>
      </c>
      <c r="G30" s="33" t="s">
        <v>1649</v>
      </c>
      <c r="H30" s="33" t="s">
        <v>2860</v>
      </c>
    </row>
    <row r="31" spans="1:8" x14ac:dyDescent="0.25">
      <c r="A31" s="32">
        <v>20100061526</v>
      </c>
      <c r="B31" s="33" t="s">
        <v>1737</v>
      </c>
      <c r="C31" s="33" t="s">
        <v>2850</v>
      </c>
      <c r="D31" s="33"/>
      <c r="E31" s="33" t="s">
        <v>1649</v>
      </c>
      <c r="F31" s="33" t="s">
        <v>2861</v>
      </c>
      <c r="G31" s="33" t="s">
        <v>1649</v>
      </c>
      <c r="H31" s="33" t="s">
        <v>2861</v>
      </c>
    </row>
    <row r="32" spans="1:8" x14ac:dyDescent="0.25">
      <c r="A32" s="32">
        <v>20100062807</v>
      </c>
      <c r="B32" s="33" t="s">
        <v>1737</v>
      </c>
      <c r="C32" s="33" t="s">
        <v>2850</v>
      </c>
      <c r="D32" s="33"/>
      <c r="E32" s="33" t="s">
        <v>1649</v>
      </c>
      <c r="F32" s="33" t="s">
        <v>2862</v>
      </c>
      <c r="G32" s="33" t="s">
        <v>1649</v>
      </c>
      <c r="H32" s="33" t="s">
        <v>2862</v>
      </c>
    </row>
    <row r="33" spans="1:8" x14ac:dyDescent="0.25">
      <c r="A33" s="32">
        <v>20100062808</v>
      </c>
      <c r="B33" s="33" t="s">
        <v>1737</v>
      </c>
      <c r="C33" s="33" t="s">
        <v>2850</v>
      </c>
      <c r="D33" s="33"/>
      <c r="E33" s="33" t="s">
        <v>1649</v>
      </c>
      <c r="F33" s="33" t="s">
        <v>2863</v>
      </c>
      <c r="G33" s="33" t="s">
        <v>1649</v>
      </c>
      <c r="H33" s="33" t="s">
        <v>2863</v>
      </c>
    </row>
    <row r="34" spans="1:8" x14ac:dyDescent="0.25">
      <c r="A34" s="32">
        <v>20100062809</v>
      </c>
      <c r="B34" s="33" t="s">
        <v>1737</v>
      </c>
      <c r="C34" s="33" t="s">
        <v>2850</v>
      </c>
      <c r="D34" s="33"/>
      <c r="E34" s="33" t="s">
        <v>1649</v>
      </c>
      <c r="F34" s="33" t="s">
        <v>2864</v>
      </c>
      <c r="G34" s="33" t="s">
        <v>1649</v>
      </c>
      <c r="H34" s="33" t="s">
        <v>2864</v>
      </c>
    </row>
    <row r="35" spans="1:8" x14ac:dyDescent="0.25">
      <c r="A35" s="32">
        <v>20100062810</v>
      </c>
      <c r="B35" s="33" t="s">
        <v>1737</v>
      </c>
      <c r="C35" s="33" t="s">
        <v>2850</v>
      </c>
      <c r="D35" s="33"/>
      <c r="E35" s="33" t="s">
        <v>1649</v>
      </c>
      <c r="F35" s="33" t="s">
        <v>2865</v>
      </c>
      <c r="G35" s="33" t="s">
        <v>1649</v>
      </c>
      <c r="H35" s="33" t="s">
        <v>2865</v>
      </c>
    </row>
    <row r="36" spans="1:8" x14ac:dyDescent="0.25">
      <c r="A36" s="32">
        <v>20100062811</v>
      </c>
      <c r="B36" s="33" t="s">
        <v>1737</v>
      </c>
      <c r="C36" s="33" t="s">
        <v>2850</v>
      </c>
      <c r="D36" s="33"/>
      <c r="E36" s="33" t="s">
        <v>1649</v>
      </c>
      <c r="F36" s="33" t="s">
        <v>2866</v>
      </c>
      <c r="G36" s="33" t="s">
        <v>1649</v>
      </c>
      <c r="H36" s="33" t="s">
        <v>2866</v>
      </c>
    </row>
    <row r="37" spans="1:8" x14ac:dyDescent="0.25">
      <c r="A37" s="32">
        <v>20100062812</v>
      </c>
      <c r="B37" s="33" t="s">
        <v>1737</v>
      </c>
      <c r="C37" s="33" t="s">
        <v>2850</v>
      </c>
      <c r="D37" s="33"/>
      <c r="E37" s="33" t="s">
        <v>1649</v>
      </c>
      <c r="F37" s="33" t="s">
        <v>2867</v>
      </c>
      <c r="G37" s="33" t="s">
        <v>1649</v>
      </c>
      <c r="H37" s="33" t="s">
        <v>2867</v>
      </c>
    </row>
    <row r="38" spans="1:8" x14ac:dyDescent="0.25">
      <c r="A38" s="32">
        <v>20100062813</v>
      </c>
      <c r="B38" s="33" t="s">
        <v>1737</v>
      </c>
      <c r="C38" s="33" t="s">
        <v>2850</v>
      </c>
      <c r="D38" s="33"/>
      <c r="E38" s="33" t="s">
        <v>1649</v>
      </c>
      <c r="F38" s="33" t="s">
        <v>2868</v>
      </c>
      <c r="G38" s="33" t="s">
        <v>1649</v>
      </c>
      <c r="H38" s="33" t="s">
        <v>2868</v>
      </c>
    </row>
    <row r="39" spans="1:8" x14ac:dyDescent="0.25">
      <c r="A39" s="32">
        <v>20100062815</v>
      </c>
      <c r="B39" s="33" t="s">
        <v>1737</v>
      </c>
      <c r="C39" s="33" t="s">
        <v>2850</v>
      </c>
      <c r="D39" s="33"/>
      <c r="E39" s="33" t="s">
        <v>1649</v>
      </c>
      <c r="F39" s="33" t="s">
        <v>2869</v>
      </c>
      <c r="G39" s="33" t="s">
        <v>1649</v>
      </c>
      <c r="H39" s="33" t="s">
        <v>2869</v>
      </c>
    </row>
    <row r="40" spans="1:8" x14ac:dyDescent="0.25">
      <c r="A40" s="32">
        <v>20100062816</v>
      </c>
      <c r="B40" s="33" t="s">
        <v>1737</v>
      </c>
      <c r="C40" s="33" t="s">
        <v>2850</v>
      </c>
      <c r="D40" s="33"/>
      <c r="E40" s="33" t="s">
        <v>1649</v>
      </c>
      <c r="F40" s="33" t="s">
        <v>2870</v>
      </c>
      <c r="G40" s="33" t="s">
        <v>1649</v>
      </c>
      <c r="H40" s="33" t="s">
        <v>2870</v>
      </c>
    </row>
    <row r="41" spans="1:8" x14ac:dyDescent="0.25">
      <c r="A41" s="32">
        <v>22222222222</v>
      </c>
      <c r="B41" s="33" t="s">
        <v>2065</v>
      </c>
      <c r="C41" s="33" t="s">
        <v>2066</v>
      </c>
      <c r="D41" s="33"/>
      <c r="E41" s="33" t="s">
        <v>1730</v>
      </c>
      <c r="F41" s="33" t="s">
        <v>2121</v>
      </c>
      <c r="G41" s="33" t="s">
        <v>1740</v>
      </c>
      <c r="H41" s="33" t="s">
        <v>2121</v>
      </c>
    </row>
    <row r="42" spans="1:8" x14ac:dyDescent="0.25">
      <c r="A42" s="32">
        <v>30052214961</v>
      </c>
      <c r="B42" s="33" t="s">
        <v>2159</v>
      </c>
      <c r="C42" s="33" t="s">
        <v>2160</v>
      </c>
      <c r="D42" s="33"/>
      <c r="E42" s="33" t="s">
        <v>1730</v>
      </c>
      <c r="F42" s="33" t="s">
        <v>2193</v>
      </c>
      <c r="G42" s="33" t="s">
        <v>1732</v>
      </c>
      <c r="H42" s="33" t="s">
        <v>2193</v>
      </c>
    </row>
    <row r="43" spans="1:8" x14ac:dyDescent="0.25">
      <c r="A43" s="32">
        <v>30052214962</v>
      </c>
      <c r="B43" s="33" t="s">
        <v>2159</v>
      </c>
      <c r="C43" s="33" t="s">
        <v>2160</v>
      </c>
      <c r="D43" s="33"/>
      <c r="E43" s="33" t="s">
        <v>1730</v>
      </c>
      <c r="F43" s="33" t="s">
        <v>2196</v>
      </c>
      <c r="G43" s="33" t="s">
        <v>1732</v>
      </c>
      <c r="H43" s="33" t="s">
        <v>2196</v>
      </c>
    </row>
    <row r="44" spans="1:8" x14ac:dyDescent="0.25">
      <c r="A44" s="32">
        <v>30052214963</v>
      </c>
      <c r="B44" s="33" t="s">
        <v>2159</v>
      </c>
      <c r="C44" s="33" t="s">
        <v>2160</v>
      </c>
      <c r="D44" s="33"/>
      <c r="E44" s="33" t="s">
        <v>1730</v>
      </c>
      <c r="F44" s="33" t="s">
        <v>2201</v>
      </c>
      <c r="G44" s="33" t="s">
        <v>1732</v>
      </c>
      <c r="H44" s="33" t="s">
        <v>2201</v>
      </c>
    </row>
    <row r="45" spans="1:8" x14ac:dyDescent="0.25">
      <c r="A45" s="32">
        <v>30052214964</v>
      </c>
      <c r="B45" s="33" t="s">
        <v>2159</v>
      </c>
      <c r="C45" s="33" t="s">
        <v>2160</v>
      </c>
      <c r="D45" s="33"/>
      <c r="E45" s="33" t="s">
        <v>1730</v>
      </c>
      <c r="F45" s="33" t="s">
        <v>2200</v>
      </c>
      <c r="G45" s="33" t="s">
        <v>1732</v>
      </c>
      <c r="H45" s="33" t="s">
        <v>2200</v>
      </c>
    </row>
    <row r="46" spans="1:8" x14ac:dyDescent="0.25">
      <c r="A46" s="32">
        <v>30052214965</v>
      </c>
      <c r="B46" s="33" t="s">
        <v>2159</v>
      </c>
      <c r="C46" s="33" t="s">
        <v>2160</v>
      </c>
      <c r="D46" s="33"/>
      <c r="E46" s="33" t="s">
        <v>1730</v>
      </c>
      <c r="F46" s="33" t="s">
        <v>2198</v>
      </c>
      <c r="G46" s="33" t="s">
        <v>1732</v>
      </c>
      <c r="H46" s="33" t="s">
        <v>2198</v>
      </c>
    </row>
    <row r="47" spans="1:8" x14ac:dyDescent="0.25">
      <c r="A47" s="32">
        <v>30052214966</v>
      </c>
      <c r="B47" s="33" t="s">
        <v>2159</v>
      </c>
      <c r="C47" s="33" t="s">
        <v>2160</v>
      </c>
      <c r="D47" s="33"/>
      <c r="E47" s="33" t="s">
        <v>1730</v>
      </c>
      <c r="F47" s="33" t="s">
        <v>2203</v>
      </c>
      <c r="G47" s="33" t="s">
        <v>1732</v>
      </c>
      <c r="H47" s="33" t="s">
        <v>2203</v>
      </c>
    </row>
    <row r="48" spans="1:8" x14ac:dyDescent="0.25">
      <c r="A48" s="32">
        <v>30052214967</v>
      </c>
      <c r="B48" s="33" t="s">
        <v>2159</v>
      </c>
      <c r="C48" s="33" t="s">
        <v>2160</v>
      </c>
      <c r="D48" s="33"/>
      <c r="E48" s="33" t="s">
        <v>1730</v>
      </c>
      <c r="F48" s="33" t="s">
        <v>2202</v>
      </c>
      <c r="G48" s="33" t="s">
        <v>1732</v>
      </c>
      <c r="H48" s="33" t="s">
        <v>2202</v>
      </c>
    </row>
    <row r="49" spans="1:8" x14ac:dyDescent="0.25">
      <c r="A49" s="32">
        <v>30052224065</v>
      </c>
      <c r="B49" s="33" t="s">
        <v>2159</v>
      </c>
      <c r="C49" s="33" t="s">
        <v>2160</v>
      </c>
      <c r="D49" s="33"/>
      <c r="E49" s="33" t="s">
        <v>1730</v>
      </c>
      <c r="F49" s="33" t="s">
        <v>2204</v>
      </c>
      <c r="G49" s="33" t="s">
        <v>1732</v>
      </c>
      <c r="H49" s="33" t="s">
        <v>2204</v>
      </c>
    </row>
    <row r="50" spans="1:8" x14ac:dyDescent="0.25">
      <c r="A50" s="32">
        <v>30052224066</v>
      </c>
      <c r="B50" s="33" t="s">
        <v>2159</v>
      </c>
      <c r="C50" s="33" t="s">
        <v>2160</v>
      </c>
      <c r="D50" s="33"/>
      <c r="E50" s="33" t="s">
        <v>1730</v>
      </c>
      <c r="F50" s="33" t="s">
        <v>2195</v>
      </c>
      <c r="G50" s="33" t="s">
        <v>1732</v>
      </c>
      <c r="H50" s="33" t="s">
        <v>2195</v>
      </c>
    </row>
    <row r="51" spans="1:8" x14ac:dyDescent="0.25">
      <c r="A51" s="32">
        <v>30052224067</v>
      </c>
      <c r="B51" s="33" t="s">
        <v>2159</v>
      </c>
      <c r="C51" s="33" t="s">
        <v>2160</v>
      </c>
      <c r="D51" s="33"/>
      <c r="E51" s="33" t="s">
        <v>1730</v>
      </c>
      <c r="F51" s="33" t="s">
        <v>2194</v>
      </c>
      <c r="G51" s="33" t="s">
        <v>1732</v>
      </c>
      <c r="H51" s="33" t="s">
        <v>2194</v>
      </c>
    </row>
    <row r="52" spans="1:8" x14ac:dyDescent="0.25">
      <c r="A52" s="32">
        <v>30052224068</v>
      </c>
      <c r="B52" s="33" t="s">
        <v>2159</v>
      </c>
      <c r="C52" s="33" t="s">
        <v>2160</v>
      </c>
      <c r="D52" s="33"/>
      <c r="E52" s="33" t="s">
        <v>1730</v>
      </c>
      <c r="F52" s="33" t="s">
        <v>2197</v>
      </c>
      <c r="G52" s="33" t="s">
        <v>1732</v>
      </c>
      <c r="H52" s="33" t="s">
        <v>2197</v>
      </c>
    </row>
    <row r="53" spans="1:8" x14ac:dyDescent="0.25">
      <c r="A53" s="32">
        <v>30052224069</v>
      </c>
      <c r="B53" s="33" t="s">
        <v>2159</v>
      </c>
      <c r="C53" s="33" t="s">
        <v>2160</v>
      </c>
      <c r="D53" s="33"/>
      <c r="E53" s="33" t="s">
        <v>1730</v>
      </c>
      <c r="F53" s="33" t="s">
        <v>2199</v>
      </c>
      <c r="G53" s="33" t="s">
        <v>1732</v>
      </c>
      <c r="H53" s="33" t="s">
        <v>2199</v>
      </c>
    </row>
    <row r="54" spans="1:8" x14ac:dyDescent="0.25">
      <c r="A54" s="32">
        <v>30061214930</v>
      </c>
      <c r="B54" s="33" t="s">
        <v>2205</v>
      </c>
      <c r="C54" s="33" t="s">
        <v>2171</v>
      </c>
      <c r="D54" s="33" t="s">
        <v>2169</v>
      </c>
      <c r="E54" s="33" t="s">
        <v>2206</v>
      </c>
      <c r="F54" s="33" t="s">
        <v>2215</v>
      </c>
      <c r="G54" s="33" t="s">
        <v>2150</v>
      </c>
      <c r="H54" s="33" t="s">
        <v>2215</v>
      </c>
    </row>
    <row r="55" spans="1:8" x14ac:dyDescent="0.25">
      <c r="A55" s="32">
        <v>30061214931</v>
      </c>
      <c r="B55" s="33" t="s">
        <v>2205</v>
      </c>
      <c r="C55" s="33" t="s">
        <v>2171</v>
      </c>
      <c r="D55" s="33" t="s">
        <v>2174</v>
      </c>
      <c r="E55" s="33" t="s">
        <v>2206</v>
      </c>
      <c r="F55" s="33" t="s">
        <v>2214</v>
      </c>
      <c r="G55" s="33" t="s">
        <v>2150</v>
      </c>
      <c r="H55" s="33" t="s">
        <v>2214</v>
      </c>
    </row>
    <row r="56" spans="1:8" x14ac:dyDescent="0.25">
      <c r="A56" s="32">
        <v>30061214973</v>
      </c>
      <c r="B56" s="33" t="s">
        <v>2205</v>
      </c>
      <c r="C56" s="33" t="s">
        <v>2212</v>
      </c>
      <c r="D56" s="33" t="s">
        <v>2174</v>
      </c>
      <c r="E56" s="33" t="s">
        <v>2206</v>
      </c>
      <c r="F56" s="33" t="s">
        <v>67</v>
      </c>
      <c r="G56" s="33" t="s">
        <v>2150</v>
      </c>
      <c r="H56" s="33" t="s">
        <v>67</v>
      </c>
    </row>
    <row r="57" spans="1:8" x14ac:dyDescent="0.25">
      <c r="A57" s="32">
        <v>30061214974</v>
      </c>
      <c r="B57" s="33" t="s">
        <v>2205</v>
      </c>
      <c r="C57" s="33" t="s">
        <v>2218</v>
      </c>
      <c r="D57" s="33" t="s">
        <v>2174</v>
      </c>
      <c r="E57" s="33" t="s">
        <v>2206</v>
      </c>
      <c r="F57" s="33" t="s">
        <v>1190</v>
      </c>
      <c r="G57" s="33" t="s">
        <v>2150</v>
      </c>
      <c r="H57" s="33" t="s">
        <v>1190</v>
      </c>
    </row>
    <row r="58" spans="1:8" x14ac:dyDescent="0.25">
      <c r="A58" s="32">
        <v>30061214975</v>
      </c>
      <c r="B58" s="33" t="s">
        <v>2205</v>
      </c>
      <c r="C58" s="33" t="s">
        <v>2168</v>
      </c>
      <c r="D58" s="33" t="s">
        <v>2170</v>
      </c>
      <c r="E58" s="33" t="s">
        <v>2208</v>
      </c>
      <c r="F58" s="33" t="s">
        <v>2209</v>
      </c>
      <c r="G58" s="33" t="s">
        <v>2150</v>
      </c>
      <c r="H58" s="33" t="s">
        <v>2209</v>
      </c>
    </row>
    <row r="59" spans="1:8" x14ac:dyDescent="0.25">
      <c r="A59" s="32">
        <v>30061214976</v>
      </c>
      <c r="B59" s="33" t="s">
        <v>2205</v>
      </c>
      <c r="C59" s="33" t="s">
        <v>2168</v>
      </c>
      <c r="D59" s="33" t="s">
        <v>2170</v>
      </c>
      <c r="E59" s="33" t="s">
        <v>2210</v>
      </c>
      <c r="F59" s="33" t="s">
        <v>2211</v>
      </c>
      <c r="G59" s="33" t="s">
        <v>2150</v>
      </c>
      <c r="H59" s="33" t="s">
        <v>2211</v>
      </c>
    </row>
    <row r="60" spans="1:8" x14ac:dyDescent="0.25">
      <c r="A60" s="32">
        <v>30061214977</v>
      </c>
      <c r="B60" s="33" t="s">
        <v>2205</v>
      </c>
      <c r="C60" s="33" t="s">
        <v>2168</v>
      </c>
      <c r="D60" s="33" t="s">
        <v>2170</v>
      </c>
      <c r="E60" s="33" t="s">
        <v>2206</v>
      </c>
      <c r="F60" s="33" t="s">
        <v>2207</v>
      </c>
      <c r="G60" s="33" t="s">
        <v>2150</v>
      </c>
      <c r="H60" s="33" t="s">
        <v>2207</v>
      </c>
    </row>
    <row r="61" spans="1:8" x14ac:dyDescent="0.25">
      <c r="A61" s="32">
        <v>30061214978</v>
      </c>
      <c r="B61" s="33" t="s">
        <v>2205</v>
      </c>
      <c r="C61" s="33" t="s">
        <v>2168</v>
      </c>
      <c r="D61" s="33" t="s">
        <v>2169</v>
      </c>
      <c r="E61" s="33" t="s">
        <v>2206</v>
      </c>
      <c r="F61" s="33" t="s">
        <v>898</v>
      </c>
      <c r="G61" s="33" t="s">
        <v>2150</v>
      </c>
      <c r="H61" s="33" t="s">
        <v>898</v>
      </c>
    </row>
    <row r="62" spans="1:8" x14ac:dyDescent="0.25">
      <c r="A62" s="32">
        <v>30061214979</v>
      </c>
      <c r="B62" s="33" t="s">
        <v>2205</v>
      </c>
      <c r="C62" s="33" t="s">
        <v>2212</v>
      </c>
      <c r="D62" s="33" t="s">
        <v>2170</v>
      </c>
      <c r="E62" s="33" t="s">
        <v>2206</v>
      </c>
      <c r="F62" s="33" t="s">
        <v>2213</v>
      </c>
      <c r="G62" s="33" t="s">
        <v>2150</v>
      </c>
      <c r="H62" s="33" t="s">
        <v>2213</v>
      </c>
    </row>
    <row r="63" spans="1:8" x14ac:dyDescent="0.25">
      <c r="A63" s="32">
        <v>30061214980</v>
      </c>
      <c r="B63" s="33" t="s">
        <v>2205</v>
      </c>
      <c r="C63" s="33" t="s">
        <v>2212</v>
      </c>
      <c r="D63" s="33" t="s">
        <v>2172</v>
      </c>
      <c r="E63" s="33" t="s">
        <v>2206</v>
      </c>
      <c r="F63" s="33" t="s">
        <v>68</v>
      </c>
      <c r="G63" s="33" t="s">
        <v>2150</v>
      </c>
      <c r="H63" s="33" t="s">
        <v>68</v>
      </c>
    </row>
    <row r="64" spans="1:8" x14ac:dyDescent="0.25">
      <c r="A64" s="32">
        <v>30061214981</v>
      </c>
      <c r="B64" s="33" t="s">
        <v>2205</v>
      </c>
      <c r="C64" s="33" t="s">
        <v>2171</v>
      </c>
      <c r="D64" s="33" t="s">
        <v>2170</v>
      </c>
      <c r="E64" s="33" t="s">
        <v>2206</v>
      </c>
      <c r="F64" s="33" t="s">
        <v>2216</v>
      </c>
      <c r="G64" s="33" t="s">
        <v>2150</v>
      </c>
      <c r="H64" s="33" t="s">
        <v>2216</v>
      </c>
    </row>
    <row r="65" spans="1:8" x14ac:dyDescent="0.25">
      <c r="A65" s="32">
        <v>30061214982</v>
      </c>
      <c r="B65" s="33" t="s">
        <v>2205</v>
      </c>
      <c r="C65" s="33" t="s">
        <v>2171</v>
      </c>
      <c r="D65" s="33" t="s">
        <v>2172</v>
      </c>
      <c r="E65" s="33" t="s">
        <v>2206</v>
      </c>
      <c r="F65" s="33" t="s">
        <v>2217</v>
      </c>
      <c r="G65" s="33" t="s">
        <v>2150</v>
      </c>
      <c r="H65" s="33" t="s">
        <v>2217</v>
      </c>
    </row>
    <row r="66" spans="1:8" x14ac:dyDescent="0.25">
      <c r="A66" s="32">
        <v>30061224001</v>
      </c>
      <c r="B66" s="33" t="s">
        <v>2167</v>
      </c>
      <c r="C66" s="33" t="s">
        <v>2218</v>
      </c>
      <c r="D66" s="33" t="s">
        <v>2223</v>
      </c>
      <c r="E66" s="33"/>
      <c r="F66" s="33" t="s">
        <v>2227</v>
      </c>
      <c r="G66" s="33" t="s">
        <v>2150</v>
      </c>
      <c r="H66" s="33" t="s">
        <v>2227</v>
      </c>
    </row>
    <row r="67" spans="1:8" x14ac:dyDescent="0.25">
      <c r="A67" s="32">
        <v>30061224002</v>
      </c>
      <c r="B67" s="33" t="s">
        <v>2167</v>
      </c>
      <c r="C67" s="33" t="s">
        <v>2173</v>
      </c>
      <c r="D67" s="33" t="s">
        <v>2223</v>
      </c>
      <c r="E67" s="33"/>
      <c r="F67" s="33" t="s">
        <v>69</v>
      </c>
      <c r="G67" s="33" t="s">
        <v>2150</v>
      </c>
      <c r="H67" s="33" t="s">
        <v>69</v>
      </c>
    </row>
    <row r="68" spans="1:8" x14ac:dyDescent="0.25">
      <c r="A68" s="32">
        <v>30061224003</v>
      </c>
      <c r="B68" s="33" t="s">
        <v>2167</v>
      </c>
      <c r="C68" s="33" t="s">
        <v>2224</v>
      </c>
      <c r="D68" s="33" t="s">
        <v>2223</v>
      </c>
      <c r="E68" s="33"/>
      <c r="F68" s="33" t="s">
        <v>2229</v>
      </c>
      <c r="G68" s="33" t="s">
        <v>2150</v>
      </c>
      <c r="H68" s="33" t="s">
        <v>2229</v>
      </c>
    </row>
    <row r="69" spans="1:8" x14ac:dyDescent="0.25">
      <c r="A69" s="32">
        <v>30061224006</v>
      </c>
      <c r="B69" s="33" t="s">
        <v>2167</v>
      </c>
      <c r="C69" s="33" t="s">
        <v>2226</v>
      </c>
      <c r="D69" s="33" t="s">
        <v>2223</v>
      </c>
      <c r="E69" s="33"/>
      <c r="F69" s="33" t="s">
        <v>2237</v>
      </c>
      <c r="G69" s="33" t="s">
        <v>2150</v>
      </c>
      <c r="H69" s="33" t="s">
        <v>2237</v>
      </c>
    </row>
    <row r="70" spans="1:8" x14ac:dyDescent="0.25">
      <c r="A70" s="32">
        <v>30061224007</v>
      </c>
      <c r="B70" s="33" t="s">
        <v>2167</v>
      </c>
      <c r="C70" s="33" t="s">
        <v>2212</v>
      </c>
      <c r="D70" s="33" t="s">
        <v>2223</v>
      </c>
      <c r="E70" s="33"/>
      <c r="F70" s="33" t="s">
        <v>70</v>
      </c>
      <c r="G70" s="33" t="s">
        <v>2150</v>
      </c>
      <c r="H70" s="33" t="s">
        <v>70</v>
      </c>
    </row>
    <row r="71" spans="1:8" x14ac:dyDescent="0.25">
      <c r="A71" s="32">
        <v>30061224008</v>
      </c>
      <c r="B71" s="33" t="s">
        <v>2167</v>
      </c>
      <c r="C71" s="33" t="s">
        <v>2171</v>
      </c>
      <c r="D71" s="33" t="s">
        <v>2223</v>
      </c>
      <c r="E71" s="33"/>
      <c r="F71" s="33" t="s">
        <v>71</v>
      </c>
      <c r="G71" s="33" t="s">
        <v>2150</v>
      </c>
      <c r="H71" s="33" t="s">
        <v>71</v>
      </c>
    </row>
    <row r="72" spans="1:8" x14ac:dyDescent="0.25">
      <c r="A72" s="32">
        <v>30061224009</v>
      </c>
      <c r="B72" s="33" t="s">
        <v>2167</v>
      </c>
      <c r="C72" s="33" t="s">
        <v>2171</v>
      </c>
      <c r="D72" s="33" t="s">
        <v>2241</v>
      </c>
      <c r="E72" s="33"/>
      <c r="F72" s="33" t="s">
        <v>2242</v>
      </c>
      <c r="G72" s="33" t="s">
        <v>2150</v>
      </c>
      <c r="H72" s="33" t="s">
        <v>2242</v>
      </c>
    </row>
    <row r="73" spans="1:8" x14ac:dyDescent="0.25">
      <c r="A73" s="32">
        <v>30061224016</v>
      </c>
      <c r="B73" s="33" t="s">
        <v>2167</v>
      </c>
      <c r="C73" s="33" t="s">
        <v>2224</v>
      </c>
      <c r="D73" s="33" t="s">
        <v>2170</v>
      </c>
      <c r="E73" s="33"/>
      <c r="F73" s="33" t="s">
        <v>2230</v>
      </c>
      <c r="G73" s="33" t="s">
        <v>2150</v>
      </c>
      <c r="H73" s="33" t="s">
        <v>2230</v>
      </c>
    </row>
    <row r="74" spans="1:8" x14ac:dyDescent="0.25">
      <c r="A74" s="32">
        <v>30061224018</v>
      </c>
      <c r="B74" s="33" t="s">
        <v>2167</v>
      </c>
      <c r="C74" s="33" t="s">
        <v>2218</v>
      </c>
      <c r="D74" s="33" t="s">
        <v>2174</v>
      </c>
      <c r="E74" s="33" t="s">
        <v>2206</v>
      </c>
      <c r="F74" s="33" t="s">
        <v>72</v>
      </c>
      <c r="G74" s="33" t="s">
        <v>2150</v>
      </c>
      <c r="H74" s="33" t="s">
        <v>72</v>
      </c>
    </row>
    <row r="75" spans="1:8" x14ac:dyDescent="0.25">
      <c r="A75" s="32">
        <v>30061224020</v>
      </c>
      <c r="B75" s="33" t="s">
        <v>2167</v>
      </c>
      <c r="C75" s="33" t="s">
        <v>2173</v>
      </c>
      <c r="D75" s="33" t="s">
        <v>2174</v>
      </c>
      <c r="E75" s="33" t="s">
        <v>2206</v>
      </c>
      <c r="F75" s="33" t="s">
        <v>73</v>
      </c>
      <c r="G75" s="33" t="s">
        <v>2150</v>
      </c>
      <c r="H75" s="33" t="s">
        <v>73</v>
      </c>
    </row>
    <row r="76" spans="1:8" x14ac:dyDescent="0.25">
      <c r="A76" s="32">
        <v>30061224022</v>
      </c>
      <c r="B76" s="33" t="s">
        <v>2167</v>
      </c>
      <c r="C76" s="33" t="s">
        <v>2224</v>
      </c>
      <c r="D76" s="33" t="s">
        <v>2174</v>
      </c>
      <c r="E76" s="33" t="s">
        <v>2206</v>
      </c>
      <c r="F76" s="33" t="s">
        <v>74</v>
      </c>
      <c r="G76" s="33" t="s">
        <v>2150</v>
      </c>
      <c r="H76" s="33" t="s">
        <v>74</v>
      </c>
    </row>
    <row r="77" spans="1:8" x14ac:dyDescent="0.25">
      <c r="A77" s="32">
        <v>30061224026</v>
      </c>
      <c r="B77" s="33" t="s">
        <v>2167</v>
      </c>
      <c r="C77" s="33" t="s">
        <v>2168</v>
      </c>
      <c r="D77" s="33" t="s">
        <v>2174</v>
      </c>
      <c r="E77" s="33"/>
      <c r="F77" s="33" t="s">
        <v>2235</v>
      </c>
      <c r="G77" s="33" t="s">
        <v>2150</v>
      </c>
      <c r="H77" s="33" t="s">
        <v>2235</v>
      </c>
    </row>
    <row r="78" spans="1:8" x14ac:dyDescent="0.25">
      <c r="A78" s="32">
        <v>30061224027</v>
      </c>
      <c r="B78" s="33" t="s">
        <v>2167</v>
      </c>
      <c r="C78" s="33" t="s">
        <v>2168</v>
      </c>
      <c r="D78" s="33" t="s">
        <v>2174</v>
      </c>
      <c r="E78" s="33" t="s">
        <v>2225</v>
      </c>
      <c r="F78" s="33" t="s">
        <v>2236</v>
      </c>
      <c r="G78" s="33" t="s">
        <v>2150</v>
      </c>
      <c r="H78" s="33" t="s">
        <v>2236</v>
      </c>
    </row>
    <row r="79" spans="1:8" x14ac:dyDescent="0.25">
      <c r="A79" s="32">
        <v>30061224028</v>
      </c>
      <c r="B79" s="33" t="s">
        <v>2167</v>
      </c>
      <c r="C79" s="33" t="s">
        <v>2226</v>
      </c>
      <c r="D79" s="33" t="s">
        <v>2174</v>
      </c>
      <c r="E79" s="33"/>
      <c r="F79" s="33" t="s">
        <v>2238</v>
      </c>
      <c r="G79" s="33" t="s">
        <v>2150</v>
      </c>
      <c r="H79" s="33" t="s">
        <v>2238</v>
      </c>
    </row>
    <row r="80" spans="1:8" x14ac:dyDescent="0.25">
      <c r="A80" s="32">
        <v>30061224029</v>
      </c>
      <c r="B80" s="33" t="s">
        <v>2167</v>
      </c>
      <c r="C80" s="33" t="s">
        <v>2226</v>
      </c>
      <c r="D80" s="33" t="s">
        <v>2174</v>
      </c>
      <c r="E80" s="33" t="s">
        <v>2225</v>
      </c>
      <c r="F80" s="33" t="s">
        <v>2239</v>
      </c>
      <c r="G80" s="33" t="s">
        <v>2150</v>
      </c>
      <c r="H80" s="33" t="s">
        <v>2239</v>
      </c>
    </row>
    <row r="81" spans="1:8" x14ac:dyDescent="0.25">
      <c r="A81" s="32">
        <v>30061224030</v>
      </c>
      <c r="B81" s="33" t="s">
        <v>2167</v>
      </c>
      <c r="C81" s="33" t="s">
        <v>2212</v>
      </c>
      <c r="D81" s="33" t="s">
        <v>2174</v>
      </c>
      <c r="E81" s="33" t="s">
        <v>2206</v>
      </c>
      <c r="F81" s="33" t="s">
        <v>75</v>
      </c>
      <c r="G81" s="33" t="s">
        <v>2150</v>
      </c>
      <c r="H81" s="33" t="s">
        <v>75</v>
      </c>
    </row>
    <row r="82" spans="1:8" x14ac:dyDescent="0.25">
      <c r="A82" s="32">
        <v>30061224031</v>
      </c>
      <c r="B82" s="33" t="s">
        <v>2167</v>
      </c>
      <c r="C82" s="33" t="s">
        <v>2212</v>
      </c>
      <c r="D82" s="33" t="s">
        <v>2174</v>
      </c>
      <c r="E82" s="33" t="s">
        <v>2225</v>
      </c>
      <c r="F82" s="33" t="s">
        <v>76</v>
      </c>
      <c r="G82" s="33" t="s">
        <v>2150</v>
      </c>
      <c r="H82" s="33" t="s">
        <v>76</v>
      </c>
    </row>
    <row r="83" spans="1:8" x14ac:dyDescent="0.25">
      <c r="A83" s="31">
        <v>30061224032</v>
      </c>
      <c r="B83" s="1" t="s">
        <v>2167</v>
      </c>
      <c r="C83" s="1" t="s">
        <v>2171</v>
      </c>
      <c r="D83" s="1" t="s">
        <v>2174</v>
      </c>
      <c r="E83" s="1" t="s">
        <v>2206</v>
      </c>
      <c r="F83" s="1" t="s">
        <v>77</v>
      </c>
      <c r="G83" s="1" t="s">
        <v>2150</v>
      </c>
      <c r="H83" s="1" t="s">
        <v>77</v>
      </c>
    </row>
    <row r="84" spans="1:8" x14ac:dyDescent="0.25">
      <c r="A84" s="31">
        <v>30061224033</v>
      </c>
      <c r="B84" s="1" t="s">
        <v>2167</v>
      </c>
      <c r="C84" s="1" t="s">
        <v>2171</v>
      </c>
      <c r="D84" s="1" t="s">
        <v>2174</v>
      </c>
      <c r="E84" s="1" t="s">
        <v>2225</v>
      </c>
      <c r="F84" s="1" t="s">
        <v>2240</v>
      </c>
      <c r="G84" s="1" t="s">
        <v>2150</v>
      </c>
      <c r="H84" s="1" t="s">
        <v>2240</v>
      </c>
    </row>
    <row r="85" spans="1:8" x14ac:dyDescent="0.25">
      <c r="A85" s="31">
        <v>30061224049</v>
      </c>
      <c r="B85" s="1" t="s">
        <v>2167</v>
      </c>
      <c r="C85" s="1" t="s">
        <v>2212</v>
      </c>
      <c r="D85" s="1" t="s">
        <v>2176</v>
      </c>
      <c r="E85" s="1" t="s">
        <v>2206</v>
      </c>
      <c r="F85" s="1" t="s">
        <v>1246</v>
      </c>
      <c r="G85" s="1" t="s">
        <v>2150</v>
      </c>
      <c r="H85" s="1" t="s">
        <v>1246</v>
      </c>
    </row>
    <row r="86" spans="1:8" x14ac:dyDescent="0.25">
      <c r="A86" s="31">
        <v>30061224050</v>
      </c>
      <c r="B86" s="1" t="s">
        <v>2167</v>
      </c>
      <c r="C86" s="1" t="s">
        <v>2212</v>
      </c>
      <c r="D86" s="1" t="s">
        <v>2220</v>
      </c>
      <c r="E86" s="1" t="s">
        <v>2206</v>
      </c>
      <c r="F86" s="1" t="s">
        <v>1247</v>
      </c>
      <c r="G86" s="1" t="s">
        <v>2150</v>
      </c>
      <c r="H86" s="1" t="s">
        <v>1247</v>
      </c>
    </row>
    <row r="87" spans="1:8" x14ac:dyDescent="0.25">
      <c r="A87" s="31">
        <v>30061224052</v>
      </c>
      <c r="B87" s="1" t="s">
        <v>2167</v>
      </c>
      <c r="D87" s="1" t="s">
        <v>2172</v>
      </c>
      <c r="F87" s="1" t="s">
        <v>2232</v>
      </c>
      <c r="G87" s="1" t="s">
        <v>2150</v>
      </c>
      <c r="H87" s="1" t="s">
        <v>2232</v>
      </c>
    </row>
    <row r="88" spans="1:8" x14ac:dyDescent="0.25">
      <c r="A88" s="31">
        <v>30061224346</v>
      </c>
      <c r="B88" s="1" t="s">
        <v>2167</v>
      </c>
      <c r="C88" s="1" t="s">
        <v>2226</v>
      </c>
      <c r="D88" s="1" t="s">
        <v>2170</v>
      </c>
      <c r="F88" s="1" t="s">
        <v>79</v>
      </c>
      <c r="G88" s="1" t="s">
        <v>2150</v>
      </c>
      <c r="H88" s="1" t="s">
        <v>79</v>
      </c>
    </row>
    <row r="89" spans="1:8" x14ac:dyDescent="0.25">
      <c r="A89" s="31">
        <v>30061224371</v>
      </c>
      <c r="B89" s="1" t="s">
        <v>2167</v>
      </c>
      <c r="C89" s="1" t="s">
        <v>2226</v>
      </c>
      <c r="D89" s="1" t="s">
        <v>2172</v>
      </c>
      <c r="F89" s="1" t="s">
        <v>80</v>
      </c>
      <c r="G89" s="1" t="s">
        <v>2150</v>
      </c>
      <c r="H89" s="1" t="s">
        <v>80</v>
      </c>
    </row>
    <row r="90" spans="1:8" x14ac:dyDescent="0.25">
      <c r="A90" s="31">
        <v>30061224386</v>
      </c>
      <c r="B90" s="1" t="s">
        <v>2167</v>
      </c>
      <c r="C90" s="1" t="s">
        <v>2175</v>
      </c>
      <c r="D90" s="1" t="s">
        <v>2174</v>
      </c>
      <c r="E90" s="1" t="s">
        <v>2206</v>
      </c>
      <c r="F90" s="1" t="s">
        <v>988</v>
      </c>
      <c r="G90" s="1" t="s">
        <v>2150</v>
      </c>
      <c r="H90" s="1" t="s">
        <v>988</v>
      </c>
    </row>
    <row r="91" spans="1:8" x14ac:dyDescent="0.25">
      <c r="A91" s="31">
        <v>30061224390</v>
      </c>
      <c r="B91" s="1" t="s">
        <v>2167</v>
      </c>
      <c r="C91" s="1" t="s">
        <v>2168</v>
      </c>
      <c r="D91" s="1" t="s">
        <v>2170</v>
      </c>
      <c r="F91" s="1" t="s">
        <v>2234</v>
      </c>
      <c r="G91" s="1" t="s">
        <v>2150</v>
      </c>
      <c r="H91" s="1" t="s">
        <v>2234</v>
      </c>
    </row>
    <row r="92" spans="1:8" x14ac:dyDescent="0.25">
      <c r="A92" s="31">
        <v>30061224391</v>
      </c>
      <c r="B92" s="1" t="s">
        <v>2167</v>
      </c>
      <c r="C92" s="1" t="s">
        <v>2221</v>
      </c>
      <c r="D92" s="1" t="s">
        <v>2170</v>
      </c>
      <c r="F92" s="1" t="s">
        <v>2233</v>
      </c>
      <c r="G92" s="1" t="s">
        <v>2150</v>
      </c>
      <c r="H92" s="1" t="s">
        <v>2233</v>
      </c>
    </row>
    <row r="93" spans="1:8" x14ac:dyDescent="0.25">
      <c r="A93" s="31">
        <v>30061224414</v>
      </c>
      <c r="B93" s="1" t="s">
        <v>2167</v>
      </c>
      <c r="C93" s="1" t="s">
        <v>2168</v>
      </c>
      <c r="D93" s="1" t="s">
        <v>2170</v>
      </c>
      <c r="E93" s="1" t="s">
        <v>2210</v>
      </c>
      <c r="F93" s="1" t="s">
        <v>3049</v>
      </c>
      <c r="G93" s="1" t="s">
        <v>1742</v>
      </c>
      <c r="H93" s="1" t="s">
        <v>3049</v>
      </c>
    </row>
    <row r="94" spans="1:8" x14ac:dyDescent="0.25">
      <c r="A94" s="31">
        <v>30061224415</v>
      </c>
      <c r="B94" s="1" t="s">
        <v>2167</v>
      </c>
      <c r="C94" s="1" t="s">
        <v>2168</v>
      </c>
      <c r="D94" s="1" t="s">
        <v>2169</v>
      </c>
      <c r="E94" s="1" t="s">
        <v>2206</v>
      </c>
      <c r="F94" s="1" t="s">
        <v>3050</v>
      </c>
      <c r="G94" s="1" t="s">
        <v>2150</v>
      </c>
      <c r="H94" s="1" t="s">
        <v>3050</v>
      </c>
    </row>
    <row r="95" spans="1:8" x14ac:dyDescent="0.25">
      <c r="A95" s="31">
        <v>30061224597</v>
      </c>
      <c r="B95" s="1" t="s">
        <v>2167</v>
      </c>
      <c r="C95" s="1" t="s">
        <v>2171</v>
      </c>
      <c r="D95" s="1" t="s">
        <v>2170</v>
      </c>
      <c r="E95" s="1" t="s">
        <v>2206</v>
      </c>
      <c r="F95" s="1" t="s">
        <v>3037</v>
      </c>
      <c r="G95" s="1" t="s">
        <v>2150</v>
      </c>
      <c r="H95" s="1" t="s">
        <v>3037</v>
      </c>
    </row>
    <row r="96" spans="1:8" x14ac:dyDescent="0.25">
      <c r="A96" s="31">
        <v>30061224599</v>
      </c>
      <c r="B96" s="1" t="s">
        <v>2167</v>
      </c>
      <c r="C96" s="1" t="s">
        <v>2171</v>
      </c>
      <c r="D96" s="1" t="s">
        <v>2176</v>
      </c>
      <c r="E96" s="1" t="s">
        <v>2206</v>
      </c>
      <c r="F96" s="1" t="s">
        <v>82</v>
      </c>
      <c r="G96" s="1" t="s">
        <v>2150</v>
      </c>
      <c r="H96" s="1" t="s">
        <v>82</v>
      </c>
    </row>
    <row r="97" spans="1:8" x14ac:dyDescent="0.25">
      <c r="A97" s="31">
        <v>30061224600</v>
      </c>
      <c r="B97" s="1" t="s">
        <v>2167</v>
      </c>
      <c r="C97" s="1" t="s">
        <v>2171</v>
      </c>
      <c r="D97" s="1" t="s">
        <v>2172</v>
      </c>
      <c r="E97" s="1" t="s">
        <v>2206</v>
      </c>
      <c r="F97" s="1" t="s">
        <v>3051</v>
      </c>
      <c r="G97" s="1" t="s">
        <v>1742</v>
      </c>
      <c r="H97" s="1" t="s">
        <v>3051</v>
      </c>
    </row>
    <row r="98" spans="1:8" x14ac:dyDescent="0.25">
      <c r="A98" s="31">
        <v>30061224601</v>
      </c>
      <c r="B98" s="1" t="s">
        <v>2167</v>
      </c>
      <c r="C98" s="1" t="s">
        <v>2171</v>
      </c>
      <c r="D98" s="1" t="s">
        <v>2169</v>
      </c>
      <c r="E98" s="1" t="s">
        <v>2206</v>
      </c>
      <c r="F98" s="1" t="s">
        <v>3052</v>
      </c>
      <c r="G98" s="1" t="s">
        <v>2150</v>
      </c>
      <c r="H98" s="1" t="s">
        <v>3052</v>
      </c>
    </row>
    <row r="99" spans="1:8" x14ac:dyDescent="0.25">
      <c r="A99" s="31">
        <v>30061224603</v>
      </c>
      <c r="B99" s="1" t="s">
        <v>2167</v>
      </c>
      <c r="D99" s="1" t="s">
        <v>2172</v>
      </c>
      <c r="F99" s="1" t="s">
        <v>2231</v>
      </c>
      <c r="G99" s="1" t="s">
        <v>2150</v>
      </c>
      <c r="H99" s="1" t="s">
        <v>2231</v>
      </c>
    </row>
    <row r="100" spans="1:8" x14ac:dyDescent="0.25">
      <c r="A100" s="31">
        <v>30061224606</v>
      </c>
      <c r="B100" s="1" t="s">
        <v>2167</v>
      </c>
      <c r="C100" s="1" t="s">
        <v>2218</v>
      </c>
      <c r="D100" s="1" t="s">
        <v>2176</v>
      </c>
      <c r="E100" s="1" t="s">
        <v>2206</v>
      </c>
      <c r="F100" s="1" t="s">
        <v>1248</v>
      </c>
      <c r="G100" s="1" t="s">
        <v>2150</v>
      </c>
      <c r="H100" s="1" t="s">
        <v>1248</v>
      </c>
    </row>
    <row r="101" spans="1:8" x14ac:dyDescent="0.25">
      <c r="A101" s="31">
        <v>30061224714</v>
      </c>
      <c r="B101" s="1" t="s">
        <v>2167</v>
      </c>
      <c r="C101" s="1" t="s">
        <v>2173</v>
      </c>
      <c r="D101" s="1" t="s">
        <v>2172</v>
      </c>
      <c r="F101" s="1" t="s">
        <v>2228</v>
      </c>
      <c r="G101" s="1" t="s">
        <v>2150</v>
      </c>
      <c r="H101" s="1" t="s">
        <v>2228</v>
      </c>
    </row>
    <row r="102" spans="1:8" x14ac:dyDescent="0.25">
      <c r="A102" s="31">
        <v>30061264798</v>
      </c>
      <c r="B102" s="1" t="s">
        <v>2205</v>
      </c>
      <c r="C102" s="1" t="s">
        <v>2168</v>
      </c>
      <c r="D102" s="1" t="s">
        <v>2169</v>
      </c>
      <c r="E102" s="1" t="s">
        <v>2210</v>
      </c>
      <c r="F102" s="1" t="s">
        <v>2219</v>
      </c>
      <c r="G102" s="1" t="s">
        <v>2150</v>
      </c>
      <c r="H102" s="1" t="s">
        <v>2219</v>
      </c>
    </row>
    <row r="103" spans="1:8" x14ac:dyDescent="0.25">
      <c r="A103" s="31">
        <v>30061265232</v>
      </c>
      <c r="B103" s="1" t="s">
        <v>2167</v>
      </c>
      <c r="C103" s="1" t="s">
        <v>2168</v>
      </c>
      <c r="D103" s="1" t="s">
        <v>2169</v>
      </c>
      <c r="E103" s="1" t="s">
        <v>2210</v>
      </c>
      <c r="F103" s="1" t="s">
        <v>3053</v>
      </c>
      <c r="G103" s="1" t="s">
        <v>1742</v>
      </c>
      <c r="H103" s="1" t="s">
        <v>3053</v>
      </c>
    </row>
    <row r="104" spans="1:8" x14ac:dyDescent="0.25">
      <c r="A104" s="31">
        <v>30061265264</v>
      </c>
      <c r="B104" s="1" t="s">
        <v>2167</v>
      </c>
      <c r="C104" s="1" t="s">
        <v>2171</v>
      </c>
      <c r="D104" s="1" t="s">
        <v>2169</v>
      </c>
      <c r="E104" s="1" t="s">
        <v>2210</v>
      </c>
      <c r="F104" s="1" t="s">
        <v>3039</v>
      </c>
      <c r="G104" s="1" t="s">
        <v>1742</v>
      </c>
      <c r="H104" s="1" t="s">
        <v>3039</v>
      </c>
    </row>
    <row r="105" spans="1:8" x14ac:dyDescent="0.25">
      <c r="A105" s="31">
        <v>30061265265</v>
      </c>
      <c r="B105" s="1" t="s">
        <v>2167</v>
      </c>
      <c r="C105" s="1" t="s">
        <v>2171</v>
      </c>
      <c r="D105" s="1" t="s">
        <v>2170</v>
      </c>
      <c r="E105" s="1" t="s">
        <v>2210</v>
      </c>
      <c r="F105" s="1" t="s">
        <v>3040</v>
      </c>
      <c r="G105" s="1" t="s">
        <v>1742</v>
      </c>
      <c r="H105" s="1" t="s">
        <v>3040</v>
      </c>
    </row>
    <row r="106" spans="1:8" x14ac:dyDescent="0.25">
      <c r="A106" s="31">
        <v>30061265266</v>
      </c>
      <c r="B106" s="1" t="s">
        <v>2167</v>
      </c>
      <c r="C106" s="1" t="s">
        <v>2171</v>
      </c>
      <c r="D106" s="1" t="s">
        <v>2172</v>
      </c>
      <c r="E106" s="1" t="s">
        <v>2210</v>
      </c>
      <c r="F106" s="1" t="s">
        <v>3038</v>
      </c>
      <c r="G106" s="1" t="s">
        <v>1742</v>
      </c>
      <c r="H106" s="1" t="s">
        <v>3038</v>
      </c>
    </row>
    <row r="107" spans="1:8" x14ac:dyDescent="0.25">
      <c r="A107" s="31">
        <v>30062065195</v>
      </c>
      <c r="B107" s="1" t="s">
        <v>1729</v>
      </c>
      <c r="C107" s="1" t="s">
        <v>1741</v>
      </c>
      <c r="D107" s="1" t="s">
        <v>1708</v>
      </c>
      <c r="E107" s="1" t="s">
        <v>1730</v>
      </c>
      <c r="F107" s="1" t="s">
        <v>2177</v>
      </c>
      <c r="G107" s="1" t="s">
        <v>1742</v>
      </c>
      <c r="H107" s="1" t="s">
        <v>2177</v>
      </c>
    </row>
    <row r="108" spans="1:8" x14ac:dyDescent="0.25">
      <c r="A108" s="31">
        <v>30062065196</v>
      </c>
      <c r="B108" s="1" t="s">
        <v>1729</v>
      </c>
      <c r="C108" s="1" t="s">
        <v>1741</v>
      </c>
      <c r="D108" s="1" t="s">
        <v>1708</v>
      </c>
      <c r="E108" s="1" t="s">
        <v>1730</v>
      </c>
      <c r="F108" s="1" t="s">
        <v>2178</v>
      </c>
      <c r="G108" s="1" t="s">
        <v>1742</v>
      </c>
      <c r="H108" s="1" t="s">
        <v>2178</v>
      </c>
    </row>
    <row r="109" spans="1:8" x14ac:dyDescent="0.25">
      <c r="A109" s="31">
        <v>30100061426</v>
      </c>
      <c r="B109" s="1" t="s">
        <v>1737</v>
      </c>
      <c r="C109" s="1" t="s">
        <v>1722</v>
      </c>
      <c r="D109" s="1" t="s">
        <v>1760</v>
      </c>
      <c r="E109" s="1" t="s">
        <v>1730</v>
      </c>
      <c r="F109" s="1" t="s">
        <v>1412</v>
      </c>
      <c r="G109" s="1" t="s">
        <v>1732</v>
      </c>
      <c r="H109" s="1" t="s">
        <v>1412</v>
      </c>
    </row>
    <row r="110" spans="1:8" x14ac:dyDescent="0.25">
      <c r="A110" s="31">
        <v>30100061427</v>
      </c>
      <c r="B110" s="1" t="s">
        <v>1737</v>
      </c>
      <c r="C110" s="1" t="s">
        <v>1722</v>
      </c>
      <c r="D110" s="1" t="s">
        <v>1760</v>
      </c>
      <c r="E110" s="1" t="s">
        <v>1730</v>
      </c>
      <c r="F110" s="1" t="s">
        <v>1413</v>
      </c>
      <c r="G110" s="1" t="s">
        <v>1732</v>
      </c>
      <c r="H110" s="1" t="s">
        <v>1413</v>
      </c>
    </row>
    <row r="111" spans="1:8" x14ac:dyDescent="0.25">
      <c r="A111" s="31">
        <v>30100061428</v>
      </c>
      <c r="B111" s="1" t="s">
        <v>1737</v>
      </c>
      <c r="C111" s="1" t="s">
        <v>1722</v>
      </c>
      <c r="D111" s="1" t="s">
        <v>1760</v>
      </c>
      <c r="E111" s="1" t="s">
        <v>1730</v>
      </c>
      <c r="F111" s="1" t="s">
        <v>1414</v>
      </c>
      <c r="G111" s="1" t="s">
        <v>1732</v>
      </c>
      <c r="H111" s="1" t="s">
        <v>1414</v>
      </c>
    </row>
    <row r="112" spans="1:8" x14ac:dyDescent="0.25">
      <c r="A112" s="31">
        <v>30100061429</v>
      </c>
      <c r="B112" s="1" t="s">
        <v>1737</v>
      </c>
      <c r="C112" s="1" t="s">
        <v>1722</v>
      </c>
      <c r="D112" s="1" t="s">
        <v>1760</v>
      </c>
      <c r="E112" s="1" t="s">
        <v>1730</v>
      </c>
      <c r="F112" s="1" t="s">
        <v>1415</v>
      </c>
      <c r="G112" s="1" t="s">
        <v>1732</v>
      </c>
      <c r="H112" s="1" t="s">
        <v>1415</v>
      </c>
    </row>
    <row r="113" spans="1:8" x14ac:dyDescent="0.25">
      <c r="A113" s="31">
        <v>30100061430</v>
      </c>
      <c r="B113" s="1" t="s">
        <v>1737</v>
      </c>
      <c r="C113" s="1" t="s">
        <v>1722</v>
      </c>
      <c r="D113" s="1" t="s">
        <v>1760</v>
      </c>
      <c r="E113" s="1" t="s">
        <v>1730</v>
      </c>
      <c r="F113" s="1" t="s">
        <v>1416</v>
      </c>
      <c r="G113" s="1" t="s">
        <v>1732</v>
      </c>
      <c r="H113" s="1" t="s">
        <v>1416</v>
      </c>
    </row>
    <row r="114" spans="1:8" x14ac:dyDescent="0.25">
      <c r="A114" s="31">
        <v>30100061431</v>
      </c>
      <c r="B114" s="1" t="s">
        <v>1737</v>
      </c>
      <c r="C114" s="1" t="s">
        <v>1722</v>
      </c>
      <c r="D114" s="1" t="s">
        <v>1758</v>
      </c>
      <c r="E114" s="1" t="s">
        <v>1730</v>
      </c>
      <c r="F114" s="1" t="s">
        <v>1417</v>
      </c>
      <c r="G114" s="1" t="s">
        <v>1732</v>
      </c>
      <c r="H114" s="1" t="s">
        <v>1417</v>
      </c>
    </row>
    <row r="115" spans="1:8" x14ac:dyDescent="0.25">
      <c r="A115" s="31">
        <v>30100061432</v>
      </c>
      <c r="B115" s="1" t="s">
        <v>1737</v>
      </c>
      <c r="C115" s="1" t="s">
        <v>1722</v>
      </c>
      <c r="D115" s="1" t="s">
        <v>1758</v>
      </c>
      <c r="E115" s="1" t="s">
        <v>1730</v>
      </c>
      <c r="F115" s="1" t="s">
        <v>1418</v>
      </c>
      <c r="G115" s="1" t="s">
        <v>1732</v>
      </c>
      <c r="H115" s="1" t="s">
        <v>1418</v>
      </c>
    </row>
    <row r="116" spans="1:8" x14ac:dyDescent="0.25">
      <c r="A116" s="31">
        <v>30100061433</v>
      </c>
      <c r="B116" s="1" t="s">
        <v>1737</v>
      </c>
      <c r="C116" s="1" t="s">
        <v>1722</v>
      </c>
      <c r="D116" s="1" t="s">
        <v>1758</v>
      </c>
      <c r="E116" s="1" t="s">
        <v>1730</v>
      </c>
      <c r="F116" s="1" t="s">
        <v>1419</v>
      </c>
      <c r="G116" s="1" t="s">
        <v>1732</v>
      </c>
      <c r="H116" s="1" t="s">
        <v>1419</v>
      </c>
    </row>
    <row r="117" spans="1:8" x14ac:dyDescent="0.25">
      <c r="A117" s="31">
        <v>30100061434</v>
      </c>
      <c r="B117" s="1" t="s">
        <v>1737</v>
      </c>
      <c r="C117" s="1" t="s">
        <v>1722</v>
      </c>
      <c r="D117" s="1" t="s">
        <v>1758</v>
      </c>
      <c r="E117" s="1" t="s">
        <v>1730</v>
      </c>
      <c r="F117" s="1" t="s">
        <v>1420</v>
      </c>
      <c r="G117" s="1" t="s">
        <v>1732</v>
      </c>
      <c r="H117" s="1" t="s">
        <v>1420</v>
      </c>
    </row>
    <row r="118" spans="1:8" x14ac:dyDescent="0.25">
      <c r="A118" s="31">
        <v>30100061435</v>
      </c>
      <c r="B118" s="1" t="s">
        <v>1737</v>
      </c>
      <c r="C118" s="1" t="s">
        <v>1722</v>
      </c>
      <c r="D118" s="1" t="s">
        <v>1758</v>
      </c>
      <c r="E118" s="1" t="s">
        <v>1730</v>
      </c>
      <c r="F118" s="1" t="s">
        <v>1421</v>
      </c>
      <c r="G118" s="1" t="s">
        <v>1732</v>
      </c>
      <c r="H118" s="1" t="s">
        <v>1421</v>
      </c>
    </row>
    <row r="119" spans="1:8" x14ac:dyDescent="0.25">
      <c r="A119" s="31">
        <v>30100061436</v>
      </c>
      <c r="B119" s="1" t="s">
        <v>1737</v>
      </c>
      <c r="C119" s="1" t="s">
        <v>1722</v>
      </c>
      <c r="D119" s="1" t="s">
        <v>1760</v>
      </c>
      <c r="E119" s="1" t="s">
        <v>1730</v>
      </c>
      <c r="F119" s="1" t="s">
        <v>1175</v>
      </c>
      <c r="G119" s="1" t="s">
        <v>1732</v>
      </c>
      <c r="H119" s="1" t="s">
        <v>1175</v>
      </c>
    </row>
    <row r="120" spans="1:8" x14ac:dyDescent="0.25">
      <c r="A120" s="31">
        <v>30100061437</v>
      </c>
      <c r="B120" s="1" t="s">
        <v>1737</v>
      </c>
      <c r="C120" s="1" t="s">
        <v>1722</v>
      </c>
      <c r="D120" s="1" t="s">
        <v>1760</v>
      </c>
      <c r="E120" s="1" t="s">
        <v>1730</v>
      </c>
      <c r="F120" s="1" t="s">
        <v>1213</v>
      </c>
      <c r="G120" s="1" t="s">
        <v>1732</v>
      </c>
      <c r="H120" s="1" t="s">
        <v>1213</v>
      </c>
    </row>
    <row r="121" spans="1:8" x14ac:dyDescent="0.25">
      <c r="A121" s="31">
        <v>30100061438</v>
      </c>
      <c r="B121" s="1" t="s">
        <v>1737</v>
      </c>
      <c r="C121" s="1" t="s">
        <v>1722</v>
      </c>
      <c r="D121" s="1" t="s">
        <v>1760</v>
      </c>
      <c r="E121" s="1" t="s">
        <v>1730</v>
      </c>
      <c r="F121" s="1" t="s">
        <v>1174</v>
      </c>
      <c r="G121" s="1" t="s">
        <v>1732</v>
      </c>
      <c r="H121" s="1" t="s">
        <v>1174</v>
      </c>
    </row>
    <row r="122" spans="1:8" x14ac:dyDescent="0.25">
      <c r="A122" s="31">
        <v>30100061439</v>
      </c>
      <c r="B122" s="1" t="s">
        <v>1737</v>
      </c>
      <c r="C122" s="1" t="s">
        <v>1722</v>
      </c>
      <c r="D122" s="1" t="s">
        <v>1760</v>
      </c>
      <c r="E122" s="1" t="s">
        <v>1730</v>
      </c>
      <c r="F122" s="1" t="s">
        <v>1182</v>
      </c>
      <c r="G122" s="1" t="s">
        <v>1732</v>
      </c>
      <c r="H122" s="1" t="s">
        <v>1182</v>
      </c>
    </row>
    <row r="123" spans="1:8" x14ac:dyDescent="0.25">
      <c r="A123" s="31">
        <v>30100061440</v>
      </c>
      <c r="B123" s="1" t="s">
        <v>1737</v>
      </c>
      <c r="C123" s="1" t="s">
        <v>1722</v>
      </c>
      <c r="D123" s="1" t="s">
        <v>1760</v>
      </c>
      <c r="E123" s="1" t="s">
        <v>1730</v>
      </c>
      <c r="F123" s="1" t="s">
        <v>1202</v>
      </c>
      <c r="G123" s="1" t="s">
        <v>1732</v>
      </c>
      <c r="H123" s="1" t="s">
        <v>1202</v>
      </c>
    </row>
    <row r="124" spans="1:8" x14ac:dyDescent="0.25">
      <c r="A124" s="31">
        <v>30100061441</v>
      </c>
      <c r="B124" s="1" t="s">
        <v>1737</v>
      </c>
      <c r="C124" s="1" t="s">
        <v>1722</v>
      </c>
      <c r="D124" s="1" t="s">
        <v>1759</v>
      </c>
      <c r="E124" s="1" t="s">
        <v>1730</v>
      </c>
      <c r="F124" s="1" t="s">
        <v>1422</v>
      </c>
      <c r="G124" s="1" t="s">
        <v>1732</v>
      </c>
      <c r="H124" s="1" t="s">
        <v>1422</v>
      </c>
    </row>
    <row r="125" spans="1:8" x14ac:dyDescent="0.25">
      <c r="A125" s="31">
        <v>30100061442</v>
      </c>
      <c r="B125" s="1" t="s">
        <v>1737</v>
      </c>
      <c r="C125" s="1" t="s">
        <v>1722</v>
      </c>
      <c r="D125" s="1" t="s">
        <v>1759</v>
      </c>
      <c r="E125" s="1" t="s">
        <v>1730</v>
      </c>
      <c r="F125" s="1" t="s">
        <v>1423</v>
      </c>
      <c r="G125" s="1" t="s">
        <v>1732</v>
      </c>
      <c r="H125" s="1" t="s">
        <v>1423</v>
      </c>
    </row>
    <row r="126" spans="1:8" x14ac:dyDescent="0.25">
      <c r="A126" s="31">
        <v>30100061443</v>
      </c>
      <c r="B126" s="1" t="s">
        <v>1737</v>
      </c>
      <c r="C126" s="1" t="s">
        <v>1722</v>
      </c>
      <c r="D126" s="1" t="s">
        <v>1759</v>
      </c>
      <c r="E126" s="1" t="s">
        <v>1730</v>
      </c>
      <c r="F126" s="1" t="s">
        <v>1424</v>
      </c>
      <c r="G126" s="1" t="s">
        <v>1732</v>
      </c>
      <c r="H126" s="1" t="s">
        <v>1424</v>
      </c>
    </row>
    <row r="127" spans="1:8" x14ac:dyDescent="0.25">
      <c r="A127" s="31">
        <v>30100061444</v>
      </c>
      <c r="B127" s="1" t="s">
        <v>1737</v>
      </c>
      <c r="C127" s="1" t="s">
        <v>1722</v>
      </c>
      <c r="D127" s="1" t="s">
        <v>1762</v>
      </c>
      <c r="E127" s="1" t="s">
        <v>1730</v>
      </c>
      <c r="F127" s="1" t="s">
        <v>1425</v>
      </c>
      <c r="G127" s="1" t="s">
        <v>1732</v>
      </c>
      <c r="H127" s="1" t="s">
        <v>1425</v>
      </c>
    </row>
    <row r="128" spans="1:8" x14ac:dyDescent="0.25">
      <c r="A128" s="31">
        <v>30100061445</v>
      </c>
      <c r="B128" s="1" t="s">
        <v>1737</v>
      </c>
      <c r="C128" s="1" t="s">
        <v>1722</v>
      </c>
      <c r="D128" s="1" t="s">
        <v>1758</v>
      </c>
      <c r="E128" s="1" t="s">
        <v>1730</v>
      </c>
      <c r="F128" s="1" t="s">
        <v>83</v>
      </c>
      <c r="G128" s="1" t="s">
        <v>1732</v>
      </c>
      <c r="H128" s="1" t="s">
        <v>83</v>
      </c>
    </row>
    <row r="129" spans="1:8" x14ac:dyDescent="0.25">
      <c r="A129" s="31">
        <v>30100061446</v>
      </c>
      <c r="B129" s="1" t="s">
        <v>1737</v>
      </c>
      <c r="C129" s="1" t="s">
        <v>1722</v>
      </c>
      <c r="D129" s="1" t="s">
        <v>1769</v>
      </c>
      <c r="E129" s="1" t="s">
        <v>1730</v>
      </c>
      <c r="F129" s="1" t="s">
        <v>1243</v>
      </c>
      <c r="G129" s="1" t="s">
        <v>1732</v>
      </c>
      <c r="H129" s="1" t="s">
        <v>1243</v>
      </c>
    </row>
    <row r="130" spans="1:8" x14ac:dyDescent="0.25">
      <c r="A130" s="31">
        <v>30100061447</v>
      </c>
      <c r="B130" s="1" t="s">
        <v>1737</v>
      </c>
      <c r="C130" s="1" t="s">
        <v>1722</v>
      </c>
      <c r="D130" s="1" t="s">
        <v>1767</v>
      </c>
      <c r="E130" s="1" t="s">
        <v>1730</v>
      </c>
      <c r="F130" s="1" t="s">
        <v>84</v>
      </c>
      <c r="G130" s="1" t="s">
        <v>1732</v>
      </c>
      <c r="H130" s="1" t="s">
        <v>84</v>
      </c>
    </row>
    <row r="131" spans="1:8" x14ac:dyDescent="0.25">
      <c r="A131" s="31">
        <v>30100061448</v>
      </c>
      <c r="B131" s="1" t="s">
        <v>1737</v>
      </c>
      <c r="C131" s="1" t="s">
        <v>1722</v>
      </c>
      <c r="D131" s="1" t="s">
        <v>1767</v>
      </c>
      <c r="E131" s="1" t="s">
        <v>1730</v>
      </c>
      <c r="F131" s="1" t="s">
        <v>85</v>
      </c>
      <c r="G131" s="1" t="s">
        <v>1732</v>
      </c>
      <c r="H131" s="1" t="s">
        <v>85</v>
      </c>
    </row>
    <row r="132" spans="1:8" x14ac:dyDescent="0.25">
      <c r="A132" s="31">
        <v>30100061449</v>
      </c>
      <c r="B132" s="1" t="s">
        <v>1737</v>
      </c>
      <c r="C132" s="1" t="s">
        <v>1722</v>
      </c>
      <c r="D132" s="1" t="s">
        <v>1767</v>
      </c>
      <c r="E132" s="1" t="s">
        <v>1730</v>
      </c>
      <c r="F132" s="1" t="s">
        <v>86</v>
      </c>
      <c r="G132" s="1" t="s">
        <v>1732</v>
      </c>
      <c r="H132" s="1" t="s">
        <v>86</v>
      </c>
    </row>
    <row r="133" spans="1:8" x14ac:dyDescent="0.25">
      <c r="A133" s="31">
        <v>30100061450</v>
      </c>
      <c r="B133" s="1" t="s">
        <v>1737</v>
      </c>
      <c r="C133" s="1" t="s">
        <v>1722</v>
      </c>
      <c r="D133" s="1" t="s">
        <v>1767</v>
      </c>
      <c r="E133" s="1" t="s">
        <v>1730</v>
      </c>
      <c r="F133" s="1" t="s">
        <v>87</v>
      </c>
      <c r="G133" s="1" t="s">
        <v>1732</v>
      </c>
      <c r="H133" s="1" t="s">
        <v>87</v>
      </c>
    </row>
    <row r="134" spans="1:8" x14ac:dyDescent="0.25">
      <c r="A134" s="31">
        <v>30100061451</v>
      </c>
      <c r="B134" s="1" t="s">
        <v>1737</v>
      </c>
      <c r="C134" s="1" t="s">
        <v>1722</v>
      </c>
      <c r="D134" s="1" t="s">
        <v>1767</v>
      </c>
      <c r="E134" s="1" t="s">
        <v>1730</v>
      </c>
      <c r="F134" s="1" t="s">
        <v>88</v>
      </c>
      <c r="G134" s="1" t="s">
        <v>1732</v>
      </c>
      <c r="H134" s="1" t="s">
        <v>88</v>
      </c>
    </row>
    <row r="135" spans="1:8" x14ac:dyDescent="0.25">
      <c r="A135" s="31">
        <v>30100061452</v>
      </c>
      <c r="B135" s="1" t="s">
        <v>1737</v>
      </c>
      <c r="C135" s="1" t="s">
        <v>1722</v>
      </c>
      <c r="D135" s="1" t="s">
        <v>1765</v>
      </c>
      <c r="E135" s="1" t="s">
        <v>1730</v>
      </c>
      <c r="F135" s="1" t="s">
        <v>1239</v>
      </c>
      <c r="G135" s="1" t="s">
        <v>1732</v>
      </c>
      <c r="H135" s="1" t="s">
        <v>1239</v>
      </c>
    </row>
    <row r="136" spans="1:8" x14ac:dyDescent="0.25">
      <c r="A136" s="31">
        <v>30100061453</v>
      </c>
      <c r="B136" s="1" t="s">
        <v>1737</v>
      </c>
      <c r="C136" s="1" t="s">
        <v>1722</v>
      </c>
      <c r="D136" s="1" t="s">
        <v>1765</v>
      </c>
      <c r="E136" s="1" t="s">
        <v>1730</v>
      </c>
      <c r="F136" s="1" t="s">
        <v>1426</v>
      </c>
      <c r="G136" s="1" t="s">
        <v>1732</v>
      </c>
      <c r="H136" s="1" t="s">
        <v>1426</v>
      </c>
    </row>
    <row r="137" spans="1:8" x14ac:dyDescent="0.25">
      <c r="A137" s="31">
        <v>30100061454</v>
      </c>
      <c r="B137" s="1" t="s">
        <v>1737</v>
      </c>
      <c r="C137" s="1" t="s">
        <v>1722</v>
      </c>
      <c r="D137" s="1" t="s">
        <v>1765</v>
      </c>
      <c r="E137" s="1" t="s">
        <v>1730</v>
      </c>
      <c r="F137" s="1" t="s">
        <v>1231</v>
      </c>
      <c r="G137" s="1" t="s">
        <v>1732</v>
      </c>
      <c r="H137" s="1" t="s">
        <v>1231</v>
      </c>
    </row>
    <row r="138" spans="1:8" x14ac:dyDescent="0.25">
      <c r="A138" s="31">
        <v>30100061455</v>
      </c>
      <c r="B138" s="1" t="s">
        <v>1737</v>
      </c>
      <c r="C138" s="1" t="s">
        <v>1722</v>
      </c>
      <c r="D138" s="1" t="s">
        <v>1765</v>
      </c>
      <c r="E138" s="1" t="s">
        <v>1730</v>
      </c>
      <c r="F138" s="1" t="s">
        <v>1244</v>
      </c>
      <c r="G138" s="1" t="s">
        <v>1732</v>
      </c>
      <c r="H138" s="1" t="s">
        <v>1244</v>
      </c>
    </row>
    <row r="139" spans="1:8" x14ac:dyDescent="0.25">
      <c r="A139" s="31">
        <v>30100061456</v>
      </c>
      <c r="B139" s="1" t="s">
        <v>1737</v>
      </c>
      <c r="C139" s="1" t="s">
        <v>1722</v>
      </c>
      <c r="D139" s="1" t="s">
        <v>1765</v>
      </c>
      <c r="E139" s="1" t="s">
        <v>1730</v>
      </c>
      <c r="F139" s="1" t="s">
        <v>936</v>
      </c>
      <c r="G139" s="1" t="s">
        <v>1732</v>
      </c>
      <c r="H139" s="1" t="s">
        <v>936</v>
      </c>
    </row>
    <row r="140" spans="1:8" x14ac:dyDescent="0.25">
      <c r="A140" s="31">
        <v>30100061457</v>
      </c>
      <c r="B140" s="1" t="s">
        <v>1737</v>
      </c>
      <c r="C140" s="1" t="s">
        <v>1722</v>
      </c>
      <c r="D140" s="1" t="s">
        <v>1766</v>
      </c>
      <c r="E140" s="1" t="s">
        <v>1730</v>
      </c>
      <c r="F140" s="1" t="s">
        <v>92</v>
      </c>
      <c r="G140" s="1" t="s">
        <v>1732</v>
      </c>
      <c r="H140" s="1" t="s">
        <v>92</v>
      </c>
    </row>
    <row r="141" spans="1:8" x14ac:dyDescent="0.25">
      <c r="A141" s="31">
        <v>30100061458</v>
      </c>
      <c r="B141" s="1" t="s">
        <v>1737</v>
      </c>
      <c r="C141" s="1" t="s">
        <v>1722</v>
      </c>
      <c r="D141" s="1" t="s">
        <v>1766</v>
      </c>
      <c r="E141" s="1" t="s">
        <v>1730</v>
      </c>
      <c r="F141" s="1" t="s">
        <v>1427</v>
      </c>
      <c r="G141" s="1" t="s">
        <v>1732</v>
      </c>
      <c r="H141" s="1" t="s">
        <v>1427</v>
      </c>
    </row>
    <row r="142" spans="1:8" x14ac:dyDescent="0.25">
      <c r="A142" s="31">
        <v>30100061459</v>
      </c>
      <c r="B142" s="1" t="s">
        <v>1737</v>
      </c>
      <c r="C142" s="1" t="s">
        <v>1722</v>
      </c>
      <c r="D142" s="1" t="s">
        <v>1765</v>
      </c>
      <c r="E142" s="1" t="s">
        <v>1730</v>
      </c>
      <c r="F142" s="1" t="s">
        <v>93</v>
      </c>
      <c r="G142" s="1" t="s">
        <v>1732</v>
      </c>
      <c r="H142" s="1" t="s">
        <v>93</v>
      </c>
    </row>
    <row r="143" spans="1:8" x14ac:dyDescent="0.25">
      <c r="A143" s="31">
        <v>30100061460</v>
      </c>
      <c r="B143" s="1" t="s">
        <v>1737</v>
      </c>
      <c r="C143" s="1" t="s">
        <v>1722</v>
      </c>
      <c r="D143" s="1" t="s">
        <v>1765</v>
      </c>
      <c r="E143" s="1" t="s">
        <v>1730</v>
      </c>
      <c r="F143" s="1" t="s">
        <v>1207</v>
      </c>
      <c r="G143" s="1" t="s">
        <v>1732</v>
      </c>
      <c r="H143" s="1" t="s">
        <v>1207</v>
      </c>
    </row>
    <row r="144" spans="1:8" x14ac:dyDescent="0.25">
      <c r="A144" s="31">
        <v>30100062070</v>
      </c>
      <c r="B144" s="1" t="s">
        <v>1737</v>
      </c>
      <c r="C144" s="1" t="s">
        <v>1722</v>
      </c>
      <c r="D144" s="1" t="s">
        <v>1763</v>
      </c>
      <c r="E144" s="1" t="s">
        <v>1730</v>
      </c>
      <c r="F144" s="1" t="s">
        <v>1227</v>
      </c>
      <c r="G144" s="1" t="s">
        <v>1732</v>
      </c>
      <c r="H144" s="1" t="s">
        <v>1227</v>
      </c>
    </row>
    <row r="145" spans="1:8" x14ac:dyDescent="0.25">
      <c r="A145" s="31">
        <v>30100062071</v>
      </c>
      <c r="B145" s="1" t="s">
        <v>1737</v>
      </c>
      <c r="C145" s="1" t="s">
        <v>1722</v>
      </c>
      <c r="D145" s="1" t="s">
        <v>1763</v>
      </c>
      <c r="E145" s="1" t="s">
        <v>1730</v>
      </c>
      <c r="F145" s="1" t="s">
        <v>1224</v>
      </c>
      <c r="G145" s="1" t="s">
        <v>1732</v>
      </c>
      <c r="H145" s="1" t="s">
        <v>1224</v>
      </c>
    </row>
    <row r="146" spans="1:8" x14ac:dyDescent="0.25">
      <c r="A146" s="31">
        <v>30100062072</v>
      </c>
      <c r="B146" s="1" t="s">
        <v>1737</v>
      </c>
      <c r="C146" s="1" t="s">
        <v>1722</v>
      </c>
      <c r="D146" s="1" t="s">
        <v>1764</v>
      </c>
      <c r="E146" s="1" t="s">
        <v>1730</v>
      </c>
      <c r="F146" s="1" t="s">
        <v>1428</v>
      </c>
      <c r="G146" s="1" t="s">
        <v>1732</v>
      </c>
      <c r="H146" s="1" t="s">
        <v>1428</v>
      </c>
    </row>
    <row r="147" spans="1:8" x14ac:dyDescent="0.25">
      <c r="A147" s="32">
        <v>30100062073</v>
      </c>
      <c r="B147" s="33" t="s">
        <v>1737</v>
      </c>
      <c r="C147" s="33" t="s">
        <v>1722</v>
      </c>
      <c r="D147" s="33" t="s">
        <v>1762</v>
      </c>
      <c r="E147" s="33" t="s">
        <v>1730</v>
      </c>
      <c r="F147" s="33" t="s">
        <v>1429</v>
      </c>
      <c r="G147" s="33" t="s">
        <v>1732</v>
      </c>
      <c r="H147" s="33" t="s">
        <v>1429</v>
      </c>
    </row>
    <row r="148" spans="1:8" x14ac:dyDescent="0.25">
      <c r="A148" s="32">
        <v>30100062074</v>
      </c>
      <c r="B148" s="33" t="s">
        <v>1737</v>
      </c>
      <c r="C148" s="33" t="s">
        <v>1722</v>
      </c>
      <c r="D148" s="33" t="s">
        <v>1769</v>
      </c>
      <c r="E148" s="33" t="s">
        <v>1730</v>
      </c>
      <c r="F148" s="33" t="s">
        <v>1249</v>
      </c>
      <c r="G148" s="33" t="s">
        <v>1732</v>
      </c>
      <c r="H148" s="33" t="s">
        <v>1249</v>
      </c>
    </row>
    <row r="149" spans="1:8" x14ac:dyDescent="0.25">
      <c r="A149" s="31">
        <v>30100062075</v>
      </c>
      <c r="B149" s="1" t="s">
        <v>1737</v>
      </c>
      <c r="C149" s="1" t="s">
        <v>1722</v>
      </c>
      <c r="D149" s="1" t="s">
        <v>1767</v>
      </c>
      <c r="E149" s="1" t="s">
        <v>1730</v>
      </c>
      <c r="F149" s="1" t="s">
        <v>1430</v>
      </c>
      <c r="G149" s="1" t="s">
        <v>1732</v>
      </c>
      <c r="H149" s="1" t="s">
        <v>1430</v>
      </c>
    </row>
    <row r="150" spans="1:8" x14ac:dyDescent="0.25">
      <c r="A150" s="31">
        <v>30100062076</v>
      </c>
      <c r="B150" s="1" t="s">
        <v>1737</v>
      </c>
      <c r="C150" s="1" t="s">
        <v>1722</v>
      </c>
      <c r="D150" s="1" t="s">
        <v>1767</v>
      </c>
      <c r="E150" s="1" t="s">
        <v>1730</v>
      </c>
      <c r="F150" s="1" t="s">
        <v>1431</v>
      </c>
      <c r="G150" s="1" t="s">
        <v>1732</v>
      </c>
      <c r="H150" s="1" t="s">
        <v>1431</v>
      </c>
    </row>
    <row r="151" spans="1:8" x14ac:dyDescent="0.25">
      <c r="A151" s="31">
        <v>30100062077</v>
      </c>
      <c r="B151" s="1" t="s">
        <v>1737</v>
      </c>
      <c r="C151" s="1" t="s">
        <v>1722</v>
      </c>
      <c r="D151" s="1" t="s">
        <v>1767</v>
      </c>
      <c r="E151" s="1" t="s">
        <v>1730</v>
      </c>
      <c r="F151" s="1" t="s">
        <v>1432</v>
      </c>
      <c r="G151" s="1" t="s">
        <v>1732</v>
      </c>
      <c r="H151" s="1" t="s">
        <v>1432</v>
      </c>
    </row>
    <row r="152" spans="1:8" x14ac:dyDescent="0.25">
      <c r="A152" s="31">
        <v>30100062078</v>
      </c>
      <c r="B152" s="1" t="s">
        <v>1737</v>
      </c>
      <c r="C152" s="1" t="s">
        <v>1722</v>
      </c>
      <c r="D152" s="1" t="s">
        <v>1767</v>
      </c>
      <c r="E152" s="1" t="s">
        <v>1730</v>
      </c>
      <c r="F152" s="1" t="s">
        <v>1433</v>
      </c>
      <c r="G152" s="1" t="s">
        <v>1732</v>
      </c>
      <c r="H152" s="1" t="s">
        <v>1433</v>
      </c>
    </row>
    <row r="153" spans="1:8" x14ac:dyDescent="0.25">
      <c r="A153" s="31">
        <v>30100062079</v>
      </c>
      <c r="B153" s="1" t="s">
        <v>1737</v>
      </c>
      <c r="C153" s="1" t="s">
        <v>1722</v>
      </c>
      <c r="D153" s="1" t="s">
        <v>1767</v>
      </c>
      <c r="E153" s="1" t="s">
        <v>1730</v>
      </c>
      <c r="F153" s="1" t="s">
        <v>1434</v>
      </c>
      <c r="G153" s="1" t="s">
        <v>1732</v>
      </c>
      <c r="H153" s="1" t="s">
        <v>1434</v>
      </c>
    </row>
    <row r="154" spans="1:8" x14ac:dyDescent="0.25">
      <c r="A154" s="31">
        <v>30100062080</v>
      </c>
      <c r="B154" s="1" t="s">
        <v>1737</v>
      </c>
      <c r="C154" s="1" t="s">
        <v>1722</v>
      </c>
      <c r="D154" s="1" t="s">
        <v>1772</v>
      </c>
      <c r="E154" s="1" t="s">
        <v>1730</v>
      </c>
      <c r="F154" s="1" t="s">
        <v>1226</v>
      </c>
      <c r="G154" s="1" t="s">
        <v>1732</v>
      </c>
      <c r="H154" s="1" t="s">
        <v>1226</v>
      </c>
    </row>
    <row r="155" spans="1:8" x14ac:dyDescent="0.25">
      <c r="A155" s="31">
        <v>30100062081</v>
      </c>
      <c r="B155" s="1" t="s">
        <v>1737</v>
      </c>
      <c r="C155" s="1" t="s">
        <v>1722</v>
      </c>
      <c r="D155" s="1" t="s">
        <v>1771</v>
      </c>
      <c r="E155" s="1" t="s">
        <v>1730</v>
      </c>
      <c r="F155" s="1" t="s">
        <v>1225</v>
      </c>
      <c r="G155" s="1" t="s">
        <v>1732</v>
      </c>
      <c r="H155" s="1" t="s">
        <v>1225</v>
      </c>
    </row>
    <row r="156" spans="1:8" x14ac:dyDescent="0.25">
      <c r="A156" s="31">
        <v>30100062082</v>
      </c>
      <c r="B156" s="1" t="s">
        <v>1737</v>
      </c>
      <c r="C156" s="1" t="s">
        <v>1722</v>
      </c>
      <c r="D156" s="1" t="s">
        <v>1771</v>
      </c>
      <c r="E156" s="1" t="s">
        <v>1730</v>
      </c>
      <c r="F156" s="1" t="s">
        <v>1232</v>
      </c>
      <c r="G156" s="1" t="s">
        <v>1732</v>
      </c>
      <c r="H156" s="1" t="s">
        <v>1232</v>
      </c>
    </row>
    <row r="157" spans="1:8" x14ac:dyDescent="0.25">
      <c r="A157" s="31">
        <v>30100062083</v>
      </c>
      <c r="B157" s="1" t="s">
        <v>1737</v>
      </c>
      <c r="C157" s="1" t="s">
        <v>1722</v>
      </c>
      <c r="D157" s="1" t="s">
        <v>1745</v>
      </c>
      <c r="E157" s="1" t="s">
        <v>1730</v>
      </c>
      <c r="F157" s="1" t="s">
        <v>1435</v>
      </c>
      <c r="G157" s="1" t="s">
        <v>1732</v>
      </c>
      <c r="H157" s="1" t="s">
        <v>1435</v>
      </c>
    </row>
    <row r="158" spans="1:8" x14ac:dyDescent="0.25">
      <c r="A158" s="31">
        <v>30100062760</v>
      </c>
      <c r="B158" s="1" t="s">
        <v>1737</v>
      </c>
      <c r="C158" s="1" t="s">
        <v>1722</v>
      </c>
      <c r="D158" s="1" t="s">
        <v>1761</v>
      </c>
      <c r="E158" s="1" t="s">
        <v>1730</v>
      </c>
      <c r="F158" s="1" t="s">
        <v>1130</v>
      </c>
      <c r="G158" s="1" t="s">
        <v>1732</v>
      </c>
      <c r="H158" s="1" t="s">
        <v>1130</v>
      </c>
    </row>
    <row r="159" spans="1:8" x14ac:dyDescent="0.25">
      <c r="A159" s="31">
        <v>30100062761</v>
      </c>
      <c r="B159" s="1" t="s">
        <v>1737</v>
      </c>
      <c r="C159" s="1" t="s">
        <v>1722</v>
      </c>
      <c r="D159" s="1" t="s">
        <v>1761</v>
      </c>
      <c r="E159" s="1" t="s">
        <v>1730</v>
      </c>
      <c r="F159" s="1" t="s">
        <v>940</v>
      </c>
      <c r="G159" s="1" t="s">
        <v>1732</v>
      </c>
      <c r="H159" s="1" t="s">
        <v>940</v>
      </c>
    </row>
    <row r="160" spans="1:8" x14ac:dyDescent="0.25">
      <c r="A160" s="31">
        <v>30100062762</v>
      </c>
      <c r="B160" s="1" t="s">
        <v>1737</v>
      </c>
      <c r="C160" s="1" t="s">
        <v>1722</v>
      </c>
      <c r="D160" s="1" t="s">
        <v>1761</v>
      </c>
      <c r="E160" s="1" t="s">
        <v>1730</v>
      </c>
      <c r="F160" s="1" t="s">
        <v>937</v>
      </c>
      <c r="G160" s="1" t="s">
        <v>1732</v>
      </c>
      <c r="H160" s="1" t="s">
        <v>937</v>
      </c>
    </row>
    <row r="161" spans="1:8" x14ac:dyDescent="0.25">
      <c r="A161" s="31">
        <v>30100062763</v>
      </c>
      <c r="B161" s="1" t="s">
        <v>1737</v>
      </c>
      <c r="C161" s="1" t="s">
        <v>1722</v>
      </c>
      <c r="D161" s="1" t="s">
        <v>1761</v>
      </c>
      <c r="E161" s="1" t="s">
        <v>1730</v>
      </c>
      <c r="F161" s="1" t="s">
        <v>938</v>
      </c>
      <c r="G161" s="1" t="s">
        <v>1732</v>
      </c>
      <c r="H161" s="1" t="s">
        <v>938</v>
      </c>
    </row>
    <row r="162" spans="1:8" x14ac:dyDescent="0.25">
      <c r="A162" s="31">
        <v>30100062764</v>
      </c>
      <c r="B162" s="1" t="s">
        <v>1737</v>
      </c>
      <c r="C162" s="1" t="s">
        <v>1722</v>
      </c>
      <c r="D162" s="1" t="s">
        <v>1761</v>
      </c>
      <c r="E162" s="1" t="s">
        <v>1730</v>
      </c>
      <c r="F162" s="1" t="s">
        <v>939</v>
      </c>
      <c r="G162" s="1" t="s">
        <v>1732</v>
      </c>
      <c r="H162" s="1" t="s">
        <v>939</v>
      </c>
    </row>
    <row r="163" spans="1:8" x14ac:dyDescent="0.25">
      <c r="A163" s="31">
        <v>30100062770</v>
      </c>
      <c r="B163" s="1" t="s">
        <v>1737</v>
      </c>
      <c r="C163" s="1" t="s">
        <v>1722</v>
      </c>
      <c r="D163" s="1" t="s">
        <v>1768</v>
      </c>
      <c r="E163" s="1" t="s">
        <v>1730</v>
      </c>
      <c r="F163" s="1" t="s">
        <v>941</v>
      </c>
      <c r="G163" s="1" t="s">
        <v>1732</v>
      </c>
      <c r="H163" s="1" t="s">
        <v>941</v>
      </c>
    </row>
    <row r="164" spans="1:8" x14ac:dyDescent="0.25">
      <c r="A164" s="31">
        <v>30100062771</v>
      </c>
      <c r="B164" s="1" t="s">
        <v>1737</v>
      </c>
      <c r="C164" s="1" t="s">
        <v>1722</v>
      </c>
      <c r="D164" s="1" t="s">
        <v>1768</v>
      </c>
      <c r="E164" s="1" t="s">
        <v>1730</v>
      </c>
      <c r="F164" s="1" t="s">
        <v>942</v>
      </c>
      <c r="G164" s="1" t="s">
        <v>1732</v>
      </c>
      <c r="H164" s="1" t="s">
        <v>942</v>
      </c>
    </row>
    <row r="165" spans="1:8" x14ac:dyDescent="0.25">
      <c r="A165" s="32">
        <v>30100062772</v>
      </c>
      <c r="B165" s="33" t="s">
        <v>1737</v>
      </c>
      <c r="C165" s="33" t="s">
        <v>1722</v>
      </c>
      <c r="D165" s="33" t="s">
        <v>1768</v>
      </c>
      <c r="E165" s="33" t="s">
        <v>1730</v>
      </c>
      <c r="F165" s="33" t="s">
        <v>945</v>
      </c>
      <c r="G165" s="33" t="s">
        <v>1732</v>
      </c>
      <c r="H165" s="33" t="s">
        <v>945</v>
      </c>
    </row>
    <row r="166" spans="1:8" x14ac:dyDescent="0.25">
      <c r="A166" s="32">
        <v>30100062773</v>
      </c>
      <c r="B166" s="33" t="s">
        <v>1737</v>
      </c>
      <c r="C166" s="33" t="s">
        <v>1722</v>
      </c>
      <c r="D166" s="33" t="s">
        <v>1768</v>
      </c>
      <c r="E166" s="33" t="s">
        <v>1730</v>
      </c>
      <c r="F166" s="33" t="s">
        <v>944</v>
      </c>
      <c r="G166" s="33" t="s">
        <v>1732</v>
      </c>
      <c r="H166" s="33" t="s">
        <v>944</v>
      </c>
    </row>
    <row r="167" spans="1:8" x14ac:dyDescent="0.25">
      <c r="A167" s="32">
        <v>30100062774</v>
      </c>
      <c r="B167" s="33" t="s">
        <v>1737</v>
      </c>
      <c r="C167" s="33" t="s">
        <v>1722</v>
      </c>
      <c r="D167" s="33" t="s">
        <v>1768</v>
      </c>
      <c r="E167" s="33" t="s">
        <v>1730</v>
      </c>
      <c r="F167" s="33" t="s">
        <v>943</v>
      </c>
      <c r="G167" s="33" t="s">
        <v>1732</v>
      </c>
      <c r="H167" s="33" t="s">
        <v>943</v>
      </c>
    </row>
    <row r="168" spans="1:8" x14ac:dyDescent="0.25">
      <c r="A168" s="32">
        <v>30100062780</v>
      </c>
      <c r="B168" s="33" t="s">
        <v>1737</v>
      </c>
      <c r="C168" s="33" t="s">
        <v>1722</v>
      </c>
      <c r="D168" s="33" t="s">
        <v>1770</v>
      </c>
      <c r="E168" s="33" t="s">
        <v>1730</v>
      </c>
      <c r="F168" s="33" t="s">
        <v>1251</v>
      </c>
      <c r="G168" s="33" t="s">
        <v>1732</v>
      </c>
      <c r="H168" s="33" t="s">
        <v>1251</v>
      </c>
    </row>
    <row r="169" spans="1:8" x14ac:dyDescent="0.25">
      <c r="A169" s="31">
        <v>30100062817</v>
      </c>
      <c r="B169" s="1" t="s">
        <v>1737</v>
      </c>
      <c r="C169" s="1" t="s">
        <v>1722</v>
      </c>
      <c r="D169" s="1" t="s">
        <v>1768</v>
      </c>
      <c r="E169" s="1" t="s">
        <v>1730</v>
      </c>
      <c r="F169" s="1" t="s">
        <v>946</v>
      </c>
      <c r="G169" s="1" t="s">
        <v>1732</v>
      </c>
      <c r="H169" s="1" t="s">
        <v>946</v>
      </c>
    </row>
    <row r="170" spans="1:8" x14ac:dyDescent="0.25">
      <c r="A170" s="31">
        <v>30100062818</v>
      </c>
      <c r="B170" s="1" t="s">
        <v>1737</v>
      </c>
      <c r="C170" s="1" t="s">
        <v>1722</v>
      </c>
      <c r="D170" s="1" t="s">
        <v>1761</v>
      </c>
      <c r="E170" s="1" t="s">
        <v>1730</v>
      </c>
      <c r="F170" s="1" t="s">
        <v>1250</v>
      </c>
      <c r="G170" s="1" t="s">
        <v>1732</v>
      </c>
      <c r="H170" s="1" t="s">
        <v>1250</v>
      </c>
    </row>
    <row r="171" spans="1:8" x14ac:dyDescent="0.25">
      <c r="A171" s="32">
        <v>30101061420</v>
      </c>
      <c r="B171" s="33" t="s">
        <v>1737</v>
      </c>
      <c r="C171" s="33" t="s">
        <v>1720</v>
      </c>
      <c r="D171" s="33" t="s">
        <v>1795</v>
      </c>
      <c r="E171" s="33" t="s">
        <v>1730</v>
      </c>
      <c r="F171" s="33" t="s">
        <v>1199</v>
      </c>
      <c r="G171" s="33" t="s">
        <v>1732</v>
      </c>
      <c r="H171" s="33" t="s">
        <v>1199</v>
      </c>
    </row>
    <row r="172" spans="1:8" x14ac:dyDescent="0.25">
      <c r="A172" s="32">
        <v>30101061421</v>
      </c>
      <c r="B172" s="33" t="s">
        <v>1737</v>
      </c>
      <c r="C172" s="33" t="s">
        <v>1720</v>
      </c>
      <c r="D172" s="33" t="s">
        <v>1795</v>
      </c>
      <c r="E172" s="33" t="s">
        <v>1730</v>
      </c>
      <c r="F172" s="33" t="s">
        <v>1237</v>
      </c>
      <c r="G172" s="33" t="s">
        <v>1732</v>
      </c>
      <c r="H172" s="33" t="s">
        <v>1237</v>
      </c>
    </row>
    <row r="173" spans="1:8" x14ac:dyDescent="0.25">
      <c r="A173" s="32">
        <v>30101061422</v>
      </c>
      <c r="B173" s="33" t="s">
        <v>1737</v>
      </c>
      <c r="C173" s="33" t="s">
        <v>1720</v>
      </c>
      <c r="D173" s="33" t="s">
        <v>1795</v>
      </c>
      <c r="E173" s="33" t="s">
        <v>1730</v>
      </c>
      <c r="F173" s="33" t="s">
        <v>935</v>
      </c>
      <c r="G173" s="33" t="s">
        <v>1732</v>
      </c>
      <c r="H173" s="33" t="s">
        <v>935</v>
      </c>
    </row>
    <row r="174" spans="1:8" x14ac:dyDescent="0.25">
      <c r="A174" s="32">
        <v>30101061423</v>
      </c>
      <c r="B174" s="33" t="s">
        <v>1737</v>
      </c>
      <c r="C174" s="33" t="s">
        <v>1720</v>
      </c>
      <c r="D174" s="33" t="s">
        <v>1796</v>
      </c>
      <c r="E174" s="33" t="s">
        <v>1730</v>
      </c>
      <c r="F174" s="33" t="s">
        <v>1238</v>
      </c>
      <c r="G174" s="33" t="s">
        <v>1732</v>
      </c>
      <c r="H174" s="33" t="s">
        <v>1238</v>
      </c>
    </row>
    <row r="175" spans="1:8" x14ac:dyDescent="0.25">
      <c r="A175" s="32">
        <v>30101061424</v>
      </c>
      <c r="B175" s="33" t="s">
        <v>1737</v>
      </c>
      <c r="C175" s="33" t="s">
        <v>1720</v>
      </c>
      <c r="D175" s="33" t="s">
        <v>1795</v>
      </c>
      <c r="E175" s="33" t="s">
        <v>1730</v>
      </c>
      <c r="F175" s="33" t="s">
        <v>1204</v>
      </c>
      <c r="G175" s="33" t="s">
        <v>1732</v>
      </c>
      <c r="H175" s="33" t="s">
        <v>1204</v>
      </c>
    </row>
    <row r="176" spans="1:8" x14ac:dyDescent="0.25">
      <c r="A176" s="32">
        <v>30101061425</v>
      </c>
      <c r="B176" s="33" t="s">
        <v>1737</v>
      </c>
      <c r="C176" s="33" t="s">
        <v>1720</v>
      </c>
      <c r="D176" s="33" t="s">
        <v>1795</v>
      </c>
      <c r="E176" s="33" t="s">
        <v>1730</v>
      </c>
      <c r="F176" s="33" t="s">
        <v>1222</v>
      </c>
      <c r="G176" s="33" t="s">
        <v>1732</v>
      </c>
      <c r="H176" s="33" t="s">
        <v>1222</v>
      </c>
    </row>
    <row r="177" spans="1:8" x14ac:dyDescent="0.25">
      <c r="A177" s="32">
        <v>30101061788</v>
      </c>
      <c r="B177" s="33" t="s">
        <v>1737</v>
      </c>
      <c r="C177" s="33" t="s">
        <v>1720</v>
      </c>
      <c r="D177" s="33" t="s">
        <v>1794</v>
      </c>
      <c r="E177" s="33" t="s">
        <v>1730</v>
      </c>
      <c r="F177" s="33" t="s">
        <v>1199</v>
      </c>
      <c r="G177" s="33" t="s">
        <v>1732</v>
      </c>
      <c r="H177" s="33" t="s">
        <v>1199</v>
      </c>
    </row>
    <row r="178" spans="1:8" x14ac:dyDescent="0.25">
      <c r="A178" s="32">
        <v>30101061789</v>
      </c>
      <c r="B178" s="33" t="s">
        <v>1737</v>
      </c>
      <c r="C178" s="33" t="s">
        <v>1720</v>
      </c>
      <c r="D178" s="33" t="s">
        <v>1794</v>
      </c>
      <c r="E178" s="33" t="s">
        <v>1730</v>
      </c>
      <c r="F178" s="33" t="s">
        <v>1242</v>
      </c>
      <c r="G178" s="33" t="s">
        <v>1732</v>
      </c>
      <c r="H178" s="33" t="s">
        <v>1242</v>
      </c>
    </row>
    <row r="179" spans="1:8" x14ac:dyDescent="0.25">
      <c r="A179" s="32">
        <v>30101061790</v>
      </c>
      <c r="B179" s="33" t="s">
        <v>1737</v>
      </c>
      <c r="C179" s="33" t="s">
        <v>1720</v>
      </c>
      <c r="D179" s="33" t="s">
        <v>1794</v>
      </c>
      <c r="E179" s="33" t="s">
        <v>1730</v>
      </c>
      <c r="F179" s="33" t="s">
        <v>1406</v>
      </c>
      <c r="G179" s="33" t="s">
        <v>1732</v>
      </c>
      <c r="H179" s="33" t="s">
        <v>1406</v>
      </c>
    </row>
    <row r="180" spans="1:8" x14ac:dyDescent="0.25">
      <c r="A180" s="32">
        <v>30101061791</v>
      </c>
      <c r="B180" s="33" t="s">
        <v>1737</v>
      </c>
      <c r="C180" s="33" t="s">
        <v>1722</v>
      </c>
      <c r="D180" s="33" t="s">
        <v>1793</v>
      </c>
      <c r="E180" s="33" t="s">
        <v>1730</v>
      </c>
      <c r="F180" s="33" t="s">
        <v>1410</v>
      </c>
      <c r="G180" s="33" t="s">
        <v>1732</v>
      </c>
      <c r="H180" s="33" t="s">
        <v>1410</v>
      </c>
    </row>
    <row r="181" spans="1:8" x14ac:dyDescent="0.25">
      <c r="A181" s="32">
        <v>30101061792</v>
      </c>
      <c r="B181" s="33" t="s">
        <v>1737</v>
      </c>
      <c r="C181" s="33" t="s">
        <v>1720</v>
      </c>
      <c r="D181" s="33" t="s">
        <v>1794</v>
      </c>
      <c r="E181" s="33" t="s">
        <v>1730</v>
      </c>
      <c r="F181" s="33" t="s">
        <v>1407</v>
      </c>
      <c r="G181" s="33" t="s">
        <v>1732</v>
      </c>
      <c r="H181" s="33" t="s">
        <v>1407</v>
      </c>
    </row>
    <row r="182" spans="1:8" x14ac:dyDescent="0.25">
      <c r="A182" s="32">
        <v>30101061793</v>
      </c>
      <c r="B182" s="33" t="s">
        <v>1737</v>
      </c>
      <c r="C182" s="33" t="s">
        <v>1720</v>
      </c>
      <c r="D182" s="33" t="s">
        <v>1794</v>
      </c>
      <c r="E182" s="33" t="s">
        <v>1730</v>
      </c>
      <c r="F182" s="33" t="s">
        <v>1408</v>
      </c>
      <c r="G182" s="33" t="s">
        <v>1732</v>
      </c>
      <c r="H182" s="33" t="s">
        <v>1408</v>
      </c>
    </row>
    <row r="183" spans="1:8" x14ac:dyDescent="0.25">
      <c r="A183" s="32">
        <v>30101061794</v>
      </c>
      <c r="B183" s="33" t="s">
        <v>1737</v>
      </c>
      <c r="C183" s="33" t="s">
        <v>1720</v>
      </c>
      <c r="D183" s="33" t="s">
        <v>1794</v>
      </c>
      <c r="E183" s="33" t="s">
        <v>1730</v>
      </c>
      <c r="F183" s="33" t="s">
        <v>1409</v>
      </c>
      <c r="G183" s="33" t="s">
        <v>1732</v>
      </c>
      <c r="H183" s="33" t="s">
        <v>1409</v>
      </c>
    </row>
    <row r="184" spans="1:8" x14ac:dyDescent="0.25">
      <c r="A184" s="32">
        <v>30101061795</v>
      </c>
      <c r="B184" s="33" t="s">
        <v>1737</v>
      </c>
      <c r="C184" s="33" t="s">
        <v>1722</v>
      </c>
      <c r="D184" s="33" t="s">
        <v>1793</v>
      </c>
      <c r="E184" s="33" t="s">
        <v>1730</v>
      </c>
      <c r="F184" s="33" t="s">
        <v>1411</v>
      </c>
      <c r="G184" s="33" t="s">
        <v>1732</v>
      </c>
      <c r="H184" s="33" t="s">
        <v>1411</v>
      </c>
    </row>
    <row r="185" spans="1:8" x14ac:dyDescent="0.25">
      <c r="A185" s="32">
        <v>30101062065</v>
      </c>
      <c r="B185" s="33" t="s">
        <v>1737</v>
      </c>
      <c r="C185" s="33" t="s">
        <v>1720</v>
      </c>
      <c r="D185" s="33"/>
      <c r="E185" s="33"/>
      <c r="F185" s="33" t="s">
        <v>1775</v>
      </c>
      <c r="G185" s="33" t="s">
        <v>1732</v>
      </c>
      <c r="H185" s="33" t="s">
        <v>1775</v>
      </c>
    </row>
    <row r="186" spans="1:8" x14ac:dyDescent="0.25">
      <c r="A186" s="32">
        <v>30101062066</v>
      </c>
      <c r="B186" s="33" t="s">
        <v>1737</v>
      </c>
      <c r="C186" s="33" t="s">
        <v>1720</v>
      </c>
      <c r="D186" s="33"/>
      <c r="E186" s="33"/>
      <c r="F186" s="33" t="s">
        <v>1776</v>
      </c>
      <c r="G186" s="33" t="s">
        <v>1732</v>
      </c>
      <c r="H186" s="33" t="s">
        <v>1776</v>
      </c>
    </row>
    <row r="187" spans="1:8" x14ac:dyDescent="0.25">
      <c r="A187" s="32">
        <v>30101062067</v>
      </c>
      <c r="B187" s="33" t="s">
        <v>1737</v>
      </c>
      <c r="C187" s="33" t="s">
        <v>1720</v>
      </c>
      <c r="D187" s="33"/>
      <c r="E187" s="33"/>
      <c r="F187" s="33" t="s">
        <v>1774</v>
      </c>
      <c r="G187" s="33" t="s">
        <v>1732</v>
      </c>
      <c r="H187" s="33" t="s">
        <v>1774</v>
      </c>
    </row>
    <row r="188" spans="1:8" x14ac:dyDescent="0.25">
      <c r="A188" s="32">
        <v>30101062069</v>
      </c>
      <c r="B188" s="33" t="s">
        <v>1737</v>
      </c>
      <c r="C188" s="33" t="s">
        <v>1720</v>
      </c>
      <c r="D188" s="33"/>
      <c r="E188" s="33"/>
      <c r="F188" s="33" t="s">
        <v>1773</v>
      </c>
      <c r="G188" s="33" t="s">
        <v>1732</v>
      </c>
      <c r="H188" s="33" t="s">
        <v>1773</v>
      </c>
    </row>
    <row r="189" spans="1:8" x14ac:dyDescent="0.25">
      <c r="A189" s="32">
        <v>30103062251</v>
      </c>
      <c r="B189" s="33" t="s">
        <v>1737</v>
      </c>
      <c r="C189" s="33" t="s">
        <v>1719</v>
      </c>
      <c r="D189" s="33" t="s">
        <v>1790</v>
      </c>
      <c r="E189" s="33" t="s">
        <v>1730</v>
      </c>
      <c r="F189" s="33" t="s">
        <v>951</v>
      </c>
      <c r="G189" s="33" t="s">
        <v>1732</v>
      </c>
      <c r="H189" s="33" t="s">
        <v>951</v>
      </c>
    </row>
    <row r="190" spans="1:8" x14ac:dyDescent="0.25">
      <c r="A190" s="32">
        <v>30103063141</v>
      </c>
      <c r="B190" s="33" t="s">
        <v>1737</v>
      </c>
      <c r="C190" s="33" t="s">
        <v>1719</v>
      </c>
      <c r="D190" s="33" t="s">
        <v>1790</v>
      </c>
      <c r="E190" s="33" t="s">
        <v>1730</v>
      </c>
      <c r="F190" s="33" t="s">
        <v>1405</v>
      </c>
      <c r="G190" s="33" t="s">
        <v>1732</v>
      </c>
      <c r="H190" s="33" t="s">
        <v>1405</v>
      </c>
    </row>
    <row r="191" spans="1:8" x14ac:dyDescent="0.25">
      <c r="A191" s="32">
        <v>31062064984</v>
      </c>
      <c r="B191" s="33" t="s">
        <v>1729</v>
      </c>
      <c r="C191" s="33" t="s">
        <v>1741</v>
      </c>
      <c r="D191" s="33" t="s">
        <v>1708</v>
      </c>
      <c r="E191" s="33" t="s">
        <v>1730</v>
      </c>
      <c r="F191" s="33" t="s">
        <v>2178</v>
      </c>
      <c r="G191" s="33" t="s">
        <v>1732</v>
      </c>
      <c r="H191" s="33" t="s">
        <v>2178</v>
      </c>
    </row>
    <row r="192" spans="1:8" x14ac:dyDescent="0.25">
      <c r="A192" s="32">
        <v>31062064985</v>
      </c>
      <c r="B192" s="33" t="s">
        <v>1729</v>
      </c>
      <c r="C192" s="33" t="s">
        <v>1741</v>
      </c>
      <c r="D192" s="33" t="s">
        <v>1708</v>
      </c>
      <c r="E192" s="33" t="s">
        <v>1730</v>
      </c>
      <c r="F192" s="33" t="s">
        <v>2177</v>
      </c>
      <c r="G192" s="33" t="s">
        <v>1732</v>
      </c>
      <c r="H192" s="33" t="s">
        <v>2177</v>
      </c>
    </row>
    <row r="193" spans="1:8" x14ac:dyDescent="0.25">
      <c r="A193" s="32">
        <v>32060144115</v>
      </c>
      <c r="B193" s="33" t="s">
        <v>2672</v>
      </c>
      <c r="C193" s="33" t="s">
        <v>1676</v>
      </c>
      <c r="D193" s="33" t="s">
        <v>1676</v>
      </c>
      <c r="E193" s="33" t="s">
        <v>1730</v>
      </c>
      <c r="F193" s="33" t="s">
        <v>110</v>
      </c>
      <c r="G193" s="33" t="s">
        <v>1732</v>
      </c>
      <c r="H193" s="33" t="s">
        <v>2674</v>
      </c>
    </row>
    <row r="194" spans="1:8" x14ac:dyDescent="0.25">
      <c r="A194" s="32">
        <v>32060144116</v>
      </c>
      <c r="B194" s="33" t="s">
        <v>2672</v>
      </c>
      <c r="C194" s="33" t="s">
        <v>1676</v>
      </c>
      <c r="D194" s="33" t="s">
        <v>1676</v>
      </c>
      <c r="E194" s="33" t="s">
        <v>1730</v>
      </c>
      <c r="F194" s="33" t="s">
        <v>1021</v>
      </c>
      <c r="G194" s="33" t="s">
        <v>1732</v>
      </c>
      <c r="H194" s="33" t="s">
        <v>2673</v>
      </c>
    </row>
    <row r="195" spans="1:8" x14ac:dyDescent="0.25">
      <c r="A195" s="32">
        <v>32060144123</v>
      </c>
      <c r="B195" s="33" t="s">
        <v>1748</v>
      </c>
      <c r="C195" s="33" t="s">
        <v>1676</v>
      </c>
      <c r="D195" s="33" t="s">
        <v>1676</v>
      </c>
      <c r="E195" s="33" t="s">
        <v>1730</v>
      </c>
      <c r="F195" s="33" t="s">
        <v>112</v>
      </c>
      <c r="G195" s="33" t="s">
        <v>1732</v>
      </c>
      <c r="H195" s="33" t="s">
        <v>1750</v>
      </c>
    </row>
    <row r="196" spans="1:8" x14ac:dyDescent="0.25">
      <c r="A196" s="32">
        <v>32060144125</v>
      </c>
      <c r="B196" s="33" t="s">
        <v>1748</v>
      </c>
      <c r="C196" s="33" t="s">
        <v>1676</v>
      </c>
      <c r="D196" s="33" t="s">
        <v>1676</v>
      </c>
      <c r="E196" s="33" t="s">
        <v>1730</v>
      </c>
      <c r="F196" s="33" t="s">
        <v>113</v>
      </c>
      <c r="G196" s="33" t="s">
        <v>1732</v>
      </c>
      <c r="H196" s="33" t="s">
        <v>1749</v>
      </c>
    </row>
    <row r="197" spans="1:8" x14ac:dyDescent="0.25">
      <c r="A197" s="32">
        <v>32060524133</v>
      </c>
      <c r="B197" s="33" t="s">
        <v>1754</v>
      </c>
      <c r="C197" s="33" t="s">
        <v>1677</v>
      </c>
      <c r="D197" s="33" t="s">
        <v>1683</v>
      </c>
      <c r="E197" s="33" t="s">
        <v>1681</v>
      </c>
      <c r="F197" s="33" t="s">
        <v>1354</v>
      </c>
      <c r="G197" s="33" t="s">
        <v>1732</v>
      </c>
      <c r="H197" s="33" t="s">
        <v>1354</v>
      </c>
    </row>
    <row r="198" spans="1:8" x14ac:dyDescent="0.25">
      <c r="A198" s="32">
        <v>32060524134</v>
      </c>
      <c r="B198" s="33" t="s">
        <v>1754</v>
      </c>
      <c r="C198" s="33" t="s">
        <v>1677</v>
      </c>
      <c r="D198" s="33" t="s">
        <v>1683</v>
      </c>
      <c r="E198" s="33" t="s">
        <v>1681</v>
      </c>
      <c r="F198" s="33" t="s">
        <v>1496</v>
      </c>
      <c r="G198" s="33" t="s">
        <v>1732</v>
      </c>
      <c r="H198" s="33" t="s">
        <v>1496</v>
      </c>
    </row>
    <row r="199" spans="1:8" x14ac:dyDescent="0.25">
      <c r="A199" s="32">
        <v>32060534786</v>
      </c>
      <c r="B199" s="33" t="s">
        <v>2049</v>
      </c>
      <c r="C199" s="33" t="s">
        <v>1677</v>
      </c>
      <c r="D199" s="33"/>
      <c r="E199" s="33" t="s">
        <v>1681</v>
      </c>
      <c r="F199" s="33" t="s">
        <v>1352</v>
      </c>
      <c r="G199" s="33" t="s">
        <v>1732</v>
      </c>
      <c r="H199" s="33" t="s">
        <v>1352</v>
      </c>
    </row>
    <row r="200" spans="1:8" x14ac:dyDescent="0.25">
      <c r="A200" s="32">
        <v>32060534787</v>
      </c>
      <c r="B200" s="33" t="s">
        <v>2049</v>
      </c>
      <c r="C200" s="33" t="s">
        <v>1677</v>
      </c>
      <c r="D200" s="33"/>
      <c r="E200" s="33" t="s">
        <v>1681</v>
      </c>
      <c r="F200" s="33" t="s">
        <v>1351</v>
      </c>
      <c r="G200" s="33" t="s">
        <v>1732</v>
      </c>
      <c r="H200" s="33" t="s">
        <v>1351</v>
      </c>
    </row>
    <row r="201" spans="1:8" x14ac:dyDescent="0.25">
      <c r="A201" s="32">
        <v>32060534788</v>
      </c>
      <c r="B201" s="33" t="s">
        <v>2049</v>
      </c>
      <c r="C201" s="33" t="s">
        <v>1677</v>
      </c>
      <c r="D201" s="33"/>
      <c r="E201" s="33" t="s">
        <v>1681</v>
      </c>
      <c r="F201" s="33" t="s">
        <v>1353</v>
      </c>
      <c r="G201" s="33" t="s">
        <v>1732</v>
      </c>
      <c r="H201" s="33" t="s">
        <v>1353</v>
      </c>
    </row>
    <row r="202" spans="1:8" x14ac:dyDescent="0.25">
      <c r="A202" s="32">
        <v>32060534826</v>
      </c>
      <c r="B202" s="33" t="s">
        <v>1754</v>
      </c>
      <c r="C202" s="33" t="s">
        <v>1677</v>
      </c>
      <c r="D202" s="33" t="s">
        <v>1673</v>
      </c>
      <c r="E202" s="33" t="s">
        <v>1681</v>
      </c>
      <c r="F202" s="33" t="s">
        <v>1511</v>
      </c>
      <c r="G202" s="33" t="s">
        <v>1732</v>
      </c>
      <c r="H202" s="33" t="s">
        <v>2566</v>
      </c>
    </row>
    <row r="203" spans="1:8" x14ac:dyDescent="0.25">
      <c r="A203" s="32">
        <v>32070524648</v>
      </c>
      <c r="B203" s="33" t="s">
        <v>1754</v>
      </c>
      <c r="C203" s="33" t="s">
        <v>1677</v>
      </c>
      <c r="D203" s="33"/>
      <c r="E203" s="33" t="s">
        <v>1681</v>
      </c>
      <c r="F203" s="33" t="s">
        <v>1498</v>
      </c>
      <c r="G203" s="33" t="s">
        <v>1732</v>
      </c>
      <c r="H203" s="33" t="s">
        <v>1498</v>
      </c>
    </row>
    <row r="204" spans="1:8" x14ac:dyDescent="0.25">
      <c r="A204" s="32">
        <v>32070524649</v>
      </c>
      <c r="B204" s="33" t="s">
        <v>1754</v>
      </c>
      <c r="C204" s="33" t="s">
        <v>1677</v>
      </c>
      <c r="D204" s="33"/>
      <c r="E204" s="33" t="s">
        <v>1681</v>
      </c>
      <c r="F204" s="33" t="s">
        <v>1497</v>
      </c>
      <c r="G204" s="33" t="s">
        <v>1732</v>
      </c>
      <c r="H204" s="33" t="s">
        <v>1497</v>
      </c>
    </row>
    <row r="205" spans="1:8" x14ac:dyDescent="0.25">
      <c r="A205" s="32">
        <v>32070534147</v>
      </c>
      <c r="B205" s="33" t="s">
        <v>1754</v>
      </c>
      <c r="C205" s="33" t="s">
        <v>1677</v>
      </c>
      <c r="D205" s="33"/>
      <c r="E205" s="33" t="s">
        <v>1681</v>
      </c>
      <c r="F205" s="33" t="s">
        <v>1495</v>
      </c>
      <c r="G205" s="33" t="s">
        <v>1732</v>
      </c>
      <c r="H205" s="33" t="s">
        <v>1495</v>
      </c>
    </row>
    <row r="206" spans="1:8" x14ac:dyDescent="0.25">
      <c r="A206" s="32">
        <v>32070534592</v>
      </c>
      <c r="B206" s="33" t="s">
        <v>1754</v>
      </c>
      <c r="C206" s="33" t="s">
        <v>1677</v>
      </c>
      <c r="D206" s="33"/>
      <c r="E206" s="33" t="s">
        <v>1681</v>
      </c>
      <c r="F206" s="33" t="s">
        <v>1494</v>
      </c>
      <c r="G206" s="33" t="s">
        <v>1732</v>
      </c>
      <c r="H206" s="33" t="s">
        <v>1494</v>
      </c>
    </row>
    <row r="207" spans="1:8" x14ac:dyDescent="0.25">
      <c r="A207" s="32">
        <v>32105064126</v>
      </c>
      <c r="B207" s="33" t="s">
        <v>1737</v>
      </c>
      <c r="C207" s="33" t="s">
        <v>1721</v>
      </c>
      <c r="D207" s="33" t="s">
        <v>1738</v>
      </c>
      <c r="E207" s="33" t="s">
        <v>1730</v>
      </c>
      <c r="F207" s="33" t="s">
        <v>2802</v>
      </c>
      <c r="G207" s="33" t="s">
        <v>2871</v>
      </c>
      <c r="H207" s="33" t="s">
        <v>2802</v>
      </c>
    </row>
    <row r="208" spans="1:8" x14ac:dyDescent="0.25">
      <c r="A208" s="32">
        <v>32105064127</v>
      </c>
      <c r="B208" s="33" t="s">
        <v>1737</v>
      </c>
      <c r="C208" s="33" t="s">
        <v>1721</v>
      </c>
      <c r="D208" s="33" t="s">
        <v>1738</v>
      </c>
      <c r="E208" s="33" t="s">
        <v>1730</v>
      </c>
      <c r="F208" s="33" t="s">
        <v>2808</v>
      </c>
      <c r="G208" s="33" t="s">
        <v>2871</v>
      </c>
      <c r="H208" s="33" t="s">
        <v>2808</v>
      </c>
    </row>
    <row r="209" spans="1:8" x14ac:dyDescent="0.25">
      <c r="A209" s="32">
        <v>32105064128</v>
      </c>
      <c r="B209" s="33" t="s">
        <v>1737</v>
      </c>
      <c r="C209" s="33" t="s">
        <v>1721</v>
      </c>
      <c r="D209" s="33" t="s">
        <v>1738</v>
      </c>
      <c r="E209" s="33" t="s">
        <v>1730</v>
      </c>
      <c r="F209" s="33" t="s">
        <v>2798</v>
      </c>
      <c r="G209" s="33" t="s">
        <v>2871</v>
      </c>
      <c r="H209" s="33" t="s">
        <v>2798</v>
      </c>
    </row>
    <row r="210" spans="1:8" x14ac:dyDescent="0.25">
      <c r="A210" s="32">
        <v>32105064130</v>
      </c>
      <c r="B210" s="33" t="s">
        <v>1737</v>
      </c>
      <c r="C210" s="33" t="s">
        <v>1721</v>
      </c>
      <c r="D210" s="33" t="s">
        <v>1738</v>
      </c>
      <c r="E210" s="33" t="s">
        <v>1730</v>
      </c>
      <c r="F210" s="33" t="s">
        <v>2800</v>
      </c>
      <c r="G210" s="33" t="s">
        <v>2871</v>
      </c>
      <c r="H210" s="33" t="s">
        <v>2800</v>
      </c>
    </row>
    <row r="211" spans="1:8" x14ac:dyDescent="0.25">
      <c r="A211" s="32">
        <v>32105064131</v>
      </c>
      <c r="B211" s="33" t="s">
        <v>1737</v>
      </c>
      <c r="C211" s="33" t="s">
        <v>1721</v>
      </c>
      <c r="D211" s="33" t="s">
        <v>1738</v>
      </c>
      <c r="E211" s="33" t="s">
        <v>1730</v>
      </c>
      <c r="F211" s="33" t="s">
        <v>2801</v>
      </c>
      <c r="G211" s="33" t="s">
        <v>2871</v>
      </c>
      <c r="H211" s="33" t="s">
        <v>2801</v>
      </c>
    </row>
    <row r="212" spans="1:8" x14ac:dyDescent="0.25">
      <c r="A212" s="32">
        <v>32105064132</v>
      </c>
      <c r="B212" s="33" t="s">
        <v>1737</v>
      </c>
      <c r="C212" s="33" t="s">
        <v>1721</v>
      </c>
      <c r="D212" s="33" t="s">
        <v>1738</v>
      </c>
      <c r="E212" s="33" t="s">
        <v>1730</v>
      </c>
      <c r="F212" s="33" t="s">
        <v>2806</v>
      </c>
      <c r="G212" s="33" t="s">
        <v>2871</v>
      </c>
      <c r="H212" s="33" t="s">
        <v>2806</v>
      </c>
    </row>
    <row r="213" spans="1:8" x14ac:dyDescent="0.25">
      <c r="A213" s="32">
        <v>32105064133</v>
      </c>
      <c r="B213" s="33" t="s">
        <v>1737</v>
      </c>
      <c r="C213" s="33" t="s">
        <v>1721</v>
      </c>
      <c r="D213" s="33" t="s">
        <v>1738</v>
      </c>
      <c r="E213" s="33" t="s">
        <v>1730</v>
      </c>
      <c r="F213" s="33" t="s">
        <v>2803</v>
      </c>
      <c r="G213" s="33" t="s">
        <v>2871</v>
      </c>
      <c r="H213" s="33" t="s">
        <v>2803</v>
      </c>
    </row>
    <row r="214" spans="1:8" x14ac:dyDescent="0.25">
      <c r="A214" s="32">
        <v>32105064134</v>
      </c>
      <c r="B214" s="33" t="s">
        <v>1737</v>
      </c>
      <c r="C214" s="33" t="s">
        <v>1721</v>
      </c>
      <c r="D214" s="33" t="s">
        <v>1738</v>
      </c>
      <c r="E214" s="33" t="s">
        <v>1730</v>
      </c>
      <c r="F214" s="33" t="s">
        <v>2796</v>
      </c>
      <c r="G214" s="33" t="s">
        <v>2871</v>
      </c>
      <c r="H214" s="33" t="s">
        <v>2796</v>
      </c>
    </row>
    <row r="215" spans="1:8" x14ac:dyDescent="0.25">
      <c r="A215" s="32">
        <v>32105064135</v>
      </c>
      <c r="B215" s="33" t="s">
        <v>1737</v>
      </c>
      <c r="C215" s="33" t="s">
        <v>1721</v>
      </c>
      <c r="D215" s="33" t="s">
        <v>1738</v>
      </c>
      <c r="E215" s="33" t="s">
        <v>1730</v>
      </c>
      <c r="F215" s="33" t="s">
        <v>2799</v>
      </c>
      <c r="G215" s="33" t="s">
        <v>2871</v>
      </c>
      <c r="H215" s="33" t="s">
        <v>2799</v>
      </c>
    </row>
    <row r="216" spans="1:8" x14ac:dyDescent="0.25">
      <c r="A216" s="32">
        <v>32105064136</v>
      </c>
      <c r="B216" s="33" t="s">
        <v>1737</v>
      </c>
      <c r="C216" s="33" t="s">
        <v>1721</v>
      </c>
      <c r="D216" s="33" t="s">
        <v>1738</v>
      </c>
      <c r="E216" s="33" t="s">
        <v>1730</v>
      </c>
      <c r="F216" s="33" t="s">
        <v>2805</v>
      </c>
      <c r="G216" s="33" t="s">
        <v>2871</v>
      </c>
      <c r="H216" s="33" t="s">
        <v>2805</v>
      </c>
    </row>
    <row r="217" spans="1:8" x14ac:dyDescent="0.25">
      <c r="A217" s="32">
        <v>32105064137</v>
      </c>
      <c r="B217" s="33" t="s">
        <v>1737</v>
      </c>
      <c r="C217" s="33" t="s">
        <v>1721</v>
      </c>
      <c r="D217" s="33" t="s">
        <v>1738</v>
      </c>
      <c r="E217" s="33" t="s">
        <v>1730</v>
      </c>
      <c r="F217" s="33" t="s">
        <v>2807</v>
      </c>
      <c r="G217" s="33" t="s">
        <v>2871</v>
      </c>
      <c r="H217" s="33" t="s">
        <v>2807</v>
      </c>
    </row>
    <row r="218" spans="1:8" x14ac:dyDescent="0.25">
      <c r="A218" s="32">
        <v>32105064138</v>
      </c>
      <c r="B218" s="33" t="s">
        <v>1737</v>
      </c>
      <c r="C218" s="33" t="s">
        <v>1721</v>
      </c>
      <c r="D218" s="33" t="s">
        <v>2809</v>
      </c>
      <c r="E218" s="33" t="s">
        <v>1730</v>
      </c>
      <c r="F218" s="33" t="s">
        <v>118</v>
      </c>
      <c r="G218" s="33" t="s">
        <v>1732</v>
      </c>
      <c r="H218" s="33" t="s">
        <v>118</v>
      </c>
    </row>
    <row r="219" spans="1:8" x14ac:dyDescent="0.25">
      <c r="A219" s="32">
        <v>32105064139</v>
      </c>
      <c r="B219" s="33" t="s">
        <v>1737</v>
      </c>
      <c r="C219" s="33" t="s">
        <v>1721</v>
      </c>
      <c r="D219" s="33" t="s">
        <v>2809</v>
      </c>
      <c r="E219" s="33" t="s">
        <v>1730</v>
      </c>
      <c r="F219" s="33" t="s">
        <v>969</v>
      </c>
      <c r="G219" s="33" t="s">
        <v>1732</v>
      </c>
      <c r="H219" s="33" t="s">
        <v>969</v>
      </c>
    </row>
    <row r="220" spans="1:8" x14ac:dyDescent="0.25">
      <c r="A220" s="32">
        <v>32105064140</v>
      </c>
      <c r="B220" s="33" t="s">
        <v>1737</v>
      </c>
      <c r="C220" s="33" t="s">
        <v>1721</v>
      </c>
      <c r="D220" s="33" t="s">
        <v>2809</v>
      </c>
      <c r="E220" s="33" t="s">
        <v>1730</v>
      </c>
      <c r="F220" s="33" t="s">
        <v>968</v>
      </c>
      <c r="G220" s="33" t="s">
        <v>1732</v>
      </c>
      <c r="H220" s="33" t="s">
        <v>968</v>
      </c>
    </row>
    <row r="221" spans="1:8" x14ac:dyDescent="0.25">
      <c r="A221" s="32">
        <v>32105064142</v>
      </c>
      <c r="B221" s="33" t="s">
        <v>1737</v>
      </c>
      <c r="C221" s="33" t="s">
        <v>1721</v>
      </c>
      <c r="D221" s="33" t="s">
        <v>2809</v>
      </c>
      <c r="E221" s="33" t="s">
        <v>1730</v>
      </c>
      <c r="F221" s="33" t="s">
        <v>1030</v>
      </c>
      <c r="G221" s="33" t="s">
        <v>1732</v>
      </c>
      <c r="H221" s="33" t="s">
        <v>1030</v>
      </c>
    </row>
    <row r="222" spans="1:8" x14ac:dyDescent="0.25">
      <c r="A222" s="32">
        <v>32105064143</v>
      </c>
      <c r="B222" s="33" t="s">
        <v>1737</v>
      </c>
      <c r="C222" s="33" t="s">
        <v>1721</v>
      </c>
      <c r="D222" s="33" t="s">
        <v>2809</v>
      </c>
      <c r="E222" s="33" t="s">
        <v>1730</v>
      </c>
      <c r="F222" s="33" t="s">
        <v>121</v>
      </c>
      <c r="G222" s="33" t="s">
        <v>1732</v>
      </c>
      <c r="H222" s="33" t="s">
        <v>121</v>
      </c>
    </row>
    <row r="223" spans="1:8" x14ac:dyDescent="0.25">
      <c r="A223" s="32">
        <v>32105064144</v>
      </c>
      <c r="B223" s="33" t="s">
        <v>1737</v>
      </c>
      <c r="C223" s="33" t="s">
        <v>1721</v>
      </c>
      <c r="D223" s="33" t="s">
        <v>2809</v>
      </c>
      <c r="E223" s="33" t="s">
        <v>1730</v>
      </c>
      <c r="F223" s="33" t="s">
        <v>2814</v>
      </c>
      <c r="G223" s="33" t="s">
        <v>2871</v>
      </c>
      <c r="H223" s="33" t="s">
        <v>2814</v>
      </c>
    </row>
    <row r="224" spans="1:8" x14ac:dyDescent="0.25">
      <c r="A224" s="32">
        <v>32105064145</v>
      </c>
      <c r="B224" s="33" t="s">
        <v>1737</v>
      </c>
      <c r="C224" s="33" t="s">
        <v>1721</v>
      </c>
      <c r="D224" s="33" t="s">
        <v>2809</v>
      </c>
      <c r="E224" s="33" t="s">
        <v>1730</v>
      </c>
      <c r="F224" s="33" t="s">
        <v>2812</v>
      </c>
      <c r="G224" s="33" t="s">
        <v>2871</v>
      </c>
      <c r="H224" s="33" t="s">
        <v>2812</v>
      </c>
    </row>
    <row r="225" spans="1:8" x14ac:dyDescent="0.25">
      <c r="A225" s="32">
        <v>32105064146</v>
      </c>
      <c r="B225" s="33" t="s">
        <v>1737</v>
      </c>
      <c r="C225" s="33" t="s">
        <v>1721</v>
      </c>
      <c r="D225" s="33" t="s">
        <v>2809</v>
      </c>
      <c r="E225" s="33" t="s">
        <v>1730</v>
      </c>
      <c r="F225" s="33" t="s">
        <v>2810</v>
      </c>
      <c r="G225" s="33" t="s">
        <v>2871</v>
      </c>
      <c r="H225" s="33" t="s">
        <v>2810</v>
      </c>
    </row>
    <row r="226" spans="1:8" x14ac:dyDescent="0.25">
      <c r="A226" s="32">
        <v>32105064147</v>
      </c>
      <c r="B226" s="33" t="s">
        <v>1737</v>
      </c>
      <c r="C226" s="33" t="s">
        <v>1721</v>
      </c>
      <c r="D226" s="33" t="s">
        <v>2809</v>
      </c>
      <c r="E226" s="33" t="s">
        <v>1730</v>
      </c>
      <c r="F226" s="33" t="s">
        <v>2811</v>
      </c>
      <c r="G226" s="33" t="s">
        <v>2871</v>
      </c>
      <c r="H226" s="33" t="s">
        <v>2811</v>
      </c>
    </row>
    <row r="227" spans="1:8" x14ac:dyDescent="0.25">
      <c r="A227" s="32">
        <v>32105064148</v>
      </c>
      <c r="B227" s="33" t="s">
        <v>1737</v>
      </c>
      <c r="C227" s="33" t="s">
        <v>1721</v>
      </c>
      <c r="D227" s="33" t="s">
        <v>2809</v>
      </c>
      <c r="E227" s="33" t="s">
        <v>1730</v>
      </c>
      <c r="F227" s="33" t="s">
        <v>2813</v>
      </c>
      <c r="G227" s="33" t="s">
        <v>2871</v>
      </c>
      <c r="H227" s="33" t="s">
        <v>2813</v>
      </c>
    </row>
    <row r="228" spans="1:8" x14ac:dyDescent="0.25">
      <c r="A228" s="32">
        <v>32105064149</v>
      </c>
      <c r="B228" s="33" t="s">
        <v>1737</v>
      </c>
      <c r="C228" s="33" t="s">
        <v>1721</v>
      </c>
      <c r="D228" s="33" t="s">
        <v>2809</v>
      </c>
      <c r="E228" s="33" t="s">
        <v>1730</v>
      </c>
      <c r="F228" s="33" t="s">
        <v>2815</v>
      </c>
      <c r="G228" s="33" t="s">
        <v>2871</v>
      </c>
      <c r="H228" s="33" t="s">
        <v>2815</v>
      </c>
    </row>
    <row r="229" spans="1:8" x14ac:dyDescent="0.25">
      <c r="A229" s="32">
        <v>32105064150</v>
      </c>
      <c r="B229" s="33" t="s">
        <v>1737</v>
      </c>
      <c r="C229" s="33" t="s">
        <v>1721</v>
      </c>
      <c r="D229" s="33" t="s">
        <v>2766</v>
      </c>
      <c r="E229" s="33" t="s">
        <v>1730</v>
      </c>
      <c r="F229" s="33" t="s">
        <v>122</v>
      </c>
      <c r="G229" s="33" t="s">
        <v>1732</v>
      </c>
      <c r="H229" s="33" t="s">
        <v>122</v>
      </c>
    </row>
    <row r="230" spans="1:8" x14ac:dyDescent="0.25">
      <c r="A230" s="32">
        <v>32105064151</v>
      </c>
      <c r="B230" s="33" t="s">
        <v>1737</v>
      </c>
      <c r="C230" s="33" t="s">
        <v>1721</v>
      </c>
      <c r="D230" s="33" t="s">
        <v>2766</v>
      </c>
      <c r="E230" s="33" t="s">
        <v>1730</v>
      </c>
      <c r="F230" s="33" t="s">
        <v>2782</v>
      </c>
      <c r="G230" s="33" t="s">
        <v>1732</v>
      </c>
      <c r="H230" s="33" t="s">
        <v>2782</v>
      </c>
    </row>
    <row r="231" spans="1:8" x14ac:dyDescent="0.25">
      <c r="A231" s="32">
        <v>32105064152</v>
      </c>
      <c r="B231" s="33" t="s">
        <v>1737</v>
      </c>
      <c r="C231" s="33" t="s">
        <v>1721</v>
      </c>
      <c r="D231" s="33" t="s">
        <v>2766</v>
      </c>
      <c r="E231" s="33" t="s">
        <v>1730</v>
      </c>
      <c r="F231" s="33" t="s">
        <v>2774</v>
      </c>
      <c r="G231" s="33" t="s">
        <v>1732</v>
      </c>
      <c r="H231" s="33" t="s">
        <v>2774</v>
      </c>
    </row>
    <row r="232" spans="1:8" x14ac:dyDescent="0.25">
      <c r="A232" s="32">
        <v>32105064154</v>
      </c>
      <c r="B232" s="33" t="s">
        <v>1737</v>
      </c>
      <c r="C232" s="33" t="s">
        <v>1721</v>
      </c>
      <c r="D232" s="33" t="s">
        <v>2766</v>
      </c>
      <c r="E232" s="33" t="s">
        <v>1730</v>
      </c>
      <c r="F232" s="33" t="s">
        <v>2776</v>
      </c>
      <c r="G232" s="33" t="s">
        <v>1732</v>
      </c>
      <c r="H232" s="33" t="s">
        <v>2776</v>
      </c>
    </row>
    <row r="233" spans="1:8" x14ac:dyDescent="0.25">
      <c r="A233" s="32">
        <v>32105064155</v>
      </c>
      <c r="B233" s="33" t="s">
        <v>1737</v>
      </c>
      <c r="C233" s="33" t="s">
        <v>1721</v>
      </c>
      <c r="D233" s="33" t="s">
        <v>2766</v>
      </c>
      <c r="E233" s="33" t="s">
        <v>1730</v>
      </c>
      <c r="F233" s="33" t="s">
        <v>2777</v>
      </c>
      <c r="G233" s="33" t="s">
        <v>2871</v>
      </c>
      <c r="H233" s="33" t="s">
        <v>2777</v>
      </c>
    </row>
    <row r="234" spans="1:8" x14ac:dyDescent="0.25">
      <c r="A234" s="32">
        <v>32105064156</v>
      </c>
      <c r="B234" s="33" t="s">
        <v>1737</v>
      </c>
      <c r="C234" s="33" t="s">
        <v>1721</v>
      </c>
      <c r="D234" s="33" t="s">
        <v>2766</v>
      </c>
      <c r="E234" s="33" t="s">
        <v>1730</v>
      </c>
      <c r="F234" s="33" t="s">
        <v>2780</v>
      </c>
      <c r="G234" s="33" t="s">
        <v>2871</v>
      </c>
      <c r="H234" s="33" t="s">
        <v>2780</v>
      </c>
    </row>
    <row r="235" spans="1:8" x14ac:dyDescent="0.25">
      <c r="A235" s="32">
        <v>32105064157</v>
      </c>
      <c r="B235" s="33" t="s">
        <v>1737</v>
      </c>
      <c r="C235" s="33" t="s">
        <v>1721</v>
      </c>
      <c r="D235" s="33" t="s">
        <v>2766</v>
      </c>
      <c r="E235" s="33" t="s">
        <v>1730</v>
      </c>
      <c r="F235" s="33" t="s">
        <v>2778</v>
      </c>
      <c r="G235" s="33" t="s">
        <v>2871</v>
      </c>
      <c r="H235" s="33" t="s">
        <v>2778</v>
      </c>
    </row>
    <row r="236" spans="1:8" x14ac:dyDescent="0.25">
      <c r="A236" s="32">
        <v>32105064158</v>
      </c>
      <c r="B236" s="33" t="s">
        <v>1737</v>
      </c>
      <c r="C236" s="33" t="s">
        <v>1721</v>
      </c>
      <c r="D236" s="33" t="s">
        <v>2766</v>
      </c>
      <c r="E236" s="33" t="s">
        <v>1730</v>
      </c>
      <c r="F236" s="33" t="s">
        <v>2773</v>
      </c>
      <c r="G236" s="33" t="s">
        <v>2871</v>
      </c>
      <c r="H236" s="33" t="s">
        <v>2773</v>
      </c>
    </row>
    <row r="237" spans="1:8" x14ac:dyDescent="0.25">
      <c r="A237" s="32">
        <v>32105064159</v>
      </c>
      <c r="B237" s="33" t="s">
        <v>1737</v>
      </c>
      <c r="C237" s="33" t="s">
        <v>1721</v>
      </c>
      <c r="D237" s="33" t="s">
        <v>2766</v>
      </c>
      <c r="E237" s="33" t="s">
        <v>1730</v>
      </c>
      <c r="F237" s="33" t="s">
        <v>2775</v>
      </c>
      <c r="G237" s="33" t="s">
        <v>2871</v>
      </c>
      <c r="H237" s="33" t="s">
        <v>2775</v>
      </c>
    </row>
    <row r="238" spans="1:8" x14ac:dyDescent="0.25">
      <c r="A238" s="32">
        <v>32105064160</v>
      </c>
      <c r="B238" s="33" t="s">
        <v>1737</v>
      </c>
      <c r="C238" s="33" t="s">
        <v>1721</v>
      </c>
      <c r="D238" s="33" t="s">
        <v>2766</v>
      </c>
      <c r="E238" s="33" t="s">
        <v>1730</v>
      </c>
      <c r="F238" s="33" t="s">
        <v>2779</v>
      </c>
      <c r="G238" s="33" t="s">
        <v>2871</v>
      </c>
      <c r="H238" s="33" t="s">
        <v>2779</v>
      </c>
    </row>
    <row r="239" spans="1:8" x14ac:dyDescent="0.25">
      <c r="A239" s="32">
        <v>32105064161</v>
      </c>
      <c r="B239" s="33" t="s">
        <v>1737</v>
      </c>
      <c r="C239" s="33" t="s">
        <v>1721</v>
      </c>
      <c r="D239" s="33" t="s">
        <v>2766</v>
      </c>
      <c r="E239" s="33" t="s">
        <v>1730</v>
      </c>
      <c r="F239" s="33" t="s">
        <v>2781</v>
      </c>
      <c r="G239" s="33" t="s">
        <v>2871</v>
      </c>
      <c r="H239" s="33" t="s">
        <v>2781</v>
      </c>
    </row>
    <row r="240" spans="1:8" x14ac:dyDescent="0.25">
      <c r="A240" s="32">
        <v>32105064166</v>
      </c>
      <c r="B240" s="33" t="s">
        <v>1737</v>
      </c>
      <c r="C240" s="33" t="s">
        <v>1721</v>
      </c>
      <c r="D240" s="33" t="s">
        <v>1738</v>
      </c>
      <c r="E240" s="33" t="s">
        <v>1730</v>
      </c>
      <c r="F240" s="33" t="s">
        <v>2797</v>
      </c>
      <c r="G240" s="33" t="s">
        <v>2871</v>
      </c>
      <c r="H240" s="33" t="s">
        <v>2797</v>
      </c>
    </row>
    <row r="241" spans="1:8" x14ac:dyDescent="0.25">
      <c r="A241" s="32">
        <v>32105064167</v>
      </c>
      <c r="B241" s="33" t="s">
        <v>1737</v>
      </c>
      <c r="C241" s="33" t="s">
        <v>1721</v>
      </c>
      <c r="D241" s="33" t="s">
        <v>1738</v>
      </c>
      <c r="E241" s="33" t="s">
        <v>1730</v>
      </c>
      <c r="F241" s="33" t="s">
        <v>2795</v>
      </c>
      <c r="G241" s="33" t="s">
        <v>2871</v>
      </c>
      <c r="H241" s="33" t="s">
        <v>2795</v>
      </c>
    </row>
    <row r="242" spans="1:8" x14ac:dyDescent="0.25">
      <c r="A242" s="32">
        <v>32105064168</v>
      </c>
      <c r="B242" s="33" t="s">
        <v>1737</v>
      </c>
      <c r="C242" s="33" t="s">
        <v>1721</v>
      </c>
      <c r="D242" s="33" t="s">
        <v>1738</v>
      </c>
      <c r="E242" s="33" t="s">
        <v>1730</v>
      </c>
      <c r="F242" s="33" t="s">
        <v>2804</v>
      </c>
      <c r="G242" s="33" t="s">
        <v>2871</v>
      </c>
      <c r="H242" s="33" t="s">
        <v>2804</v>
      </c>
    </row>
    <row r="243" spans="1:8" x14ac:dyDescent="0.25">
      <c r="A243" s="32">
        <v>32105064169</v>
      </c>
      <c r="B243" s="33" t="s">
        <v>1737</v>
      </c>
      <c r="C243" s="33" t="s">
        <v>1721</v>
      </c>
      <c r="D243" s="33" t="s">
        <v>2809</v>
      </c>
      <c r="E243" s="33" t="s">
        <v>1730</v>
      </c>
      <c r="F243" s="33" t="s">
        <v>125</v>
      </c>
      <c r="G243" s="33" t="s">
        <v>1732</v>
      </c>
      <c r="H243" s="33" t="s">
        <v>125</v>
      </c>
    </row>
    <row r="244" spans="1:8" x14ac:dyDescent="0.25">
      <c r="A244" s="32">
        <v>32105064170</v>
      </c>
      <c r="B244" s="33" t="s">
        <v>1737</v>
      </c>
      <c r="C244" s="33" t="s">
        <v>1721</v>
      </c>
      <c r="D244" s="33" t="s">
        <v>2809</v>
      </c>
      <c r="E244" s="33" t="s">
        <v>1730</v>
      </c>
      <c r="F244" s="33" t="s">
        <v>972</v>
      </c>
      <c r="G244" s="33" t="s">
        <v>1732</v>
      </c>
      <c r="H244" s="33" t="s">
        <v>972</v>
      </c>
    </row>
    <row r="245" spans="1:8" x14ac:dyDescent="0.25">
      <c r="A245" s="32">
        <v>32105064171</v>
      </c>
      <c r="B245" s="33" t="s">
        <v>1737</v>
      </c>
      <c r="C245" s="33" t="s">
        <v>1721</v>
      </c>
      <c r="D245" s="33" t="s">
        <v>2809</v>
      </c>
      <c r="E245" s="33" t="s">
        <v>1730</v>
      </c>
      <c r="F245" s="33" t="s">
        <v>127</v>
      </c>
      <c r="G245" s="33" t="s">
        <v>1732</v>
      </c>
      <c r="H245" s="33" t="s">
        <v>127</v>
      </c>
    </row>
    <row r="246" spans="1:8" x14ac:dyDescent="0.25">
      <c r="A246" s="32">
        <v>32105064172</v>
      </c>
      <c r="B246" s="33" t="s">
        <v>1737</v>
      </c>
      <c r="C246" s="33" t="s">
        <v>1721</v>
      </c>
      <c r="D246" s="33" t="s">
        <v>2766</v>
      </c>
      <c r="E246" s="33" t="s">
        <v>1730</v>
      </c>
      <c r="F246" s="33" t="s">
        <v>128</v>
      </c>
      <c r="G246" s="33" t="s">
        <v>1732</v>
      </c>
      <c r="H246" s="33" t="s">
        <v>128</v>
      </c>
    </row>
    <row r="247" spans="1:8" x14ac:dyDescent="0.25">
      <c r="A247" s="32">
        <v>32105064173</v>
      </c>
      <c r="B247" s="33" t="s">
        <v>1737</v>
      </c>
      <c r="C247" s="33" t="s">
        <v>1721</v>
      </c>
      <c r="D247" s="33" t="s">
        <v>2766</v>
      </c>
      <c r="E247" s="33" t="s">
        <v>1730</v>
      </c>
      <c r="F247" s="33" t="s">
        <v>2772</v>
      </c>
      <c r="G247" s="33" t="s">
        <v>2871</v>
      </c>
      <c r="H247" s="33" t="s">
        <v>2772</v>
      </c>
    </row>
    <row r="248" spans="1:8" x14ac:dyDescent="0.25">
      <c r="A248" s="32">
        <v>32105064174</v>
      </c>
      <c r="B248" s="33" t="s">
        <v>1737</v>
      </c>
      <c r="C248" s="33" t="s">
        <v>1721</v>
      </c>
      <c r="D248" s="33" t="s">
        <v>2766</v>
      </c>
      <c r="E248" s="33" t="s">
        <v>1730</v>
      </c>
      <c r="F248" s="33" t="s">
        <v>129</v>
      </c>
      <c r="G248" s="33" t="s">
        <v>1732</v>
      </c>
      <c r="H248" s="33" t="s">
        <v>129</v>
      </c>
    </row>
    <row r="249" spans="1:8" x14ac:dyDescent="0.25">
      <c r="A249" s="32">
        <v>32105064268</v>
      </c>
      <c r="B249" s="33" t="s">
        <v>1737</v>
      </c>
      <c r="C249" s="33" t="s">
        <v>1721</v>
      </c>
      <c r="D249" s="33" t="s">
        <v>1738</v>
      </c>
      <c r="E249" s="33" t="s">
        <v>1730</v>
      </c>
      <c r="F249" s="33" t="s">
        <v>2784</v>
      </c>
      <c r="G249" s="33" t="s">
        <v>2871</v>
      </c>
      <c r="H249" s="33" t="s">
        <v>2784</v>
      </c>
    </row>
    <row r="250" spans="1:8" x14ac:dyDescent="0.25">
      <c r="A250" s="32">
        <v>32105064269</v>
      </c>
      <c r="B250" s="33" t="s">
        <v>1737</v>
      </c>
      <c r="C250" s="33" t="s">
        <v>1721</v>
      </c>
      <c r="D250" s="33" t="s">
        <v>1738</v>
      </c>
      <c r="E250" s="33" t="s">
        <v>1730</v>
      </c>
      <c r="F250" s="33" t="s">
        <v>2787</v>
      </c>
      <c r="G250" s="33" t="s">
        <v>2871</v>
      </c>
      <c r="H250" s="33" t="s">
        <v>2787</v>
      </c>
    </row>
    <row r="251" spans="1:8" x14ac:dyDescent="0.25">
      <c r="A251" s="32">
        <v>32105064270</v>
      </c>
      <c r="B251" s="33" t="s">
        <v>1737</v>
      </c>
      <c r="C251" s="33" t="s">
        <v>1721</v>
      </c>
      <c r="D251" s="33" t="s">
        <v>1738</v>
      </c>
      <c r="E251" s="33" t="s">
        <v>1730</v>
      </c>
      <c r="F251" s="33" t="s">
        <v>2783</v>
      </c>
      <c r="G251" s="33" t="s">
        <v>2871</v>
      </c>
      <c r="H251" s="33" t="s">
        <v>2783</v>
      </c>
    </row>
    <row r="252" spans="1:8" x14ac:dyDescent="0.25">
      <c r="A252" s="32">
        <v>32105064271</v>
      </c>
      <c r="B252" s="33" t="s">
        <v>1737</v>
      </c>
      <c r="C252" s="33" t="s">
        <v>1721</v>
      </c>
      <c r="D252" s="33" t="s">
        <v>1738</v>
      </c>
      <c r="E252" s="33" t="s">
        <v>1730</v>
      </c>
      <c r="F252" s="33" t="s">
        <v>2793</v>
      </c>
      <c r="G252" s="33" t="s">
        <v>2871</v>
      </c>
      <c r="H252" s="33" t="s">
        <v>2793</v>
      </c>
    </row>
    <row r="253" spans="1:8" x14ac:dyDescent="0.25">
      <c r="A253" s="32">
        <v>32105064272</v>
      </c>
      <c r="B253" s="33" t="s">
        <v>1737</v>
      </c>
      <c r="C253" s="33" t="s">
        <v>1721</v>
      </c>
      <c r="D253" s="33" t="s">
        <v>1738</v>
      </c>
      <c r="E253" s="33" t="s">
        <v>1730</v>
      </c>
      <c r="F253" s="33" t="s">
        <v>2794</v>
      </c>
      <c r="G253" s="33" t="s">
        <v>2871</v>
      </c>
      <c r="H253" s="33" t="s">
        <v>2794</v>
      </c>
    </row>
    <row r="254" spans="1:8" x14ac:dyDescent="0.25">
      <c r="A254" s="32">
        <v>32105064273</v>
      </c>
      <c r="B254" s="33" t="s">
        <v>1737</v>
      </c>
      <c r="C254" s="33" t="s">
        <v>1721</v>
      </c>
      <c r="D254" s="33" t="s">
        <v>2809</v>
      </c>
      <c r="E254" s="33" t="s">
        <v>1730</v>
      </c>
      <c r="F254" s="33" t="s">
        <v>1051</v>
      </c>
      <c r="G254" s="33" t="s">
        <v>1732</v>
      </c>
      <c r="H254" s="33" t="s">
        <v>1051</v>
      </c>
    </row>
    <row r="255" spans="1:8" x14ac:dyDescent="0.25">
      <c r="A255" s="32">
        <v>32105064274</v>
      </c>
      <c r="B255" s="33" t="s">
        <v>1737</v>
      </c>
      <c r="C255" s="33" t="s">
        <v>1721</v>
      </c>
      <c r="D255" s="33" t="s">
        <v>2809</v>
      </c>
      <c r="E255" s="33" t="s">
        <v>1730</v>
      </c>
      <c r="F255" s="33" t="s">
        <v>1057</v>
      </c>
      <c r="G255" s="33" t="s">
        <v>1732</v>
      </c>
      <c r="H255" s="33" t="s">
        <v>1057</v>
      </c>
    </row>
    <row r="256" spans="1:8" x14ac:dyDescent="0.25">
      <c r="A256" s="32">
        <v>32105064275</v>
      </c>
      <c r="B256" s="33" t="s">
        <v>1737</v>
      </c>
      <c r="C256" s="33" t="s">
        <v>1721</v>
      </c>
      <c r="D256" s="33" t="s">
        <v>2809</v>
      </c>
      <c r="E256" s="33" t="s">
        <v>1730</v>
      </c>
      <c r="F256" s="33" t="s">
        <v>1061</v>
      </c>
      <c r="G256" s="33" t="s">
        <v>1732</v>
      </c>
      <c r="H256" s="33" t="s">
        <v>1061</v>
      </c>
    </row>
    <row r="257" spans="1:8" x14ac:dyDescent="0.25">
      <c r="A257" s="32">
        <v>32105064276</v>
      </c>
      <c r="B257" s="33" t="s">
        <v>1737</v>
      </c>
      <c r="C257" s="33" t="s">
        <v>1721</v>
      </c>
      <c r="D257" s="33" t="s">
        <v>2809</v>
      </c>
      <c r="E257" s="33" t="s">
        <v>1730</v>
      </c>
      <c r="F257" s="33" t="s">
        <v>1128</v>
      </c>
      <c r="G257" s="33" t="s">
        <v>1732</v>
      </c>
      <c r="H257" s="33" t="s">
        <v>1128</v>
      </c>
    </row>
    <row r="258" spans="1:8" x14ac:dyDescent="0.25">
      <c r="A258" s="32">
        <v>32105064277</v>
      </c>
      <c r="B258" s="33" t="s">
        <v>1737</v>
      </c>
      <c r="C258" s="33" t="s">
        <v>1721</v>
      </c>
      <c r="D258" s="33" t="s">
        <v>2809</v>
      </c>
      <c r="E258" s="33" t="s">
        <v>1730</v>
      </c>
      <c r="F258" s="33" t="s">
        <v>1109</v>
      </c>
      <c r="G258" s="33" t="s">
        <v>1732</v>
      </c>
      <c r="H258" s="33" t="s">
        <v>1109</v>
      </c>
    </row>
    <row r="259" spans="1:8" x14ac:dyDescent="0.25">
      <c r="A259" s="32">
        <v>32105064278</v>
      </c>
      <c r="B259" s="33" t="s">
        <v>1737</v>
      </c>
      <c r="C259" s="33" t="s">
        <v>1721</v>
      </c>
      <c r="D259" s="33" t="s">
        <v>2766</v>
      </c>
      <c r="E259" s="33" t="s">
        <v>1730</v>
      </c>
      <c r="F259" s="33" t="s">
        <v>899</v>
      </c>
      <c r="G259" s="33" t="s">
        <v>1732</v>
      </c>
      <c r="H259" s="33" t="s">
        <v>899</v>
      </c>
    </row>
    <row r="260" spans="1:8" x14ac:dyDescent="0.25">
      <c r="A260" s="32">
        <v>32105064279</v>
      </c>
      <c r="B260" s="33" t="s">
        <v>1737</v>
      </c>
      <c r="C260" s="33" t="s">
        <v>1721</v>
      </c>
      <c r="D260" s="33" t="s">
        <v>2766</v>
      </c>
      <c r="E260" s="33" t="s">
        <v>1730</v>
      </c>
      <c r="F260" s="33" t="s">
        <v>2768</v>
      </c>
      <c r="G260" s="33" t="s">
        <v>2871</v>
      </c>
      <c r="H260" s="33" t="s">
        <v>2768</v>
      </c>
    </row>
    <row r="261" spans="1:8" x14ac:dyDescent="0.25">
      <c r="A261" s="32">
        <v>32105064280</v>
      </c>
      <c r="B261" s="33" t="s">
        <v>1737</v>
      </c>
      <c r="C261" s="33" t="s">
        <v>1721</v>
      </c>
      <c r="D261" s="33" t="s">
        <v>2766</v>
      </c>
      <c r="E261" s="33" t="s">
        <v>1730</v>
      </c>
      <c r="F261" s="33" t="s">
        <v>1252</v>
      </c>
      <c r="G261" s="33" t="s">
        <v>1732</v>
      </c>
      <c r="H261" s="33" t="s">
        <v>1252</v>
      </c>
    </row>
    <row r="262" spans="1:8" x14ac:dyDescent="0.25">
      <c r="A262" s="32">
        <v>32105064281</v>
      </c>
      <c r="B262" s="33" t="s">
        <v>1737</v>
      </c>
      <c r="C262" s="33" t="s">
        <v>1721</v>
      </c>
      <c r="D262" s="33" t="s">
        <v>2766</v>
      </c>
      <c r="E262" s="33" t="s">
        <v>1730</v>
      </c>
      <c r="F262" s="33" t="s">
        <v>1255</v>
      </c>
      <c r="G262" s="33" t="s">
        <v>1732</v>
      </c>
      <c r="H262" s="33" t="s">
        <v>1255</v>
      </c>
    </row>
    <row r="263" spans="1:8" x14ac:dyDescent="0.25">
      <c r="A263" s="32">
        <v>32105064282</v>
      </c>
      <c r="B263" s="33" t="s">
        <v>1737</v>
      </c>
      <c r="C263" s="33" t="s">
        <v>1721</v>
      </c>
      <c r="D263" s="33" t="s">
        <v>2766</v>
      </c>
      <c r="E263" s="33" t="s">
        <v>1730</v>
      </c>
      <c r="F263" s="33" t="s">
        <v>1256</v>
      </c>
      <c r="G263" s="33" t="s">
        <v>1732</v>
      </c>
      <c r="H263" s="33" t="s">
        <v>1256</v>
      </c>
    </row>
    <row r="264" spans="1:8" x14ac:dyDescent="0.25">
      <c r="A264" s="32">
        <v>32105064284</v>
      </c>
      <c r="B264" s="33" t="s">
        <v>1737</v>
      </c>
      <c r="C264" s="33" t="s">
        <v>1721</v>
      </c>
      <c r="D264" s="33" t="s">
        <v>2766</v>
      </c>
      <c r="E264" s="33" t="s">
        <v>1730</v>
      </c>
      <c r="F264" s="33" t="s">
        <v>2770</v>
      </c>
      <c r="G264" s="33" t="s">
        <v>2871</v>
      </c>
      <c r="H264" s="33" t="s">
        <v>2770</v>
      </c>
    </row>
    <row r="265" spans="1:8" x14ac:dyDescent="0.25">
      <c r="A265" s="32">
        <v>32105064285</v>
      </c>
      <c r="B265" s="33" t="s">
        <v>1737</v>
      </c>
      <c r="C265" s="33" t="s">
        <v>1721</v>
      </c>
      <c r="D265" s="33" t="s">
        <v>2766</v>
      </c>
      <c r="E265" s="33" t="s">
        <v>1730</v>
      </c>
      <c r="F265" s="33" t="s">
        <v>1253</v>
      </c>
      <c r="G265" s="33" t="s">
        <v>1732</v>
      </c>
      <c r="H265" s="33" t="s">
        <v>1253</v>
      </c>
    </row>
    <row r="266" spans="1:8" x14ac:dyDescent="0.25">
      <c r="A266" s="32">
        <v>32105064286</v>
      </c>
      <c r="B266" s="33" t="s">
        <v>1737</v>
      </c>
      <c r="C266" s="33" t="s">
        <v>1721</v>
      </c>
      <c r="D266" s="33" t="s">
        <v>2766</v>
      </c>
      <c r="E266" s="33" t="s">
        <v>1730</v>
      </c>
      <c r="F266" s="33" t="s">
        <v>1254</v>
      </c>
      <c r="G266" s="33" t="s">
        <v>1732</v>
      </c>
      <c r="H266" s="33" t="s">
        <v>1254</v>
      </c>
    </row>
    <row r="267" spans="1:8" x14ac:dyDescent="0.25">
      <c r="A267" s="32">
        <v>32105064287</v>
      </c>
      <c r="B267" s="33" t="s">
        <v>1737</v>
      </c>
      <c r="C267" s="33" t="s">
        <v>1721</v>
      </c>
      <c r="D267" s="33" t="s">
        <v>2766</v>
      </c>
      <c r="E267" s="33" t="s">
        <v>1730</v>
      </c>
      <c r="F267" s="33" t="s">
        <v>900</v>
      </c>
      <c r="G267" s="33" t="s">
        <v>1732</v>
      </c>
      <c r="H267" s="33" t="s">
        <v>900</v>
      </c>
    </row>
    <row r="268" spans="1:8" x14ac:dyDescent="0.25">
      <c r="A268" s="32">
        <v>32105064288</v>
      </c>
      <c r="B268" s="33" t="s">
        <v>1737</v>
      </c>
      <c r="C268" s="33" t="s">
        <v>1721</v>
      </c>
      <c r="D268" s="33" t="s">
        <v>2766</v>
      </c>
      <c r="E268" s="33" t="s">
        <v>1730</v>
      </c>
      <c r="F268" s="33" t="s">
        <v>2767</v>
      </c>
      <c r="G268" s="33" t="s">
        <v>2871</v>
      </c>
      <c r="H268" s="33" t="s">
        <v>2767</v>
      </c>
    </row>
    <row r="269" spans="1:8" x14ac:dyDescent="0.25">
      <c r="A269" s="32">
        <v>32105064289</v>
      </c>
      <c r="B269" s="33" t="s">
        <v>1737</v>
      </c>
      <c r="C269" s="33" t="s">
        <v>1721</v>
      </c>
      <c r="D269" s="33" t="s">
        <v>2766</v>
      </c>
      <c r="E269" s="33" t="s">
        <v>1730</v>
      </c>
      <c r="F269" s="33" t="s">
        <v>2771</v>
      </c>
      <c r="G269" s="33" t="s">
        <v>2871</v>
      </c>
      <c r="H269" s="33" t="s">
        <v>2771</v>
      </c>
    </row>
    <row r="270" spans="1:8" x14ac:dyDescent="0.25">
      <c r="A270" s="32">
        <v>32105064290</v>
      </c>
      <c r="B270" s="33" t="s">
        <v>1737</v>
      </c>
      <c r="C270" s="33" t="s">
        <v>1721</v>
      </c>
      <c r="D270" s="33" t="s">
        <v>2766</v>
      </c>
      <c r="E270" s="33" t="s">
        <v>1730</v>
      </c>
      <c r="F270" s="33" t="s">
        <v>2769</v>
      </c>
      <c r="G270" s="33" t="s">
        <v>2871</v>
      </c>
      <c r="H270" s="33" t="s">
        <v>2769</v>
      </c>
    </row>
    <row r="271" spans="1:8" x14ac:dyDescent="0.25">
      <c r="A271" s="32">
        <v>32105064291</v>
      </c>
      <c r="B271" s="33" t="s">
        <v>1737</v>
      </c>
      <c r="C271" s="33" t="s">
        <v>1721</v>
      </c>
      <c r="D271" s="33" t="s">
        <v>1738</v>
      </c>
      <c r="E271" s="33" t="s">
        <v>1730</v>
      </c>
      <c r="F271" s="33" t="s">
        <v>2791</v>
      </c>
      <c r="G271" s="33" t="s">
        <v>2871</v>
      </c>
      <c r="H271" s="33" t="s">
        <v>2791</v>
      </c>
    </row>
    <row r="272" spans="1:8" x14ac:dyDescent="0.25">
      <c r="A272" s="32">
        <v>32105064292</v>
      </c>
      <c r="B272" s="33" t="s">
        <v>1737</v>
      </c>
      <c r="C272" s="33" t="s">
        <v>1721</v>
      </c>
      <c r="D272" s="33" t="s">
        <v>1738</v>
      </c>
      <c r="E272" s="33" t="s">
        <v>1730</v>
      </c>
      <c r="F272" s="33" t="s">
        <v>2788</v>
      </c>
      <c r="G272" s="33" t="s">
        <v>1732</v>
      </c>
      <c r="H272" s="33" t="s">
        <v>2788</v>
      </c>
    </row>
    <row r="273" spans="1:8" x14ac:dyDescent="0.25">
      <c r="A273" s="32">
        <v>32105064293</v>
      </c>
      <c r="B273" s="33" t="s">
        <v>1737</v>
      </c>
      <c r="C273" s="33" t="s">
        <v>1721</v>
      </c>
      <c r="D273" s="33" t="s">
        <v>1738</v>
      </c>
      <c r="E273" s="33" t="s">
        <v>1730</v>
      </c>
      <c r="F273" s="33" t="s">
        <v>2789</v>
      </c>
      <c r="G273" s="33" t="s">
        <v>2871</v>
      </c>
      <c r="H273" s="33" t="s">
        <v>2789</v>
      </c>
    </row>
    <row r="274" spans="1:8" x14ac:dyDescent="0.25">
      <c r="A274" s="32">
        <v>32105064294</v>
      </c>
      <c r="B274" s="33" t="s">
        <v>1737</v>
      </c>
      <c r="C274" s="33" t="s">
        <v>1721</v>
      </c>
      <c r="D274" s="33" t="s">
        <v>1738</v>
      </c>
      <c r="E274" s="33" t="s">
        <v>1730</v>
      </c>
      <c r="F274" s="33" t="s">
        <v>2786</v>
      </c>
      <c r="G274" s="33" t="s">
        <v>2871</v>
      </c>
      <c r="H274" s="33" t="s">
        <v>2786</v>
      </c>
    </row>
    <row r="275" spans="1:8" x14ac:dyDescent="0.25">
      <c r="A275" s="32">
        <v>32105064295</v>
      </c>
      <c r="B275" s="33" t="s">
        <v>1737</v>
      </c>
      <c r="C275" s="33" t="s">
        <v>1721</v>
      </c>
      <c r="D275" s="33" t="s">
        <v>1738</v>
      </c>
      <c r="E275" s="33" t="s">
        <v>1730</v>
      </c>
      <c r="F275" s="33" t="s">
        <v>2785</v>
      </c>
      <c r="G275" s="33" t="s">
        <v>2871</v>
      </c>
      <c r="H275" s="33" t="s">
        <v>2785</v>
      </c>
    </row>
    <row r="276" spans="1:8" x14ac:dyDescent="0.25">
      <c r="A276" s="32">
        <v>32105064296</v>
      </c>
      <c r="B276" s="33" t="s">
        <v>1737</v>
      </c>
      <c r="C276" s="33" t="s">
        <v>1721</v>
      </c>
      <c r="D276" s="33" t="s">
        <v>1738</v>
      </c>
      <c r="E276" s="33" t="s">
        <v>1730</v>
      </c>
      <c r="F276" s="33" t="s">
        <v>2792</v>
      </c>
      <c r="G276" s="33" t="s">
        <v>2871</v>
      </c>
      <c r="H276" s="33" t="s">
        <v>2792</v>
      </c>
    </row>
    <row r="277" spans="1:8" x14ac:dyDescent="0.25">
      <c r="A277" s="32">
        <v>32105064297</v>
      </c>
      <c r="B277" s="33" t="s">
        <v>1737</v>
      </c>
      <c r="C277" s="33" t="s">
        <v>1721</v>
      </c>
      <c r="D277" s="33" t="s">
        <v>1738</v>
      </c>
      <c r="E277" s="33" t="s">
        <v>1730</v>
      </c>
      <c r="F277" s="33" t="s">
        <v>2790</v>
      </c>
      <c r="G277" s="33" t="s">
        <v>2871</v>
      </c>
      <c r="H277" s="33" t="s">
        <v>2790</v>
      </c>
    </row>
    <row r="278" spans="1:8" x14ac:dyDescent="0.25">
      <c r="A278" s="32">
        <v>32105064298</v>
      </c>
      <c r="B278" s="33" t="s">
        <v>1737</v>
      </c>
      <c r="C278" s="33" t="s">
        <v>1721</v>
      </c>
      <c r="D278" s="33" t="s">
        <v>2809</v>
      </c>
      <c r="E278" s="33" t="s">
        <v>1730</v>
      </c>
      <c r="F278" s="33" t="s">
        <v>1003</v>
      </c>
      <c r="G278" s="33" t="s">
        <v>1732</v>
      </c>
      <c r="H278" s="33" t="s">
        <v>1003</v>
      </c>
    </row>
    <row r="279" spans="1:8" x14ac:dyDescent="0.25">
      <c r="A279" s="32">
        <v>32105064299</v>
      </c>
      <c r="B279" s="33" t="s">
        <v>1737</v>
      </c>
      <c r="C279" s="33" t="s">
        <v>1721</v>
      </c>
      <c r="D279" s="33" t="s">
        <v>2809</v>
      </c>
      <c r="E279" s="33" t="s">
        <v>1730</v>
      </c>
      <c r="F279" s="33" t="s">
        <v>1018</v>
      </c>
      <c r="G279" s="33" t="s">
        <v>1732</v>
      </c>
      <c r="H279" s="33" t="s">
        <v>1018</v>
      </c>
    </row>
    <row r="280" spans="1:8" x14ac:dyDescent="0.25">
      <c r="A280" s="32">
        <v>32105064300</v>
      </c>
      <c r="B280" s="33" t="s">
        <v>1737</v>
      </c>
      <c r="C280" s="33" t="s">
        <v>1721</v>
      </c>
      <c r="D280" s="33" t="s">
        <v>2809</v>
      </c>
      <c r="E280" s="33" t="s">
        <v>1730</v>
      </c>
      <c r="F280" s="33" t="s">
        <v>1010</v>
      </c>
      <c r="G280" s="33" t="s">
        <v>1732</v>
      </c>
      <c r="H280" s="33" t="s">
        <v>1010</v>
      </c>
    </row>
    <row r="281" spans="1:8" x14ac:dyDescent="0.25">
      <c r="A281" s="32">
        <v>32105064301</v>
      </c>
      <c r="B281" s="33" t="s">
        <v>1737</v>
      </c>
      <c r="C281" s="33" t="s">
        <v>1721</v>
      </c>
      <c r="D281" s="33" t="s">
        <v>2809</v>
      </c>
      <c r="E281" s="33" t="s">
        <v>1730</v>
      </c>
      <c r="F281" s="33" t="s">
        <v>140</v>
      </c>
      <c r="G281" s="33" t="s">
        <v>1732</v>
      </c>
      <c r="H281" s="33" t="s">
        <v>140</v>
      </c>
    </row>
    <row r="282" spans="1:8" x14ac:dyDescent="0.25">
      <c r="A282" s="32">
        <v>32105064302</v>
      </c>
      <c r="B282" s="33" t="s">
        <v>1737</v>
      </c>
      <c r="C282" s="33" t="s">
        <v>1721</v>
      </c>
      <c r="D282" s="33" t="s">
        <v>2809</v>
      </c>
      <c r="E282" s="33" t="s">
        <v>1730</v>
      </c>
      <c r="F282" s="33" t="s">
        <v>141</v>
      </c>
      <c r="G282" s="33" t="s">
        <v>1732</v>
      </c>
      <c r="H282" s="33" t="s">
        <v>141</v>
      </c>
    </row>
    <row r="283" spans="1:8" x14ac:dyDescent="0.25">
      <c r="A283" s="32">
        <v>32105064303</v>
      </c>
      <c r="B283" s="33" t="s">
        <v>1737</v>
      </c>
      <c r="C283" s="33" t="s">
        <v>1721</v>
      </c>
      <c r="D283" s="33" t="s">
        <v>2809</v>
      </c>
      <c r="E283" s="33" t="s">
        <v>1730</v>
      </c>
      <c r="F283" s="33" t="s">
        <v>989</v>
      </c>
      <c r="G283" s="33" t="s">
        <v>1732</v>
      </c>
      <c r="H283" s="33" t="s">
        <v>989</v>
      </c>
    </row>
    <row r="284" spans="1:8" x14ac:dyDescent="0.25">
      <c r="A284" s="32">
        <v>32105064304</v>
      </c>
      <c r="B284" s="33" t="s">
        <v>1737</v>
      </c>
      <c r="C284" s="33" t="s">
        <v>1721</v>
      </c>
      <c r="D284" s="33" t="s">
        <v>2809</v>
      </c>
      <c r="E284" s="33" t="s">
        <v>1730</v>
      </c>
      <c r="F284" s="33" t="s">
        <v>1075</v>
      </c>
      <c r="G284" s="33" t="s">
        <v>1732</v>
      </c>
      <c r="H284" s="33" t="s">
        <v>1075</v>
      </c>
    </row>
    <row r="285" spans="1:8" x14ac:dyDescent="0.25">
      <c r="A285" s="32">
        <v>33060114113</v>
      </c>
      <c r="B285" s="33" t="s">
        <v>1754</v>
      </c>
      <c r="C285" s="33" t="s">
        <v>1682</v>
      </c>
      <c r="D285" s="33" t="s">
        <v>1682</v>
      </c>
      <c r="E285" s="33" t="s">
        <v>1730</v>
      </c>
      <c r="F285" s="33" t="s">
        <v>144</v>
      </c>
      <c r="G285" s="33" t="s">
        <v>2129</v>
      </c>
      <c r="H285" s="33" t="s">
        <v>2503</v>
      </c>
    </row>
    <row r="286" spans="1:8" x14ac:dyDescent="0.25">
      <c r="A286" s="32">
        <v>33060114114</v>
      </c>
      <c r="B286" s="33" t="s">
        <v>1754</v>
      </c>
      <c r="C286" s="33" t="s">
        <v>1682</v>
      </c>
      <c r="D286" s="33" t="s">
        <v>1682</v>
      </c>
      <c r="E286" s="33" t="s">
        <v>1730</v>
      </c>
      <c r="F286" s="33" t="s">
        <v>145</v>
      </c>
      <c r="G286" s="33" t="s">
        <v>2129</v>
      </c>
      <c r="H286" s="33" t="s">
        <v>2504</v>
      </c>
    </row>
    <row r="287" spans="1:8" x14ac:dyDescent="0.25">
      <c r="A287" s="32">
        <v>33060114130</v>
      </c>
      <c r="B287" s="33" t="s">
        <v>1754</v>
      </c>
      <c r="C287" s="33" t="s">
        <v>1683</v>
      </c>
      <c r="D287" s="33" t="s">
        <v>1683</v>
      </c>
      <c r="E287" s="33" t="s">
        <v>1730</v>
      </c>
      <c r="F287" s="33" t="s">
        <v>1210</v>
      </c>
      <c r="G287" s="33" t="s">
        <v>1732</v>
      </c>
      <c r="H287" s="33" t="s">
        <v>2546</v>
      </c>
    </row>
    <row r="288" spans="1:8" x14ac:dyDescent="0.25">
      <c r="A288" s="32">
        <v>33060114487</v>
      </c>
      <c r="B288" s="33" t="s">
        <v>1754</v>
      </c>
      <c r="C288" s="33" t="s">
        <v>1673</v>
      </c>
      <c r="D288" s="33" t="s">
        <v>1673</v>
      </c>
      <c r="E288" s="33" t="s">
        <v>1730</v>
      </c>
      <c r="F288" s="33" t="s">
        <v>146</v>
      </c>
      <c r="G288" s="33" t="s">
        <v>2129</v>
      </c>
      <c r="H288" s="33" t="s">
        <v>2536</v>
      </c>
    </row>
    <row r="289" spans="1:8" x14ac:dyDescent="0.25">
      <c r="A289" s="32">
        <v>33060114488</v>
      </c>
      <c r="B289" s="33" t="s">
        <v>1754</v>
      </c>
      <c r="C289" s="33" t="s">
        <v>1673</v>
      </c>
      <c r="D289" s="33" t="s">
        <v>1673</v>
      </c>
      <c r="E289" s="33" t="s">
        <v>1730</v>
      </c>
      <c r="F289" s="33" t="s">
        <v>147</v>
      </c>
      <c r="G289" s="33" t="s">
        <v>2129</v>
      </c>
      <c r="H289" s="33" t="s">
        <v>2544</v>
      </c>
    </row>
    <row r="290" spans="1:8" x14ac:dyDescent="0.25">
      <c r="A290" s="32">
        <v>33060114489</v>
      </c>
      <c r="B290" s="33" t="s">
        <v>1754</v>
      </c>
      <c r="C290" s="33" t="s">
        <v>1675</v>
      </c>
      <c r="D290" s="33" t="s">
        <v>1675</v>
      </c>
      <c r="E290" s="33" t="s">
        <v>1730</v>
      </c>
      <c r="F290" s="33" t="s">
        <v>2038</v>
      </c>
      <c r="G290" s="33" t="s">
        <v>1732</v>
      </c>
      <c r="H290" s="33" t="s">
        <v>2038</v>
      </c>
    </row>
    <row r="291" spans="1:8" x14ac:dyDescent="0.25">
      <c r="A291" s="32">
        <v>33060114586</v>
      </c>
      <c r="B291" s="33" t="s">
        <v>1754</v>
      </c>
      <c r="C291" s="33" t="s">
        <v>1673</v>
      </c>
      <c r="D291" s="33" t="s">
        <v>1673</v>
      </c>
      <c r="E291" s="33" t="s">
        <v>1730</v>
      </c>
      <c r="F291" s="33" t="s">
        <v>1486</v>
      </c>
      <c r="G291" s="33" t="s">
        <v>1732</v>
      </c>
      <c r="H291" s="33" t="s">
        <v>2042</v>
      </c>
    </row>
    <row r="292" spans="1:8" x14ac:dyDescent="0.25">
      <c r="A292" s="32">
        <v>33060114587</v>
      </c>
      <c r="B292" s="33" t="s">
        <v>1754</v>
      </c>
      <c r="C292" s="33" t="s">
        <v>1673</v>
      </c>
      <c r="D292" s="33" t="s">
        <v>1673</v>
      </c>
      <c r="E292" s="33" t="s">
        <v>1730</v>
      </c>
      <c r="F292" s="33" t="s">
        <v>1508</v>
      </c>
      <c r="G292" s="33" t="s">
        <v>1732</v>
      </c>
      <c r="H292" s="33" t="s">
        <v>2535</v>
      </c>
    </row>
    <row r="293" spans="1:8" x14ac:dyDescent="0.25">
      <c r="A293" s="32">
        <v>33060114591</v>
      </c>
      <c r="B293" s="33" t="s">
        <v>1754</v>
      </c>
      <c r="C293" s="33" t="s">
        <v>1683</v>
      </c>
      <c r="D293" s="33" t="s">
        <v>1683</v>
      </c>
      <c r="E293" s="33" t="s">
        <v>1730</v>
      </c>
      <c r="F293" s="33" t="s">
        <v>148</v>
      </c>
      <c r="G293" s="33" t="s">
        <v>2129</v>
      </c>
      <c r="H293" s="33" t="s">
        <v>2548</v>
      </c>
    </row>
    <row r="294" spans="1:8" x14ac:dyDescent="0.25">
      <c r="A294" s="32">
        <v>33060114592</v>
      </c>
      <c r="B294" s="33" t="s">
        <v>1754</v>
      </c>
      <c r="C294" s="33" t="s">
        <v>1683</v>
      </c>
      <c r="D294" s="33" t="s">
        <v>1683</v>
      </c>
      <c r="E294" s="33" t="s">
        <v>1730</v>
      </c>
      <c r="F294" s="33" t="s">
        <v>149</v>
      </c>
      <c r="G294" s="33" t="s">
        <v>2129</v>
      </c>
      <c r="H294" s="33" t="s">
        <v>2548</v>
      </c>
    </row>
    <row r="295" spans="1:8" x14ac:dyDescent="0.25">
      <c r="A295" s="32">
        <v>33060114628</v>
      </c>
      <c r="B295" s="33" t="s">
        <v>1754</v>
      </c>
      <c r="C295" s="33" t="s">
        <v>1676</v>
      </c>
      <c r="D295" s="33" t="s">
        <v>1676</v>
      </c>
      <c r="E295" s="33" t="s">
        <v>1730</v>
      </c>
      <c r="F295" s="33" t="s">
        <v>1514</v>
      </c>
      <c r="G295" s="33" t="s">
        <v>1732</v>
      </c>
      <c r="H295" s="33" t="s">
        <v>2045</v>
      </c>
    </row>
    <row r="296" spans="1:8" x14ac:dyDescent="0.25">
      <c r="A296" s="32">
        <v>33060114635</v>
      </c>
      <c r="B296" s="33" t="s">
        <v>1754</v>
      </c>
      <c r="C296" s="33" t="s">
        <v>1682</v>
      </c>
      <c r="D296" s="33" t="s">
        <v>1682</v>
      </c>
      <c r="E296" s="33" t="s">
        <v>1730</v>
      </c>
      <c r="F296" s="33" t="s">
        <v>150</v>
      </c>
      <c r="G296" s="33" t="s">
        <v>1732</v>
      </c>
      <c r="H296" s="33" t="s">
        <v>2505</v>
      </c>
    </row>
    <row r="297" spans="1:8" x14ac:dyDescent="0.25">
      <c r="A297" s="32">
        <v>33060114674</v>
      </c>
      <c r="B297" s="33" t="s">
        <v>1754</v>
      </c>
      <c r="C297" s="33" t="s">
        <v>1676</v>
      </c>
      <c r="D297" s="33" t="s">
        <v>1675</v>
      </c>
      <c r="E297" s="33" t="s">
        <v>1730</v>
      </c>
      <c r="F297" s="33" t="s">
        <v>1491</v>
      </c>
      <c r="G297" s="33" t="s">
        <v>1732</v>
      </c>
      <c r="H297" s="33" t="s">
        <v>1491</v>
      </c>
    </row>
    <row r="298" spans="1:8" x14ac:dyDescent="0.25">
      <c r="A298" s="32">
        <v>33060114687</v>
      </c>
      <c r="B298" s="33" t="s">
        <v>1754</v>
      </c>
      <c r="C298" s="33" t="s">
        <v>1676</v>
      </c>
      <c r="D298" s="33" t="s">
        <v>1676</v>
      </c>
      <c r="E298" s="33" t="s">
        <v>1730</v>
      </c>
      <c r="F298" s="33" t="s">
        <v>1515</v>
      </c>
      <c r="G298" s="33" t="s">
        <v>1732</v>
      </c>
      <c r="H298" s="33" t="s">
        <v>1515</v>
      </c>
    </row>
    <row r="299" spans="1:8" x14ac:dyDescent="0.25">
      <c r="A299" s="32">
        <v>33060114688</v>
      </c>
      <c r="B299" s="33" t="s">
        <v>1754</v>
      </c>
      <c r="C299" s="33" t="s">
        <v>1676</v>
      </c>
      <c r="D299" s="33" t="s">
        <v>1676</v>
      </c>
      <c r="E299" s="33" t="s">
        <v>1730</v>
      </c>
      <c r="F299" s="33" t="s">
        <v>1490</v>
      </c>
      <c r="G299" s="33" t="s">
        <v>1732</v>
      </c>
      <c r="H299" s="33" t="s">
        <v>1490</v>
      </c>
    </row>
    <row r="300" spans="1:8" x14ac:dyDescent="0.25">
      <c r="A300" s="32">
        <v>33060114789</v>
      </c>
      <c r="B300" s="33" t="s">
        <v>1754</v>
      </c>
      <c r="C300" s="33" t="s">
        <v>1676</v>
      </c>
      <c r="D300" s="33" t="s">
        <v>1676</v>
      </c>
      <c r="E300" s="33" t="s">
        <v>1730</v>
      </c>
      <c r="F300" s="33" t="s">
        <v>151</v>
      </c>
      <c r="G300" s="33" t="s">
        <v>1732</v>
      </c>
      <c r="H300" s="33" t="s">
        <v>2529</v>
      </c>
    </row>
    <row r="301" spans="1:8" x14ac:dyDescent="0.25">
      <c r="A301" s="32">
        <v>33060114791</v>
      </c>
      <c r="B301" s="33" t="s">
        <v>1754</v>
      </c>
      <c r="C301" s="33" t="s">
        <v>1676</v>
      </c>
      <c r="D301" s="33" t="s">
        <v>1676</v>
      </c>
      <c r="E301" s="33" t="s">
        <v>1730</v>
      </c>
      <c r="F301" s="33" t="s">
        <v>152</v>
      </c>
      <c r="G301" s="33" t="s">
        <v>1732</v>
      </c>
      <c r="H301" s="33" t="s">
        <v>2508</v>
      </c>
    </row>
    <row r="302" spans="1:8" x14ac:dyDescent="0.25">
      <c r="A302" s="32">
        <v>33060114792</v>
      </c>
      <c r="B302" s="33" t="s">
        <v>1754</v>
      </c>
      <c r="C302" s="33" t="s">
        <v>1676</v>
      </c>
      <c r="D302" s="33" t="s">
        <v>1676</v>
      </c>
      <c r="E302" s="33" t="s">
        <v>1730</v>
      </c>
      <c r="F302" s="33" t="s">
        <v>1095</v>
      </c>
      <c r="G302" s="33" t="s">
        <v>1732</v>
      </c>
      <c r="H302" s="33" t="s">
        <v>2530</v>
      </c>
    </row>
    <row r="303" spans="1:8" x14ac:dyDescent="0.25">
      <c r="A303" s="32">
        <v>33060114793</v>
      </c>
      <c r="B303" s="33" t="s">
        <v>1754</v>
      </c>
      <c r="C303" s="33" t="s">
        <v>1676</v>
      </c>
      <c r="D303" s="33" t="s">
        <v>1676</v>
      </c>
      <c r="E303" s="33" t="s">
        <v>1730</v>
      </c>
      <c r="F303" s="33" t="s">
        <v>1012</v>
      </c>
      <c r="G303" s="33" t="s">
        <v>1732</v>
      </c>
      <c r="H303" s="33" t="s">
        <v>2528</v>
      </c>
    </row>
    <row r="304" spans="1:8" x14ac:dyDescent="0.25">
      <c r="A304" s="32">
        <v>33060114802</v>
      </c>
      <c r="B304" s="33" t="s">
        <v>1754</v>
      </c>
      <c r="C304" s="33" t="s">
        <v>1676</v>
      </c>
      <c r="D304" s="33" t="s">
        <v>1676</v>
      </c>
      <c r="E304" s="33" t="s">
        <v>1730</v>
      </c>
      <c r="F304" s="33" t="s">
        <v>1080</v>
      </c>
      <c r="G304" s="33" t="s">
        <v>1732</v>
      </c>
      <c r="H304" s="33" t="s">
        <v>2510</v>
      </c>
    </row>
    <row r="305" spans="1:8" x14ac:dyDescent="0.25">
      <c r="A305" s="32">
        <v>33060114803</v>
      </c>
      <c r="B305" s="33" t="s">
        <v>1754</v>
      </c>
      <c r="C305" s="33" t="s">
        <v>1676</v>
      </c>
      <c r="D305" s="33" t="s">
        <v>1676</v>
      </c>
      <c r="E305" s="33" t="s">
        <v>1730</v>
      </c>
      <c r="F305" s="33" t="s">
        <v>1068</v>
      </c>
      <c r="G305" s="33" t="s">
        <v>1732</v>
      </c>
      <c r="H305" s="33" t="s">
        <v>2509</v>
      </c>
    </row>
    <row r="306" spans="1:8" x14ac:dyDescent="0.25">
      <c r="A306" s="32">
        <v>33060114804</v>
      </c>
      <c r="B306" s="33" t="s">
        <v>1754</v>
      </c>
      <c r="C306" s="33" t="s">
        <v>1676</v>
      </c>
      <c r="D306" s="33" t="s">
        <v>1676</v>
      </c>
      <c r="E306" s="33" t="s">
        <v>1730</v>
      </c>
      <c r="F306" s="33" t="s">
        <v>1171</v>
      </c>
      <c r="G306" s="33" t="s">
        <v>1732</v>
      </c>
      <c r="H306" s="33" t="s">
        <v>2511</v>
      </c>
    </row>
    <row r="307" spans="1:8" x14ac:dyDescent="0.25">
      <c r="A307" s="32">
        <v>33060114805</v>
      </c>
      <c r="B307" s="33" t="s">
        <v>1754</v>
      </c>
      <c r="C307" s="33" t="s">
        <v>1676</v>
      </c>
      <c r="D307" s="33" t="s">
        <v>1676</v>
      </c>
      <c r="E307" s="33" t="s">
        <v>1730</v>
      </c>
      <c r="F307" s="33" t="s">
        <v>1069</v>
      </c>
      <c r="G307" s="33" t="s">
        <v>1732</v>
      </c>
      <c r="H307" s="33" t="s">
        <v>2512</v>
      </c>
    </row>
    <row r="308" spans="1:8" x14ac:dyDescent="0.25">
      <c r="A308" s="32">
        <v>33060114806</v>
      </c>
      <c r="B308" s="33" t="s">
        <v>1754</v>
      </c>
      <c r="C308" s="33" t="s">
        <v>1676</v>
      </c>
      <c r="D308" s="33" t="s">
        <v>1676</v>
      </c>
      <c r="E308" s="33" t="s">
        <v>1730</v>
      </c>
      <c r="F308" s="33" t="s">
        <v>159</v>
      </c>
      <c r="G308" s="33" t="s">
        <v>1732</v>
      </c>
      <c r="H308" s="33" t="s">
        <v>2531</v>
      </c>
    </row>
    <row r="309" spans="1:8" x14ac:dyDescent="0.25">
      <c r="A309" s="32">
        <v>33060114808</v>
      </c>
      <c r="B309" s="33" t="s">
        <v>1754</v>
      </c>
      <c r="C309" s="33" t="s">
        <v>1676</v>
      </c>
      <c r="D309" s="33" t="s">
        <v>1676</v>
      </c>
      <c r="E309" s="33" t="s">
        <v>1730</v>
      </c>
      <c r="F309" s="33" t="s">
        <v>2048</v>
      </c>
      <c r="G309" s="33" t="s">
        <v>1732</v>
      </c>
      <c r="H309" s="33" t="s">
        <v>2048</v>
      </c>
    </row>
    <row r="310" spans="1:8" x14ac:dyDescent="0.25">
      <c r="A310" s="32">
        <v>33060114809</v>
      </c>
      <c r="B310" s="33" t="s">
        <v>1754</v>
      </c>
      <c r="C310" s="33" t="s">
        <v>1676</v>
      </c>
      <c r="D310" s="33" t="s">
        <v>1676</v>
      </c>
      <c r="E310" s="33" t="s">
        <v>1730</v>
      </c>
      <c r="F310" s="33" t="s">
        <v>160</v>
      </c>
      <c r="G310" s="33" t="s">
        <v>1732</v>
      </c>
      <c r="H310" s="33" t="s">
        <v>2531</v>
      </c>
    </row>
    <row r="311" spans="1:8" x14ac:dyDescent="0.25">
      <c r="A311" s="32">
        <v>33060114810</v>
      </c>
      <c r="B311" s="33" t="s">
        <v>1754</v>
      </c>
      <c r="C311" s="33" t="s">
        <v>1676</v>
      </c>
      <c r="D311" s="33" t="s">
        <v>1676</v>
      </c>
      <c r="E311" s="33" t="s">
        <v>1730</v>
      </c>
      <c r="F311" s="33" t="s">
        <v>161</v>
      </c>
      <c r="G311" s="33" t="s">
        <v>1732</v>
      </c>
      <c r="H311" s="33" t="s">
        <v>2531</v>
      </c>
    </row>
    <row r="312" spans="1:8" x14ac:dyDescent="0.25">
      <c r="A312" s="32">
        <v>33060114815</v>
      </c>
      <c r="B312" s="33" t="s">
        <v>1754</v>
      </c>
      <c r="C312" s="33" t="s">
        <v>1675</v>
      </c>
      <c r="D312" s="33" t="s">
        <v>1675</v>
      </c>
      <c r="E312" s="33" t="s">
        <v>1730</v>
      </c>
      <c r="F312" s="33" t="s">
        <v>1485</v>
      </c>
      <c r="G312" s="33" t="s">
        <v>1732</v>
      </c>
      <c r="H312" s="33" t="s">
        <v>2041</v>
      </c>
    </row>
    <row r="313" spans="1:8" x14ac:dyDescent="0.25">
      <c r="A313" s="32">
        <v>33060114821</v>
      </c>
      <c r="B313" s="33" t="s">
        <v>1754</v>
      </c>
      <c r="C313" s="33" t="s">
        <v>1673</v>
      </c>
      <c r="D313" s="33" t="s">
        <v>1673</v>
      </c>
      <c r="E313" s="33" t="s">
        <v>1730</v>
      </c>
      <c r="F313" s="33" t="s">
        <v>162</v>
      </c>
      <c r="G313" s="33" t="s">
        <v>2129</v>
      </c>
      <c r="H313" s="33" t="s">
        <v>2542</v>
      </c>
    </row>
    <row r="314" spans="1:8" x14ac:dyDescent="0.25">
      <c r="A314" s="32">
        <v>33060114822</v>
      </c>
      <c r="B314" s="33" t="s">
        <v>1754</v>
      </c>
      <c r="C314" s="33" t="s">
        <v>1676</v>
      </c>
      <c r="D314" s="33" t="s">
        <v>1676</v>
      </c>
      <c r="E314" s="33" t="s">
        <v>1730</v>
      </c>
      <c r="F314" s="33" t="s">
        <v>1488</v>
      </c>
      <c r="G314" s="33" t="s">
        <v>1732</v>
      </c>
      <c r="H314" s="33" t="s">
        <v>2044</v>
      </c>
    </row>
    <row r="315" spans="1:8" x14ac:dyDescent="0.25">
      <c r="A315" s="32">
        <v>33060114823</v>
      </c>
      <c r="B315" s="33" t="s">
        <v>1754</v>
      </c>
      <c r="C315" s="33" t="s">
        <v>1676</v>
      </c>
      <c r="D315" s="33" t="s">
        <v>1676</v>
      </c>
      <c r="E315" s="33" t="s">
        <v>1730</v>
      </c>
      <c r="F315" s="33" t="s">
        <v>1489</v>
      </c>
      <c r="G315" s="33" t="s">
        <v>1732</v>
      </c>
      <c r="H315" s="33" t="s">
        <v>2044</v>
      </c>
    </row>
    <row r="316" spans="1:8" x14ac:dyDescent="0.25">
      <c r="A316" s="32">
        <v>33060114824</v>
      </c>
      <c r="B316" s="33" t="s">
        <v>1754</v>
      </c>
      <c r="C316" s="33" t="s">
        <v>1676</v>
      </c>
      <c r="D316" s="33" t="s">
        <v>1676</v>
      </c>
      <c r="E316" s="33" t="s">
        <v>1730</v>
      </c>
      <c r="F316" s="33" t="s">
        <v>1184</v>
      </c>
      <c r="G316" s="33" t="s">
        <v>2129</v>
      </c>
      <c r="H316" s="33" t="s">
        <v>2563</v>
      </c>
    </row>
    <row r="317" spans="1:8" x14ac:dyDescent="0.25">
      <c r="A317" s="32">
        <v>33060114825</v>
      </c>
      <c r="B317" s="33" t="s">
        <v>1754</v>
      </c>
      <c r="C317" s="33" t="s">
        <v>1677</v>
      </c>
      <c r="D317" s="33" t="s">
        <v>1673</v>
      </c>
      <c r="E317" s="33" t="s">
        <v>1681</v>
      </c>
      <c r="F317" s="33" t="s">
        <v>1230</v>
      </c>
      <c r="G317" s="33" t="s">
        <v>2129</v>
      </c>
      <c r="H317" s="33" t="s">
        <v>2452</v>
      </c>
    </row>
    <row r="318" spans="1:8" x14ac:dyDescent="0.25">
      <c r="A318" s="32">
        <v>33060114877</v>
      </c>
      <c r="B318" s="33" t="s">
        <v>1754</v>
      </c>
      <c r="C318" s="33" t="s">
        <v>1673</v>
      </c>
      <c r="D318" s="33" t="s">
        <v>1673</v>
      </c>
      <c r="E318" s="33" t="s">
        <v>1730</v>
      </c>
      <c r="F318" s="33" t="s">
        <v>165</v>
      </c>
      <c r="G318" s="33" t="s">
        <v>1732</v>
      </c>
      <c r="H318" s="33" t="s">
        <v>2534</v>
      </c>
    </row>
    <row r="319" spans="1:8" x14ac:dyDescent="0.25">
      <c r="A319" s="32">
        <v>33060114878</v>
      </c>
      <c r="B319" s="33" t="s">
        <v>1754</v>
      </c>
      <c r="C319" s="33" t="s">
        <v>1673</v>
      </c>
      <c r="D319" s="33" t="s">
        <v>1673</v>
      </c>
      <c r="E319" s="33" t="s">
        <v>1730</v>
      </c>
      <c r="F319" s="33" t="s">
        <v>1513</v>
      </c>
      <c r="G319" s="33" t="s">
        <v>1732</v>
      </c>
      <c r="H319" s="33" t="s">
        <v>2536</v>
      </c>
    </row>
    <row r="320" spans="1:8" x14ac:dyDescent="0.25">
      <c r="A320" s="32">
        <v>33060114880</v>
      </c>
      <c r="B320" s="33" t="s">
        <v>1754</v>
      </c>
      <c r="C320" s="33" t="s">
        <v>1673</v>
      </c>
      <c r="D320" s="33" t="s">
        <v>1673</v>
      </c>
      <c r="E320" s="33" t="s">
        <v>1730</v>
      </c>
      <c r="F320" s="33" t="s">
        <v>166</v>
      </c>
      <c r="G320" s="33" t="s">
        <v>1732</v>
      </c>
      <c r="H320" s="33" t="s">
        <v>2541</v>
      </c>
    </row>
    <row r="321" spans="1:8" x14ac:dyDescent="0.25">
      <c r="A321" s="32">
        <v>33060114881</v>
      </c>
      <c r="B321" s="33" t="s">
        <v>1754</v>
      </c>
      <c r="C321" s="33" t="s">
        <v>1673</v>
      </c>
      <c r="D321" s="33" t="s">
        <v>1673</v>
      </c>
      <c r="E321" s="33" t="s">
        <v>1730</v>
      </c>
      <c r="F321" s="33" t="s">
        <v>167</v>
      </c>
      <c r="G321" s="33" t="s">
        <v>1732</v>
      </c>
      <c r="H321" s="33" t="s">
        <v>2533</v>
      </c>
    </row>
    <row r="322" spans="1:8" x14ac:dyDescent="0.25">
      <c r="A322" s="32">
        <v>33060114902</v>
      </c>
      <c r="B322" s="33" t="s">
        <v>1754</v>
      </c>
      <c r="C322" s="33" t="s">
        <v>1676</v>
      </c>
      <c r="D322" s="33" t="s">
        <v>1676</v>
      </c>
      <c r="E322" s="33" t="s">
        <v>1730</v>
      </c>
      <c r="F322" s="33" t="s">
        <v>168</v>
      </c>
      <c r="G322" s="33" t="s">
        <v>1732</v>
      </c>
      <c r="H322" s="33" t="s">
        <v>2532</v>
      </c>
    </row>
    <row r="323" spans="1:8" x14ac:dyDescent="0.25">
      <c r="A323" s="32">
        <v>33060114903</v>
      </c>
      <c r="B323" s="33" t="s">
        <v>1754</v>
      </c>
      <c r="C323" s="33" t="s">
        <v>1676</v>
      </c>
      <c r="D323" s="33" t="s">
        <v>1676</v>
      </c>
      <c r="E323" s="33" t="s">
        <v>1730</v>
      </c>
      <c r="F323" s="33" t="s">
        <v>1200</v>
      </c>
      <c r="G323" s="33" t="s">
        <v>1732</v>
      </c>
      <c r="H323" s="33" t="s">
        <v>2047</v>
      </c>
    </row>
    <row r="324" spans="1:8" x14ac:dyDescent="0.25">
      <c r="A324" s="32">
        <v>33060114904</v>
      </c>
      <c r="B324" s="33" t="s">
        <v>1754</v>
      </c>
      <c r="C324" s="33" t="s">
        <v>1676</v>
      </c>
      <c r="D324" s="33" t="s">
        <v>1676</v>
      </c>
      <c r="E324" s="33" t="s">
        <v>1730</v>
      </c>
      <c r="F324" s="33" t="s">
        <v>169</v>
      </c>
      <c r="G324" s="33" t="s">
        <v>1732</v>
      </c>
      <c r="H324" s="33" t="s">
        <v>2532</v>
      </c>
    </row>
    <row r="325" spans="1:8" x14ac:dyDescent="0.25">
      <c r="A325" s="32">
        <v>33060114914</v>
      </c>
      <c r="B325" s="33" t="s">
        <v>1754</v>
      </c>
      <c r="C325" s="33" t="s">
        <v>1683</v>
      </c>
      <c r="D325" s="33" t="s">
        <v>1683</v>
      </c>
      <c r="E325" s="33" t="s">
        <v>1730</v>
      </c>
      <c r="F325" s="33" t="s">
        <v>170</v>
      </c>
      <c r="G325" s="33" t="s">
        <v>1732</v>
      </c>
      <c r="H325" s="33" t="s">
        <v>2549</v>
      </c>
    </row>
    <row r="326" spans="1:8" x14ac:dyDescent="0.25">
      <c r="A326" s="32">
        <v>33060114915</v>
      </c>
      <c r="B326" s="33" t="s">
        <v>1754</v>
      </c>
      <c r="C326" s="33" t="s">
        <v>1676</v>
      </c>
      <c r="D326" s="33" t="s">
        <v>1676</v>
      </c>
      <c r="E326" s="33" t="s">
        <v>1730</v>
      </c>
      <c r="F326" s="33" t="s">
        <v>171</v>
      </c>
      <c r="G326" s="33" t="s">
        <v>2129</v>
      </c>
      <c r="H326" s="33" t="s">
        <v>2564</v>
      </c>
    </row>
    <row r="327" spans="1:8" x14ac:dyDescent="0.25">
      <c r="A327" s="32">
        <v>33060114941</v>
      </c>
      <c r="B327" s="33" t="s">
        <v>1754</v>
      </c>
      <c r="C327" s="33" t="s">
        <v>1671</v>
      </c>
      <c r="D327" s="33" t="s">
        <v>1797</v>
      </c>
      <c r="E327" s="33" t="s">
        <v>1730</v>
      </c>
      <c r="F327" s="33" t="s">
        <v>1482</v>
      </c>
      <c r="G327" s="33" t="s">
        <v>1732</v>
      </c>
      <c r="H327" s="33" t="s">
        <v>1482</v>
      </c>
    </row>
    <row r="328" spans="1:8" x14ac:dyDescent="0.25">
      <c r="A328" s="32">
        <v>33060114943</v>
      </c>
      <c r="B328" s="33" t="s">
        <v>1754</v>
      </c>
      <c r="C328" s="33" t="s">
        <v>1682</v>
      </c>
      <c r="D328" s="33" t="s">
        <v>1682</v>
      </c>
      <c r="E328" s="33" t="s">
        <v>1730</v>
      </c>
      <c r="F328" s="33" t="s">
        <v>172</v>
      </c>
      <c r="G328" s="33" t="s">
        <v>1732</v>
      </c>
      <c r="H328" s="33" t="s">
        <v>2506</v>
      </c>
    </row>
    <row r="329" spans="1:8" x14ac:dyDescent="0.25">
      <c r="A329" s="32">
        <v>33060114944</v>
      </c>
      <c r="B329" s="33" t="s">
        <v>1754</v>
      </c>
      <c r="C329" s="33" t="s">
        <v>1676</v>
      </c>
      <c r="D329" s="33" t="s">
        <v>1676</v>
      </c>
      <c r="E329" s="33" t="s">
        <v>1730</v>
      </c>
      <c r="F329" s="33" t="s">
        <v>173</v>
      </c>
      <c r="G329" s="33" t="s">
        <v>1732</v>
      </c>
      <c r="H329" s="33" t="s">
        <v>2527</v>
      </c>
    </row>
    <row r="330" spans="1:8" x14ac:dyDescent="0.25">
      <c r="A330" s="32">
        <v>33060114946</v>
      </c>
      <c r="B330" s="33" t="s">
        <v>1754</v>
      </c>
      <c r="C330" s="33" t="s">
        <v>1683</v>
      </c>
      <c r="D330" s="33" t="s">
        <v>1683</v>
      </c>
      <c r="E330" s="33" t="s">
        <v>1730</v>
      </c>
      <c r="F330" s="33" t="s">
        <v>174</v>
      </c>
      <c r="G330" s="33" t="s">
        <v>2129</v>
      </c>
      <c r="H330" s="33" t="s">
        <v>2547</v>
      </c>
    </row>
    <row r="331" spans="1:8" x14ac:dyDescent="0.25">
      <c r="A331" s="32">
        <v>33060114947</v>
      </c>
      <c r="B331" s="33" t="s">
        <v>1754</v>
      </c>
      <c r="C331" s="33" t="s">
        <v>1673</v>
      </c>
      <c r="D331" s="33" t="s">
        <v>1673</v>
      </c>
      <c r="E331" s="33" t="s">
        <v>1730</v>
      </c>
      <c r="F331" s="33" t="s">
        <v>175</v>
      </c>
      <c r="G331" s="33" t="s">
        <v>1732</v>
      </c>
      <c r="H331" s="33" t="s">
        <v>2537</v>
      </c>
    </row>
    <row r="332" spans="1:8" x14ac:dyDescent="0.25">
      <c r="A332" s="32">
        <v>33060114989</v>
      </c>
      <c r="B332" s="33" t="s">
        <v>1754</v>
      </c>
      <c r="C332" s="33" t="s">
        <v>1671</v>
      </c>
      <c r="D332" s="33" t="s">
        <v>1797</v>
      </c>
      <c r="E332" s="33" t="s">
        <v>1730</v>
      </c>
      <c r="F332" s="33" t="s">
        <v>1481</v>
      </c>
      <c r="G332" s="33" t="s">
        <v>1732</v>
      </c>
      <c r="H332" s="33" t="s">
        <v>1481</v>
      </c>
    </row>
    <row r="333" spans="1:8" x14ac:dyDescent="0.25">
      <c r="A333" s="32">
        <v>33060114991</v>
      </c>
      <c r="B333" s="33" t="s">
        <v>1754</v>
      </c>
      <c r="C333" s="33" t="s">
        <v>1676</v>
      </c>
      <c r="D333" s="33" t="s">
        <v>1676</v>
      </c>
      <c r="E333" s="33" t="s">
        <v>1730</v>
      </c>
      <c r="F333" s="33" t="s">
        <v>176</v>
      </c>
      <c r="G333" s="33" t="s">
        <v>1732</v>
      </c>
      <c r="H333" s="33" t="s">
        <v>2514</v>
      </c>
    </row>
    <row r="334" spans="1:8" x14ac:dyDescent="0.25">
      <c r="A334" s="32">
        <v>33060114992</v>
      </c>
      <c r="B334" s="33" t="s">
        <v>1754</v>
      </c>
      <c r="C334" s="33" t="s">
        <v>1676</v>
      </c>
      <c r="D334" s="33" t="s">
        <v>1676</v>
      </c>
      <c r="E334" s="33" t="s">
        <v>1730</v>
      </c>
      <c r="F334" s="33" t="s">
        <v>177</v>
      </c>
      <c r="G334" s="33" t="s">
        <v>1732</v>
      </c>
      <c r="H334" s="33" t="s">
        <v>2514</v>
      </c>
    </row>
    <row r="335" spans="1:8" x14ac:dyDescent="0.25">
      <c r="A335" s="32">
        <v>33060114993</v>
      </c>
      <c r="B335" s="33" t="s">
        <v>1754</v>
      </c>
      <c r="C335" s="33" t="s">
        <v>1676</v>
      </c>
      <c r="D335" s="33" t="s">
        <v>1676</v>
      </c>
      <c r="E335" s="33" t="s">
        <v>1730</v>
      </c>
      <c r="F335" s="33" t="s">
        <v>178</v>
      </c>
      <c r="G335" s="33" t="s">
        <v>1732</v>
      </c>
      <c r="H335" s="33" t="s">
        <v>2513</v>
      </c>
    </row>
    <row r="336" spans="1:8" x14ac:dyDescent="0.25">
      <c r="A336" s="32">
        <v>33060114994</v>
      </c>
      <c r="B336" s="33" t="s">
        <v>1754</v>
      </c>
      <c r="C336" s="33" t="s">
        <v>1676</v>
      </c>
      <c r="D336" s="33" t="s">
        <v>1676</v>
      </c>
      <c r="E336" s="33" t="s">
        <v>1730</v>
      </c>
      <c r="F336" s="33" t="s">
        <v>179</v>
      </c>
      <c r="G336" s="33" t="s">
        <v>2129</v>
      </c>
      <c r="H336" s="33" t="s">
        <v>2564</v>
      </c>
    </row>
    <row r="337" spans="1:8" x14ac:dyDescent="0.25">
      <c r="A337" s="32">
        <v>33060114995</v>
      </c>
      <c r="B337" s="33" t="s">
        <v>1754</v>
      </c>
      <c r="C337" s="33" t="s">
        <v>1676</v>
      </c>
      <c r="D337" s="33" t="s">
        <v>1676</v>
      </c>
      <c r="E337" s="33" t="s">
        <v>1730</v>
      </c>
      <c r="F337" s="33" t="s">
        <v>1487</v>
      </c>
      <c r="G337" s="33" t="s">
        <v>1732</v>
      </c>
      <c r="H337" s="33" t="s">
        <v>2043</v>
      </c>
    </row>
    <row r="338" spans="1:8" x14ac:dyDescent="0.25">
      <c r="A338" s="32">
        <v>33060124124</v>
      </c>
      <c r="B338" s="33" t="s">
        <v>1754</v>
      </c>
      <c r="C338" s="33" t="s">
        <v>1676</v>
      </c>
      <c r="D338" s="33" t="s">
        <v>1676</v>
      </c>
      <c r="E338" s="33" t="s">
        <v>1730</v>
      </c>
      <c r="F338" s="33" t="s">
        <v>2040</v>
      </c>
      <c r="G338" s="33" t="s">
        <v>1732</v>
      </c>
      <c r="H338" s="33" t="s">
        <v>2040</v>
      </c>
    </row>
    <row r="339" spans="1:8" x14ac:dyDescent="0.25">
      <c r="A339" s="32">
        <v>33060124131</v>
      </c>
      <c r="B339" s="33" t="s">
        <v>1754</v>
      </c>
      <c r="C339" s="33" t="s">
        <v>1682</v>
      </c>
      <c r="D339" s="33" t="s">
        <v>1682</v>
      </c>
      <c r="E339" s="33" t="s">
        <v>1730</v>
      </c>
      <c r="F339" s="33" t="s">
        <v>180</v>
      </c>
      <c r="G339" s="33" t="s">
        <v>1732</v>
      </c>
      <c r="H339" s="33" t="s">
        <v>2500</v>
      </c>
    </row>
    <row r="340" spans="1:8" x14ac:dyDescent="0.25">
      <c r="A340" s="32">
        <v>33060144131</v>
      </c>
      <c r="B340" s="33" t="s">
        <v>1754</v>
      </c>
      <c r="C340" s="33" t="s">
        <v>1682</v>
      </c>
      <c r="D340" s="33" t="s">
        <v>1682</v>
      </c>
      <c r="E340" s="33" t="s">
        <v>1730</v>
      </c>
      <c r="F340" s="33" t="s">
        <v>180</v>
      </c>
      <c r="G340" s="33" t="s">
        <v>1732</v>
      </c>
      <c r="H340" s="33" t="s">
        <v>2500</v>
      </c>
    </row>
    <row r="341" spans="1:8" x14ac:dyDescent="0.25">
      <c r="A341" s="32">
        <v>33060154031</v>
      </c>
      <c r="B341" s="33" t="s">
        <v>1754</v>
      </c>
      <c r="C341" s="33" t="s">
        <v>1673</v>
      </c>
      <c r="D341" s="33" t="s">
        <v>1673</v>
      </c>
      <c r="E341" s="33" t="s">
        <v>1730</v>
      </c>
      <c r="F341" s="33" t="s">
        <v>948</v>
      </c>
      <c r="G341" s="33" t="s">
        <v>1732</v>
      </c>
      <c r="H341" s="33" t="s">
        <v>2539</v>
      </c>
    </row>
    <row r="342" spans="1:8" x14ac:dyDescent="0.25">
      <c r="A342" s="32">
        <v>33060154033</v>
      </c>
      <c r="B342" s="33" t="s">
        <v>1754</v>
      </c>
      <c r="C342" s="33" t="s">
        <v>1673</v>
      </c>
      <c r="D342" s="33" t="s">
        <v>1673</v>
      </c>
      <c r="E342" s="33" t="s">
        <v>1730</v>
      </c>
      <c r="F342" s="33" t="s">
        <v>1153</v>
      </c>
      <c r="G342" s="33" t="s">
        <v>1732</v>
      </c>
      <c r="H342" s="33" t="s">
        <v>2538</v>
      </c>
    </row>
    <row r="343" spans="1:8" x14ac:dyDescent="0.25">
      <c r="A343" s="32">
        <v>33060160287</v>
      </c>
      <c r="B343" s="33" t="s">
        <v>1754</v>
      </c>
      <c r="C343" s="33" t="s">
        <v>1673</v>
      </c>
      <c r="D343" s="33" t="s">
        <v>1673</v>
      </c>
      <c r="E343" s="33" t="s">
        <v>1730</v>
      </c>
      <c r="F343" s="33" t="s">
        <v>183</v>
      </c>
      <c r="G343" s="33" t="s">
        <v>2129</v>
      </c>
      <c r="H343" s="33" t="s">
        <v>2544</v>
      </c>
    </row>
    <row r="344" spans="1:8" x14ac:dyDescent="0.25">
      <c r="A344" s="32">
        <v>33060160515</v>
      </c>
      <c r="B344" s="33" t="s">
        <v>1754</v>
      </c>
      <c r="C344" s="33" t="s">
        <v>1676</v>
      </c>
      <c r="D344" s="33" t="s">
        <v>1676</v>
      </c>
      <c r="E344" s="33" t="s">
        <v>1730</v>
      </c>
      <c r="F344" s="33" t="s">
        <v>184</v>
      </c>
      <c r="G344" s="33" t="s">
        <v>1732</v>
      </c>
      <c r="H344" s="33" t="s">
        <v>2515</v>
      </c>
    </row>
    <row r="345" spans="1:8" x14ac:dyDescent="0.25">
      <c r="A345" s="32">
        <v>33060160516</v>
      </c>
      <c r="B345" s="33" t="s">
        <v>1754</v>
      </c>
      <c r="C345" s="33" t="s">
        <v>1676</v>
      </c>
      <c r="D345" s="33" t="s">
        <v>1676</v>
      </c>
      <c r="E345" s="33" t="s">
        <v>1730</v>
      </c>
      <c r="F345" s="33" t="s">
        <v>185</v>
      </c>
      <c r="G345" s="33" t="s">
        <v>1732</v>
      </c>
      <c r="H345" s="33" t="s">
        <v>2562</v>
      </c>
    </row>
    <row r="346" spans="1:8" x14ac:dyDescent="0.25">
      <c r="A346" s="32">
        <v>33060160517</v>
      </c>
      <c r="B346" s="33" t="s">
        <v>1754</v>
      </c>
      <c r="C346" s="33" t="s">
        <v>1682</v>
      </c>
      <c r="D346" s="33" t="s">
        <v>1682</v>
      </c>
      <c r="E346" s="33" t="s">
        <v>1730</v>
      </c>
      <c r="F346" s="33" t="s">
        <v>186</v>
      </c>
      <c r="G346" s="33" t="s">
        <v>1732</v>
      </c>
      <c r="H346" s="33" t="s">
        <v>2507</v>
      </c>
    </row>
    <row r="347" spans="1:8" x14ac:dyDescent="0.25">
      <c r="A347" s="32">
        <v>33060160518</v>
      </c>
      <c r="B347" s="33" t="s">
        <v>1754</v>
      </c>
      <c r="C347" s="33" t="s">
        <v>1676</v>
      </c>
      <c r="D347" s="33" t="s">
        <v>1676</v>
      </c>
      <c r="E347" s="33" t="s">
        <v>1730</v>
      </c>
      <c r="F347" s="33" t="s">
        <v>187</v>
      </c>
      <c r="G347" s="33" t="s">
        <v>2129</v>
      </c>
      <c r="H347" s="33" t="s">
        <v>2565</v>
      </c>
    </row>
    <row r="348" spans="1:8" x14ac:dyDescent="0.25">
      <c r="A348" s="32">
        <v>33060160519</v>
      </c>
      <c r="B348" s="33" t="s">
        <v>1754</v>
      </c>
      <c r="C348" s="33" t="s">
        <v>1676</v>
      </c>
      <c r="D348" s="33" t="s">
        <v>1676</v>
      </c>
      <c r="E348" s="33" t="s">
        <v>1730</v>
      </c>
      <c r="F348" s="33" t="s">
        <v>188</v>
      </c>
      <c r="G348" s="33" t="s">
        <v>1732</v>
      </c>
      <c r="H348" s="33" t="s">
        <v>2519</v>
      </c>
    </row>
    <row r="349" spans="1:8" x14ac:dyDescent="0.25">
      <c r="A349" s="32">
        <v>33060160520</v>
      </c>
      <c r="B349" s="33" t="s">
        <v>1754</v>
      </c>
      <c r="C349" s="33" t="s">
        <v>1683</v>
      </c>
      <c r="D349" s="33" t="s">
        <v>1683</v>
      </c>
      <c r="E349" s="33" t="s">
        <v>1730</v>
      </c>
      <c r="F349" s="33" t="s">
        <v>189</v>
      </c>
      <c r="G349" s="33" t="s">
        <v>2129</v>
      </c>
      <c r="H349" s="33" t="s">
        <v>2545</v>
      </c>
    </row>
    <row r="350" spans="1:8" x14ac:dyDescent="0.25">
      <c r="A350" s="32">
        <v>33060160537</v>
      </c>
      <c r="B350" s="33" t="s">
        <v>1754</v>
      </c>
      <c r="C350" s="33" t="s">
        <v>1676</v>
      </c>
      <c r="D350" s="33" t="s">
        <v>1676</v>
      </c>
      <c r="E350" s="33" t="s">
        <v>1730</v>
      </c>
      <c r="F350" s="33" t="s">
        <v>190</v>
      </c>
      <c r="G350" s="33" t="s">
        <v>1732</v>
      </c>
      <c r="H350" s="33" t="s">
        <v>2521</v>
      </c>
    </row>
    <row r="351" spans="1:8" x14ac:dyDescent="0.25">
      <c r="A351" s="32">
        <v>33060160538</v>
      </c>
      <c r="B351" s="33" t="s">
        <v>1754</v>
      </c>
      <c r="C351" s="33" t="s">
        <v>1676</v>
      </c>
      <c r="D351" s="33" t="s">
        <v>1676</v>
      </c>
      <c r="E351" s="33" t="s">
        <v>1730</v>
      </c>
      <c r="F351" s="33" t="s">
        <v>191</v>
      </c>
      <c r="G351" s="33" t="s">
        <v>1732</v>
      </c>
      <c r="H351" s="33" t="s">
        <v>2521</v>
      </c>
    </row>
    <row r="352" spans="1:8" x14ac:dyDescent="0.25">
      <c r="A352" s="32">
        <v>33060160539</v>
      </c>
      <c r="B352" s="33" t="s">
        <v>1754</v>
      </c>
      <c r="C352" s="33" t="s">
        <v>1676</v>
      </c>
      <c r="D352" s="33" t="s">
        <v>1676</v>
      </c>
      <c r="E352" s="33" t="s">
        <v>1730</v>
      </c>
      <c r="F352" s="33" t="s">
        <v>192</v>
      </c>
      <c r="G352" s="33" t="s">
        <v>1732</v>
      </c>
      <c r="H352" s="33" t="s">
        <v>2521</v>
      </c>
    </row>
    <row r="353" spans="1:8" x14ac:dyDescent="0.25">
      <c r="A353" s="32">
        <v>33060160540</v>
      </c>
      <c r="B353" s="33" t="s">
        <v>1754</v>
      </c>
      <c r="C353" s="33" t="s">
        <v>1676</v>
      </c>
      <c r="D353" s="33" t="s">
        <v>1676</v>
      </c>
      <c r="E353" s="33" t="s">
        <v>1730</v>
      </c>
      <c r="F353" s="33" t="s">
        <v>193</v>
      </c>
      <c r="G353" s="33" t="s">
        <v>1732</v>
      </c>
      <c r="H353" s="33" t="s">
        <v>2521</v>
      </c>
    </row>
    <row r="354" spans="1:8" x14ac:dyDescent="0.25">
      <c r="A354" s="32">
        <v>33060160541</v>
      </c>
      <c r="B354" s="33" t="s">
        <v>1754</v>
      </c>
      <c r="C354" s="33" t="s">
        <v>1676</v>
      </c>
      <c r="D354" s="33" t="s">
        <v>1676</v>
      </c>
      <c r="E354" s="33" t="s">
        <v>1730</v>
      </c>
      <c r="F354" s="33" t="s">
        <v>194</v>
      </c>
      <c r="G354" s="33" t="s">
        <v>1732</v>
      </c>
      <c r="H354" s="33" t="s">
        <v>2521</v>
      </c>
    </row>
    <row r="355" spans="1:8" x14ac:dyDescent="0.25">
      <c r="A355" s="32">
        <v>33060161112</v>
      </c>
      <c r="B355" s="33" t="s">
        <v>1754</v>
      </c>
      <c r="C355" s="33" t="s">
        <v>1676</v>
      </c>
      <c r="D355" s="33" t="s">
        <v>1676</v>
      </c>
      <c r="E355" s="33" t="s">
        <v>1730</v>
      </c>
      <c r="F355" s="33" t="s">
        <v>195</v>
      </c>
      <c r="G355" s="33" t="s">
        <v>1732</v>
      </c>
      <c r="H355" s="33" t="s">
        <v>2526</v>
      </c>
    </row>
    <row r="356" spans="1:8" x14ac:dyDescent="0.25">
      <c r="A356" s="32">
        <v>33060161113</v>
      </c>
      <c r="B356" s="33" t="s">
        <v>1754</v>
      </c>
      <c r="C356" s="33" t="s">
        <v>1676</v>
      </c>
      <c r="D356" s="33" t="s">
        <v>1676</v>
      </c>
      <c r="E356" s="33" t="s">
        <v>1730</v>
      </c>
      <c r="F356" s="33" t="s">
        <v>1167</v>
      </c>
      <c r="G356" s="33" t="s">
        <v>1732</v>
      </c>
      <c r="H356" s="33" t="s">
        <v>2046</v>
      </c>
    </row>
    <row r="357" spans="1:8" x14ac:dyDescent="0.25">
      <c r="A357" s="32">
        <v>33060161114</v>
      </c>
      <c r="B357" s="33" t="s">
        <v>1754</v>
      </c>
      <c r="C357" s="33" t="s">
        <v>1676</v>
      </c>
      <c r="D357" s="33" t="s">
        <v>1676</v>
      </c>
      <c r="E357" s="33" t="s">
        <v>1730</v>
      </c>
      <c r="F357" s="33" t="s">
        <v>196</v>
      </c>
      <c r="G357" s="33" t="s">
        <v>1732</v>
      </c>
      <c r="H357" s="33" t="s">
        <v>2525</v>
      </c>
    </row>
    <row r="358" spans="1:8" x14ac:dyDescent="0.25">
      <c r="A358" s="32">
        <v>33060161826</v>
      </c>
      <c r="B358" s="33" t="s">
        <v>1754</v>
      </c>
      <c r="C358" s="33" t="s">
        <v>1682</v>
      </c>
      <c r="D358" s="33" t="s">
        <v>1682</v>
      </c>
      <c r="E358" s="33" t="s">
        <v>1730</v>
      </c>
      <c r="F358" s="33" t="s">
        <v>197</v>
      </c>
      <c r="G358" s="33" t="s">
        <v>1732</v>
      </c>
      <c r="H358" s="33" t="s">
        <v>2501</v>
      </c>
    </row>
    <row r="359" spans="1:8" x14ac:dyDescent="0.25">
      <c r="A359" s="32">
        <v>33060161827</v>
      </c>
      <c r="B359" s="33" t="s">
        <v>1754</v>
      </c>
      <c r="C359" s="33" t="s">
        <v>1674</v>
      </c>
      <c r="D359" s="33" t="s">
        <v>1674</v>
      </c>
      <c r="E359" s="33" t="s">
        <v>1730</v>
      </c>
      <c r="F359" s="33" t="s">
        <v>198</v>
      </c>
      <c r="G359" s="33" t="s">
        <v>1732</v>
      </c>
      <c r="H359" s="33" t="s">
        <v>2552</v>
      </c>
    </row>
    <row r="360" spans="1:8" x14ac:dyDescent="0.25">
      <c r="A360" s="32">
        <v>33060161828</v>
      </c>
      <c r="B360" s="33" t="s">
        <v>1754</v>
      </c>
      <c r="C360" s="33" t="s">
        <v>1676</v>
      </c>
      <c r="D360" s="33" t="s">
        <v>1676</v>
      </c>
      <c r="E360" s="33" t="s">
        <v>1730</v>
      </c>
      <c r="F360" s="33" t="s">
        <v>199</v>
      </c>
      <c r="G360" s="33" t="s">
        <v>1732</v>
      </c>
      <c r="H360" s="33" t="s">
        <v>2517</v>
      </c>
    </row>
    <row r="361" spans="1:8" x14ac:dyDescent="0.25">
      <c r="A361" s="32">
        <v>33060161829</v>
      </c>
      <c r="B361" s="33" t="s">
        <v>1754</v>
      </c>
      <c r="C361" s="33" t="s">
        <v>1676</v>
      </c>
      <c r="D361" s="33" t="s">
        <v>1676</v>
      </c>
      <c r="E361" s="33" t="s">
        <v>1730</v>
      </c>
      <c r="F361" s="33" t="s">
        <v>877</v>
      </c>
      <c r="G361" s="33" t="s">
        <v>1732</v>
      </c>
      <c r="H361" s="33" t="s">
        <v>2516</v>
      </c>
    </row>
    <row r="362" spans="1:8" x14ac:dyDescent="0.25">
      <c r="A362" s="32">
        <v>33060161830</v>
      </c>
      <c r="B362" s="33" t="s">
        <v>1754</v>
      </c>
      <c r="C362" s="33" t="s">
        <v>1676</v>
      </c>
      <c r="D362" s="33" t="s">
        <v>1676</v>
      </c>
      <c r="E362" s="33" t="s">
        <v>1730</v>
      </c>
      <c r="F362" s="33" t="s">
        <v>201</v>
      </c>
      <c r="G362" s="33" t="s">
        <v>1732</v>
      </c>
      <c r="H362" s="33" t="s">
        <v>2518</v>
      </c>
    </row>
    <row r="363" spans="1:8" x14ac:dyDescent="0.25">
      <c r="A363" s="32">
        <v>33060163220</v>
      </c>
      <c r="B363" s="33" t="s">
        <v>1754</v>
      </c>
      <c r="C363" s="33" t="s">
        <v>1676</v>
      </c>
      <c r="D363" s="33" t="s">
        <v>1676</v>
      </c>
      <c r="E363" s="33" t="s">
        <v>1730</v>
      </c>
      <c r="F363" s="33" t="s">
        <v>202</v>
      </c>
      <c r="G363" s="33" t="s">
        <v>1732</v>
      </c>
      <c r="H363" s="33" t="s">
        <v>2524</v>
      </c>
    </row>
    <row r="364" spans="1:8" x14ac:dyDescent="0.25">
      <c r="A364" s="32">
        <v>33060163221</v>
      </c>
      <c r="B364" s="33" t="s">
        <v>1754</v>
      </c>
      <c r="C364" s="33" t="s">
        <v>1676</v>
      </c>
      <c r="D364" s="33" t="s">
        <v>1676</v>
      </c>
      <c r="E364" s="33" t="s">
        <v>1730</v>
      </c>
      <c r="F364" s="33" t="s">
        <v>203</v>
      </c>
      <c r="G364" s="33" t="s">
        <v>1732</v>
      </c>
      <c r="H364" s="33" t="s">
        <v>2523</v>
      </c>
    </row>
    <row r="365" spans="1:8" x14ac:dyDescent="0.25">
      <c r="A365" s="32">
        <v>33060163222</v>
      </c>
      <c r="B365" s="33" t="s">
        <v>1754</v>
      </c>
      <c r="C365" s="33" t="s">
        <v>1676</v>
      </c>
      <c r="D365" s="33" t="s">
        <v>1676</v>
      </c>
      <c r="E365" s="33" t="s">
        <v>1730</v>
      </c>
      <c r="F365" s="33" t="s">
        <v>204</v>
      </c>
      <c r="G365" s="33" t="s">
        <v>1732</v>
      </c>
      <c r="H365" s="33" t="s">
        <v>2522</v>
      </c>
    </row>
    <row r="366" spans="1:8" x14ac:dyDescent="0.25">
      <c r="A366" s="32">
        <v>33060163226</v>
      </c>
      <c r="B366" s="33" t="s">
        <v>1754</v>
      </c>
      <c r="C366" s="33" t="s">
        <v>1673</v>
      </c>
      <c r="D366" s="33" t="s">
        <v>1673</v>
      </c>
      <c r="E366" s="33" t="s">
        <v>1730</v>
      </c>
      <c r="F366" s="33" t="s">
        <v>887</v>
      </c>
      <c r="G366" s="33" t="s">
        <v>1742</v>
      </c>
      <c r="H366" s="33" t="s">
        <v>2540</v>
      </c>
    </row>
    <row r="367" spans="1:8" x14ac:dyDescent="0.25">
      <c r="A367" s="32">
        <v>33060163227</v>
      </c>
      <c r="B367" s="33" t="s">
        <v>1754</v>
      </c>
      <c r="C367" s="33" t="s">
        <v>1673</v>
      </c>
      <c r="D367" s="33" t="s">
        <v>1673</v>
      </c>
      <c r="E367" s="33" t="s">
        <v>1730</v>
      </c>
      <c r="F367" s="33" t="s">
        <v>206</v>
      </c>
      <c r="G367" s="33" t="s">
        <v>1742</v>
      </c>
      <c r="H367" s="33" t="s">
        <v>2540</v>
      </c>
    </row>
    <row r="368" spans="1:8" x14ac:dyDescent="0.25">
      <c r="A368" s="32">
        <v>33060163743</v>
      </c>
      <c r="B368" s="33" t="s">
        <v>1739</v>
      </c>
      <c r="C368" s="33"/>
      <c r="D368" s="33"/>
      <c r="E368" s="33" t="s">
        <v>1730</v>
      </c>
      <c r="F368" s="33" t="s">
        <v>1636</v>
      </c>
      <c r="G368" s="33" t="s">
        <v>2871</v>
      </c>
      <c r="H368" s="33" t="s">
        <v>1636</v>
      </c>
    </row>
    <row r="369" spans="1:8" x14ac:dyDescent="0.25">
      <c r="A369" s="32">
        <v>33060163745</v>
      </c>
      <c r="B369" s="33" t="s">
        <v>1739</v>
      </c>
      <c r="C369" s="33"/>
      <c r="D369" s="33"/>
      <c r="E369" s="33" t="s">
        <v>1730</v>
      </c>
      <c r="F369" s="33" t="s">
        <v>1638</v>
      </c>
      <c r="G369" s="33" t="s">
        <v>2871</v>
      </c>
      <c r="H369" s="33" t="s">
        <v>1638</v>
      </c>
    </row>
    <row r="370" spans="1:8" x14ac:dyDescent="0.25">
      <c r="A370" s="32">
        <v>33060163876</v>
      </c>
      <c r="B370" s="33" t="s">
        <v>1754</v>
      </c>
      <c r="C370" s="33" t="s">
        <v>1673</v>
      </c>
      <c r="D370" s="33" t="s">
        <v>1673</v>
      </c>
      <c r="E370" s="33" t="s">
        <v>1730</v>
      </c>
      <c r="F370" s="33" t="s">
        <v>1509</v>
      </c>
      <c r="G370" s="33" t="s">
        <v>1732</v>
      </c>
      <c r="H370" s="33" t="s">
        <v>2536</v>
      </c>
    </row>
    <row r="371" spans="1:8" x14ac:dyDescent="0.25">
      <c r="A371" s="32">
        <v>33060163877</v>
      </c>
      <c r="B371" s="33" t="s">
        <v>1754</v>
      </c>
      <c r="C371" s="33" t="s">
        <v>1673</v>
      </c>
      <c r="D371" s="33" t="s">
        <v>1673</v>
      </c>
      <c r="E371" s="33" t="s">
        <v>1730</v>
      </c>
      <c r="F371" s="33" t="s">
        <v>207</v>
      </c>
      <c r="G371" s="33" t="s">
        <v>2129</v>
      </c>
      <c r="H371" s="33" t="s">
        <v>2535</v>
      </c>
    </row>
    <row r="372" spans="1:8" x14ac:dyDescent="0.25">
      <c r="A372" s="32">
        <v>33060163878</v>
      </c>
      <c r="B372" s="33" t="s">
        <v>1754</v>
      </c>
      <c r="C372" s="33" t="s">
        <v>1673</v>
      </c>
      <c r="D372" s="33" t="s">
        <v>1673</v>
      </c>
      <c r="E372" s="33" t="s">
        <v>1730</v>
      </c>
      <c r="F372" s="33" t="s">
        <v>1510</v>
      </c>
      <c r="G372" s="33" t="s">
        <v>1732</v>
      </c>
      <c r="H372" s="33" t="s">
        <v>2543</v>
      </c>
    </row>
    <row r="373" spans="1:8" x14ac:dyDescent="0.25">
      <c r="A373" s="32">
        <v>33060163879</v>
      </c>
      <c r="B373" s="33" t="s">
        <v>1754</v>
      </c>
      <c r="C373" s="33" t="s">
        <v>1673</v>
      </c>
      <c r="D373" s="33" t="s">
        <v>1673</v>
      </c>
      <c r="E373" s="33" t="s">
        <v>1730</v>
      </c>
      <c r="F373" s="33" t="s">
        <v>1170</v>
      </c>
      <c r="G373" s="33" t="s">
        <v>1732</v>
      </c>
      <c r="H373" s="33" t="s">
        <v>2539</v>
      </c>
    </row>
    <row r="374" spans="1:8" x14ac:dyDescent="0.25">
      <c r="A374" s="32">
        <v>33060163880</v>
      </c>
      <c r="B374" s="33" t="s">
        <v>1754</v>
      </c>
      <c r="C374" s="33" t="s">
        <v>1673</v>
      </c>
      <c r="D374" s="33" t="s">
        <v>1673</v>
      </c>
      <c r="E374" s="33" t="s">
        <v>1730</v>
      </c>
      <c r="F374" s="33" t="s">
        <v>208</v>
      </c>
      <c r="G374" s="33" t="s">
        <v>2129</v>
      </c>
      <c r="H374" s="33" t="s">
        <v>2541</v>
      </c>
    </row>
    <row r="375" spans="1:8" x14ac:dyDescent="0.25">
      <c r="A375" s="32">
        <v>33060164508</v>
      </c>
      <c r="B375" s="33" t="s">
        <v>1754</v>
      </c>
      <c r="C375" s="33" t="s">
        <v>1676</v>
      </c>
      <c r="D375" s="33" t="s">
        <v>1676</v>
      </c>
      <c r="E375" s="33" t="s">
        <v>1730</v>
      </c>
      <c r="F375" s="33" t="s">
        <v>934</v>
      </c>
      <c r="G375" s="33" t="s">
        <v>1742</v>
      </c>
      <c r="H375" s="33" t="s">
        <v>2520</v>
      </c>
    </row>
    <row r="376" spans="1:8" x14ac:dyDescent="0.25">
      <c r="A376" s="32">
        <v>33060165093</v>
      </c>
      <c r="B376" s="33" t="s">
        <v>1754</v>
      </c>
      <c r="C376" s="33" t="s">
        <v>1677</v>
      </c>
      <c r="D376" s="33" t="s">
        <v>1673</v>
      </c>
      <c r="E376" s="33" t="s">
        <v>1681</v>
      </c>
      <c r="F376" s="33" t="s">
        <v>1403</v>
      </c>
      <c r="G376" s="33" t="s">
        <v>1742</v>
      </c>
      <c r="H376" s="33" t="s">
        <v>2449</v>
      </c>
    </row>
    <row r="377" spans="1:8" x14ac:dyDescent="0.25">
      <c r="A377" s="32">
        <v>33060262439</v>
      </c>
      <c r="B377" s="33" t="s">
        <v>2758</v>
      </c>
      <c r="C377" s="33" t="s">
        <v>2760</v>
      </c>
      <c r="D377" s="33" t="s">
        <v>2760</v>
      </c>
      <c r="E377" s="33" t="s">
        <v>1730</v>
      </c>
      <c r="F377" s="33" t="s">
        <v>211</v>
      </c>
      <c r="G377" s="33" t="s">
        <v>1732</v>
      </c>
      <c r="H377" s="33" t="s">
        <v>211</v>
      </c>
    </row>
    <row r="378" spans="1:8" x14ac:dyDescent="0.25">
      <c r="A378" s="32">
        <v>33060262440</v>
      </c>
      <c r="B378" s="33" t="s">
        <v>2758</v>
      </c>
      <c r="C378" s="33" t="s">
        <v>2760</v>
      </c>
      <c r="D378" s="33" t="s">
        <v>2760</v>
      </c>
      <c r="E378" s="33" t="s">
        <v>1730</v>
      </c>
      <c r="F378" s="33" t="s">
        <v>212</v>
      </c>
      <c r="G378" s="33" t="s">
        <v>1732</v>
      </c>
      <c r="H378" s="33" t="s">
        <v>212</v>
      </c>
    </row>
    <row r="379" spans="1:8" x14ac:dyDescent="0.25">
      <c r="A379" s="32">
        <v>33060262441</v>
      </c>
      <c r="B379" s="33" t="s">
        <v>2758</v>
      </c>
      <c r="C379" s="33" t="s">
        <v>2760</v>
      </c>
      <c r="D379" s="33" t="s">
        <v>2760</v>
      </c>
      <c r="E379" s="33" t="s">
        <v>1730</v>
      </c>
      <c r="F379" s="33" t="s">
        <v>213</v>
      </c>
      <c r="G379" s="33" t="s">
        <v>1732</v>
      </c>
      <c r="H379" s="33" t="s">
        <v>213</v>
      </c>
    </row>
    <row r="380" spans="1:8" x14ac:dyDescent="0.25">
      <c r="A380" s="32">
        <v>33060262442</v>
      </c>
      <c r="B380" s="33" t="s">
        <v>2758</v>
      </c>
      <c r="C380" s="33" t="s">
        <v>2760</v>
      </c>
      <c r="D380" s="33" t="s">
        <v>2760</v>
      </c>
      <c r="E380" s="33" t="s">
        <v>1730</v>
      </c>
      <c r="F380" s="33" t="s">
        <v>214</v>
      </c>
      <c r="G380" s="33" t="s">
        <v>1732</v>
      </c>
      <c r="H380" s="33" t="s">
        <v>214</v>
      </c>
    </row>
    <row r="381" spans="1:8" x14ac:dyDescent="0.25">
      <c r="A381" s="32">
        <v>33060262443</v>
      </c>
      <c r="B381" s="33" t="s">
        <v>2758</v>
      </c>
      <c r="C381" s="33" t="s">
        <v>2760</v>
      </c>
      <c r="D381" s="33" t="s">
        <v>2760</v>
      </c>
      <c r="E381" s="33" t="s">
        <v>1730</v>
      </c>
      <c r="F381" s="33" t="s">
        <v>215</v>
      </c>
      <c r="G381" s="33" t="s">
        <v>1732</v>
      </c>
      <c r="H381" s="33" t="s">
        <v>215</v>
      </c>
    </row>
    <row r="382" spans="1:8" x14ac:dyDescent="0.25">
      <c r="A382" s="32">
        <v>33060262444</v>
      </c>
      <c r="B382" s="33" t="s">
        <v>2758</v>
      </c>
      <c r="C382" s="33" t="s">
        <v>2760</v>
      </c>
      <c r="D382" s="33" t="s">
        <v>2760</v>
      </c>
      <c r="E382" s="33" t="s">
        <v>1730</v>
      </c>
      <c r="F382" s="33" t="s">
        <v>216</v>
      </c>
      <c r="G382" s="33" t="s">
        <v>1732</v>
      </c>
      <c r="H382" s="33" t="s">
        <v>216</v>
      </c>
    </row>
    <row r="383" spans="1:8" x14ac:dyDescent="0.25">
      <c r="A383" s="32">
        <v>33060262445</v>
      </c>
      <c r="B383" s="33" t="s">
        <v>2758</v>
      </c>
      <c r="C383" s="33" t="s">
        <v>2760</v>
      </c>
      <c r="D383" s="33" t="s">
        <v>2760</v>
      </c>
      <c r="E383" s="33" t="s">
        <v>1730</v>
      </c>
      <c r="F383" s="33" t="s">
        <v>217</v>
      </c>
      <c r="G383" s="33" t="s">
        <v>1732</v>
      </c>
      <c r="H383" s="33" t="s">
        <v>217</v>
      </c>
    </row>
    <row r="384" spans="1:8" x14ac:dyDescent="0.25">
      <c r="A384" s="32">
        <v>33060262446</v>
      </c>
      <c r="B384" s="33" t="s">
        <v>2758</v>
      </c>
      <c r="C384" s="33" t="s">
        <v>2760</v>
      </c>
      <c r="D384" s="33" t="s">
        <v>2760</v>
      </c>
      <c r="E384" s="33" t="s">
        <v>1730</v>
      </c>
      <c r="F384" s="33" t="s">
        <v>218</v>
      </c>
      <c r="G384" s="33" t="s">
        <v>1732</v>
      </c>
      <c r="H384" s="33" t="s">
        <v>218</v>
      </c>
    </row>
    <row r="385" spans="1:8" x14ac:dyDescent="0.25">
      <c r="A385" s="32">
        <v>33060262447</v>
      </c>
      <c r="B385" s="33" t="s">
        <v>2758</v>
      </c>
      <c r="C385" s="33" t="s">
        <v>2759</v>
      </c>
      <c r="D385" s="33" t="s">
        <v>2760</v>
      </c>
      <c r="E385" s="33" t="s">
        <v>1681</v>
      </c>
      <c r="F385" s="33" t="s">
        <v>219</v>
      </c>
      <c r="G385" s="33" t="s">
        <v>1732</v>
      </c>
      <c r="H385" s="33" t="s">
        <v>219</v>
      </c>
    </row>
    <row r="386" spans="1:8" x14ac:dyDescent="0.25">
      <c r="A386" s="32">
        <v>33060262448</v>
      </c>
      <c r="B386" s="33" t="s">
        <v>2758</v>
      </c>
      <c r="C386" s="33" t="s">
        <v>2759</v>
      </c>
      <c r="D386" s="33" t="s">
        <v>2760</v>
      </c>
      <c r="E386" s="33" t="s">
        <v>1681</v>
      </c>
      <c r="F386" s="33" t="s">
        <v>220</v>
      </c>
      <c r="G386" s="33" t="s">
        <v>1732</v>
      </c>
      <c r="H386" s="33" t="s">
        <v>220</v>
      </c>
    </row>
    <row r="387" spans="1:8" x14ac:dyDescent="0.25">
      <c r="A387" s="32">
        <v>33060262449</v>
      </c>
      <c r="B387" s="33" t="s">
        <v>2758</v>
      </c>
      <c r="C387" s="33" t="s">
        <v>2759</v>
      </c>
      <c r="D387" s="33" t="s">
        <v>2760</v>
      </c>
      <c r="E387" s="33" t="s">
        <v>1681</v>
      </c>
      <c r="F387" s="33" t="s">
        <v>221</v>
      </c>
      <c r="G387" s="33" t="s">
        <v>1732</v>
      </c>
      <c r="H387" s="33" t="s">
        <v>221</v>
      </c>
    </row>
    <row r="388" spans="1:8" x14ac:dyDescent="0.25">
      <c r="A388" s="32">
        <v>33060262450</v>
      </c>
      <c r="B388" s="33" t="s">
        <v>2758</v>
      </c>
      <c r="C388" s="33" t="s">
        <v>2759</v>
      </c>
      <c r="D388" s="33" t="s">
        <v>2760</v>
      </c>
      <c r="E388" s="33" t="s">
        <v>1681</v>
      </c>
      <c r="F388" s="33" t="s">
        <v>222</v>
      </c>
      <c r="G388" s="33" t="s">
        <v>1732</v>
      </c>
      <c r="H388" s="33" t="s">
        <v>222</v>
      </c>
    </row>
    <row r="389" spans="1:8" x14ac:dyDescent="0.25">
      <c r="A389" s="32">
        <v>33060414355</v>
      </c>
      <c r="B389" s="33" t="s">
        <v>1754</v>
      </c>
      <c r="C389" s="33" t="s">
        <v>1701</v>
      </c>
      <c r="D389" s="33" t="s">
        <v>1683</v>
      </c>
      <c r="E389" s="33" t="s">
        <v>1755</v>
      </c>
      <c r="F389" s="33" t="s">
        <v>223</v>
      </c>
      <c r="G389" s="33" t="s">
        <v>1756</v>
      </c>
      <c r="H389" s="33" t="s">
        <v>223</v>
      </c>
    </row>
    <row r="390" spans="1:8" x14ac:dyDescent="0.25">
      <c r="A390" s="32">
        <v>33060414610</v>
      </c>
      <c r="B390" s="33" t="s">
        <v>1754</v>
      </c>
      <c r="C390" s="33" t="s">
        <v>1701</v>
      </c>
      <c r="D390" s="33" t="s">
        <v>1673</v>
      </c>
      <c r="E390" s="33" t="s">
        <v>1755</v>
      </c>
      <c r="F390" s="33" t="s">
        <v>224</v>
      </c>
      <c r="G390" s="33" t="s">
        <v>1756</v>
      </c>
      <c r="H390" s="33" t="s">
        <v>224</v>
      </c>
    </row>
    <row r="391" spans="1:8" x14ac:dyDescent="0.25">
      <c r="A391" s="32">
        <v>33060414611</v>
      </c>
      <c r="B391" s="33" t="s">
        <v>1754</v>
      </c>
      <c r="C391" s="33" t="s">
        <v>1701</v>
      </c>
      <c r="D391" s="33" t="s">
        <v>1673</v>
      </c>
      <c r="E391" s="33" t="s">
        <v>1755</v>
      </c>
      <c r="F391" s="33" t="s">
        <v>922</v>
      </c>
      <c r="G391" s="33" t="s">
        <v>1756</v>
      </c>
      <c r="H391" s="33" t="s">
        <v>922</v>
      </c>
    </row>
    <row r="392" spans="1:8" x14ac:dyDescent="0.25">
      <c r="A392" s="32">
        <v>33060414616</v>
      </c>
      <c r="B392" s="33" t="s">
        <v>1754</v>
      </c>
      <c r="C392" s="33" t="s">
        <v>1701</v>
      </c>
      <c r="D392" s="33" t="s">
        <v>1673</v>
      </c>
      <c r="E392" s="33" t="s">
        <v>1755</v>
      </c>
      <c r="F392" s="33" t="s">
        <v>225</v>
      </c>
      <c r="G392" s="33" t="s">
        <v>1756</v>
      </c>
      <c r="H392" s="33" t="s">
        <v>225</v>
      </c>
    </row>
    <row r="393" spans="1:8" x14ac:dyDescent="0.25">
      <c r="A393" s="32">
        <v>33060414617</v>
      </c>
      <c r="B393" s="33" t="s">
        <v>1754</v>
      </c>
      <c r="C393" s="33" t="s">
        <v>1701</v>
      </c>
      <c r="D393" s="33" t="s">
        <v>1673</v>
      </c>
      <c r="E393" s="33" t="s">
        <v>1755</v>
      </c>
      <c r="F393" s="33" t="s">
        <v>226</v>
      </c>
      <c r="G393" s="33" t="s">
        <v>1756</v>
      </c>
      <c r="H393" s="33" t="s">
        <v>226</v>
      </c>
    </row>
    <row r="394" spans="1:8" x14ac:dyDescent="0.25">
      <c r="A394" s="32">
        <v>33060414640</v>
      </c>
      <c r="B394" s="33" t="s">
        <v>1754</v>
      </c>
      <c r="C394" s="33" t="s">
        <v>1701</v>
      </c>
      <c r="D394" s="33" t="s">
        <v>1673</v>
      </c>
      <c r="E394" s="33" t="s">
        <v>1755</v>
      </c>
      <c r="F394" s="33" t="s">
        <v>227</v>
      </c>
      <c r="G394" s="33" t="s">
        <v>1756</v>
      </c>
      <c r="H394" s="33" t="s">
        <v>227</v>
      </c>
    </row>
    <row r="395" spans="1:8" x14ac:dyDescent="0.25">
      <c r="A395" s="32">
        <v>33060414641</v>
      </c>
      <c r="B395" s="33" t="s">
        <v>1754</v>
      </c>
      <c r="C395" s="33" t="s">
        <v>1701</v>
      </c>
      <c r="D395" s="33" t="s">
        <v>1673</v>
      </c>
      <c r="E395" s="33" t="s">
        <v>1755</v>
      </c>
      <c r="F395" s="33" t="s">
        <v>228</v>
      </c>
      <c r="G395" s="33" t="s">
        <v>1756</v>
      </c>
      <c r="H395" s="33" t="s">
        <v>228</v>
      </c>
    </row>
    <row r="396" spans="1:8" x14ac:dyDescent="0.25">
      <c r="A396" s="32">
        <v>33060414663</v>
      </c>
      <c r="B396" s="33" t="s">
        <v>1754</v>
      </c>
      <c r="C396" s="33" t="s">
        <v>1701</v>
      </c>
      <c r="D396" s="33" t="s">
        <v>1682</v>
      </c>
      <c r="E396" s="33" t="s">
        <v>1755</v>
      </c>
      <c r="F396" s="33" t="s">
        <v>229</v>
      </c>
      <c r="G396" s="33" t="s">
        <v>1756</v>
      </c>
      <c r="H396" s="33" t="s">
        <v>229</v>
      </c>
    </row>
    <row r="397" spans="1:8" x14ac:dyDescent="0.25">
      <c r="A397" s="31">
        <v>33060414664</v>
      </c>
      <c r="B397" s="1" t="s">
        <v>1754</v>
      </c>
      <c r="C397" s="1" t="s">
        <v>1701</v>
      </c>
      <c r="D397" s="1" t="s">
        <v>1682</v>
      </c>
      <c r="E397" s="1" t="s">
        <v>1755</v>
      </c>
      <c r="F397" s="1" t="s">
        <v>1391</v>
      </c>
      <c r="G397" s="1" t="s">
        <v>1756</v>
      </c>
      <c r="H397" s="1" t="s">
        <v>1391</v>
      </c>
    </row>
    <row r="398" spans="1:8" x14ac:dyDescent="0.25">
      <c r="A398" s="32">
        <v>33060414665</v>
      </c>
      <c r="B398" s="33" t="s">
        <v>1754</v>
      </c>
      <c r="C398" s="33" t="s">
        <v>1701</v>
      </c>
      <c r="D398" s="33" t="s">
        <v>1682</v>
      </c>
      <c r="E398" s="33" t="s">
        <v>1755</v>
      </c>
      <c r="F398" s="33" t="s">
        <v>231</v>
      </c>
      <c r="G398" s="33" t="s">
        <v>1756</v>
      </c>
      <c r="H398" s="33" t="s">
        <v>231</v>
      </c>
    </row>
    <row r="399" spans="1:8" x14ac:dyDescent="0.25">
      <c r="A399" s="32">
        <v>33060414668</v>
      </c>
      <c r="B399" s="33" t="s">
        <v>1754</v>
      </c>
      <c r="C399" s="33" t="s">
        <v>1701</v>
      </c>
      <c r="D399" s="33" t="s">
        <v>1682</v>
      </c>
      <c r="E399" s="33" t="s">
        <v>1755</v>
      </c>
      <c r="F399" s="33" t="s">
        <v>232</v>
      </c>
      <c r="G399" s="33" t="s">
        <v>1756</v>
      </c>
      <c r="H399" s="33" t="s">
        <v>232</v>
      </c>
    </row>
    <row r="400" spans="1:8" x14ac:dyDescent="0.25">
      <c r="A400" s="32">
        <v>33060414671</v>
      </c>
      <c r="B400" s="33" t="s">
        <v>1754</v>
      </c>
      <c r="C400" s="33" t="s">
        <v>1701</v>
      </c>
      <c r="D400" s="33" t="s">
        <v>1673</v>
      </c>
      <c r="E400" s="33" t="s">
        <v>1755</v>
      </c>
      <c r="F400" s="33" t="s">
        <v>233</v>
      </c>
      <c r="G400" s="33" t="s">
        <v>1756</v>
      </c>
      <c r="H400" s="33" t="s">
        <v>233</v>
      </c>
    </row>
    <row r="401" spans="1:8" x14ac:dyDescent="0.25">
      <c r="A401" s="32">
        <v>33060414679</v>
      </c>
      <c r="B401" s="33" t="s">
        <v>1754</v>
      </c>
      <c r="C401" s="33" t="s">
        <v>1701</v>
      </c>
      <c r="D401" s="33" t="s">
        <v>1673</v>
      </c>
      <c r="E401" s="33" t="s">
        <v>1755</v>
      </c>
      <c r="F401" s="33" t="s">
        <v>1516</v>
      </c>
      <c r="G401" s="33" t="s">
        <v>1732</v>
      </c>
      <c r="H401" s="33" t="s">
        <v>1516</v>
      </c>
    </row>
    <row r="402" spans="1:8" x14ac:dyDescent="0.25">
      <c r="A402" s="32">
        <v>33060414693</v>
      </c>
      <c r="B402" s="33" t="s">
        <v>1754</v>
      </c>
      <c r="C402" s="33" t="s">
        <v>1701</v>
      </c>
      <c r="D402" s="33" t="s">
        <v>1673</v>
      </c>
      <c r="E402" s="33" t="s">
        <v>1755</v>
      </c>
      <c r="F402" s="33" t="s">
        <v>234</v>
      </c>
      <c r="G402" s="33" t="s">
        <v>1756</v>
      </c>
      <c r="H402" s="33" t="s">
        <v>234</v>
      </c>
    </row>
    <row r="403" spans="1:8" x14ac:dyDescent="0.25">
      <c r="A403" s="32">
        <v>33060414694</v>
      </c>
      <c r="B403" s="33" t="s">
        <v>1754</v>
      </c>
      <c r="C403" s="33" t="s">
        <v>1701</v>
      </c>
      <c r="D403" s="33" t="s">
        <v>1673</v>
      </c>
      <c r="E403" s="33" t="s">
        <v>1755</v>
      </c>
      <c r="F403" s="33" t="s">
        <v>1124</v>
      </c>
      <c r="G403" s="33" t="s">
        <v>1756</v>
      </c>
      <c r="H403" s="33" t="s">
        <v>1124</v>
      </c>
    </row>
    <row r="404" spans="1:8" x14ac:dyDescent="0.25">
      <c r="A404" s="32">
        <v>33060414695</v>
      </c>
      <c r="B404" s="33" t="s">
        <v>1754</v>
      </c>
      <c r="C404" s="33" t="s">
        <v>1701</v>
      </c>
      <c r="D404" s="33" t="s">
        <v>1673</v>
      </c>
      <c r="E404" s="33" t="s">
        <v>1755</v>
      </c>
      <c r="F404" s="33" t="s">
        <v>964</v>
      </c>
      <c r="G404" s="33" t="s">
        <v>1756</v>
      </c>
      <c r="H404" s="33" t="s">
        <v>964</v>
      </c>
    </row>
    <row r="405" spans="1:8" x14ac:dyDescent="0.25">
      <c r="A405" s="32">
        <v>33060414764</v>
      </c>
      <c r="B405" s="33" t="s">
        <v>1754</v>
      </c>
      <c r="C405" s="33" t="s">
        <v>1701</v>
      </c>
      <c r="D405" s="33" t="s">
        <v>1673</v>
      </c>
      <c r="E405" s="33" t="s">
        <v>1755</v>
      </c>
      <c r="F405" s="33" t="s">
        <v>975</v>
      </c>
      <c r="G405" s="33" t="s">
        <v>1756</v>
      </c>
      <c r="H405" s="33" t="s">
        <v>975</v>
      </c>
    </row>
    <row r="406" spans="1:8" x14ac:dyDescent="0.25">
      <c r="A406" s="32">
        <v>33060414766</v>
      </c>
      <c r="B406" s="33" t="s">
        <v>1754</v>
      </c>
      <c r="C406" s="33" t="s">
        <v>1701</v>
      </c>
      <c r="D406" s="33" t="s">
        <v>1673</v>
      </c>
      <c r="E406" s="33" t="s">
        <v>1755</v>
      </c>
      <c r="F406" s="33" t="s">
        <v>236</v>
      </c>
      <c r="G406" s="33" t="s">
        <v>1756</v>
      </c>
      <c r="H406" s="33" t="s">
        <v>236</v>
      </c>
    </row>
    <row r="407" spans="1:8" x14ac:dyDescent="0.25">
      <c r="A407" s="32">
        <v>33060414795</v>
      </c>
      <c r="B407" s="33" t="s">
        <v>1754</v>
      </c>
      <c r="C407" s="33" t="s">
        <v>1701</v>
      </c>
      <c r="D407" s="33" t="s">
        <v>1683</v>
      </c>
      <c r="E407" s="33" t="s">
        <v>1755</v>
      </c>
      <c r="F407" s="33" t="s">
        <v>917</v>
      </c>
      <c r="G407" s="33" t="s">
        <v>1756</v>
      </c>
      <c r="H407" s="33" t="s">
        <v>917</v>
      </c>
    </row>
    <row r="408" spans="1:8" x14ac:dyDescent="0.25">
      <c r="A408" s="32">
        <v>33060414797</v>
      </c>
      <c r="B408" s="33" t="s">
        <v>1754</v>
      </c>
      <c r="C408" s="33" t="s">
        <v>1701</v>
      </c>
      <c r="D408" s="33" t="s">
        <v>1673</v>
      </c>
      <c r="E408" s="33" t="s">
        <v>1755</v>
      </c>
      <c r="F408" s="33" t="s">
        <v>238</v>
      </c>
      <c r="G408" s="33" t="s">
        <v>1756</v>
      </c>
      <c r="H408" s="33" t="s">
        <v>238</v>
      </c>
    </row>
    <row r="409" spans="1:8" x14ac:dyDescent="0.25">
      <c r="A409" s="32">
        <v>33060414798</v>
      </c>
      <c r="B409" s="33" t="s">
        <v>1754</v>
      </c>
      <c r="C409" s="33" t="s">
        <v>1701</v>
      </c>
      <c r="D409" s="33" t="s">
        <v>1673</v>
      </c>
      <c r="E409" s="33" t="s">
        <v>1755</v>
      </c>
      <c r="F409" s="33" t="s">
        <v>1393</v>
      </c>
      <c r="G409" s="33" t="s">
        <v>1756</v>
      </c>
      <c r="H409" s="33" t="s">
        <v>1393</v>
      </c>
    </row>
    <row r="410" spans="1:8" x14ac:dyDescent="0.25">
      <c r="A410" s="32">
        <v>33060414799</v>
      </c>
      <c r="B410" s="33" t="s">
        <v>1754</v>
      </c>
      <c r="C410" s="33" t="s">
        <v>1701</v>
      </c>
      <c r="D410" s="33" t="s">
        <v>1673</v>
      </c>
      <c r="E410" s="33" t="s">
        <v>1755</v>
      </c>
      <c r="F410" s="33" t="s">
        <v>239</v>
      </c>
      <c r="G410" s="33" t="s">
        <v>1756</v>
      </c>
      <c r="H410" s="33" t="s">
        <v>239</v>
      </c>
    </row>
    <row r="411" spans="1:8" x14ac:dyDescent="0.25">
      <c r="A411" s="32">
        <v>33060414800</v>
      </c>
      <c r="B411" s="33" t="s">
        <v>1754</v>
      </c>
      <c r="C411" s="33" t="s">
        <v>1701</v>
      </c>
      <c r="D411" s="33" t="s">
        <v>1673</v>
      </c>
      <c r="E411" s="33" t="s">
        <v>1755</v>
      </c>
      <c r="F411" s="33" t="s">
        <v>2413</v>
      </c>
      <c r="G411" s="33" t="s">
        <v>1732</v>
      </c>
      <c r="H411" s="33" t="s">
        <v>2413</v>
      </c>
    </row>
    <row r="412" spans="1:8" x14ac:dyDescent="0.25">
      <c r="A412" s="32">
        <v>33060414801</v>
      </c>
      <c r="B412" s="33" t="s">
        <v>1754</v>
      </c>
      <c r="C412" s="33" t="s">
        <v>1701</v>
      </c>
      <c r="D412" s="33" t="s">
        <v>1673</v>
      </c>
      <c r="E412" s="33" t="s">
        <v>1755</v>
      </c>
      <c r="F412" s="33" t="s">
        <v>1394</v>
      </c>
      <c r="G412" s="33" t="s">
        <v>1756</v>
      </c>
      <c r="H412" s="33" t="s">
        <v>1394</v>
      </c>
    </row>
    <row r="413" spans="1:8" x14ac:dyDescent="0.25">
      <c r="A413" s="32">
        <v>33060414816</v>
      </c>
      <c r="B413" s="33" t="s">
        <v>1754</v>
      </c>
      <c r="C413" s="33" t="s">
        <v>1701</v>
      </c>
      <c r="D413" s="33" t="s">
        <v>1673</v>
      </c>
      <c r="E413" s="33" t="s">
        <v>1755</v>
      </c>
      <c r="F413" s="33" t="s">
        <v>2411</v>
      </c>
      <c r="G413" s="33" t="s">
        <v>1732</v>
      </c>
      <c r="H413" s="33" t="s">
        <v>2411</v>
      </c>
    </row>
    <row r="414" spans="1:8" x14ac:dyDescent="0.25">
      <c r="A414" s="32">
        <v>33060414817</v>
      </c>
      <c r="B414" s="33" t="s">
        <v>1754</v>
      </c>
      <c r="C414" s="33" t="s">
        <v>1701</v>
      </c>
      <c r="D414" s="33" t="s">
        <v>1673</v>
      </c>
      <c r="E414" s="33" t="s">
        <v>1755</v>
      </c>
      <c r="F414" s="33" t="s">
        <v>2413</v>
      </c>
      <c r="G414" s="33" t="s">
        <v>1732</v>
      </c>
      <c r="H414" s="33" t="s">
        <v>2413</v>
      </c>
    </row>
    <row r="415" spans="1:8" x14ac:dyDescent="0.25">
      <c r="A415" s="32">
        <v>33060414818</v>
      </c>
      <c r="B415" s="33" t="s">
        <v>1754</v>
      </c>
      <c r="C415" s="33" t="s">
        <v>1701</v>
      </c>
      <c r="D415" s="33" t="s">
        <v>1673</v>
      </c>
      <c r="E415" s="33" t="s">
        <v>1755</v>
      </c>
      <c r="F415" s="33" t="s">
        <v>999</v>
      </c>
      <c r="G415" s="33" t="s">
        <v>1756</v>
      </c>
      <c r="H415" s="33" t="s">
        <v>999</v>
      </c>
    </row>
    <row r="416" spans="1:8" x14ac:dyDescent="0.25">
      <c r="A416" s="32">
        <v>33060414819</v>
      </c>
      <c r="B416" s="33" t="s">
        <v>1754</v>
      </c>
      <c r="C416" s="33" t="s">
        <v>1701</v>
      </c>
      <c r="D416" s="33" t="s">
        <v>1673</v>
      </c>
      <c r="E416" s="33" t="s">
        <v>1755</v>
      </c>
      <c r="F416" s="33" t="s">
        <v>239</v>
      </c>
      <c r="G416" s="33" t="s">
        <v>1756</v>
      </c>
      <c r="H416" s="33" t="s">
        <v>239</v>
      </c>
    </row>
    <row r="417" spans="1:8" x14ac:dyDescent="0.25">
      <c r="A417" s="32">
        <v>33060414820</v>
      </c>
      <c r="B417" s="33" t="s">
        <v>1754</v>
      </c>
      <c r="C417" s="33" t="s">
        <v>1701</v>
      </c>
      <c r="D417" s="33" t="s">
        <v>1673</v>
      </c>
      <c r="E417" s="33" t="s">
        <v>1755</v>
      </c>
      <c r="F417" s="33" t="s">
        <v>2414</v>
      </c>
      <c r="G417" s="33" t="s">
        <v>1732</v>
      </c>
      <c r="H417" s="33" t="s">
        <v>2414</v>
      </c>
    </row>
    <row r="418" spans="1:8" x14ac:dyDescent="0.25">
      <c r="A418" s="32">
        <v>33060414882</v>
      </c>
      <c r="B418" s="33" t="s">
        <v>1754</v>
      </c>
      <c r="C418" s="33" t="s">
        <v>1701</v>
      </c>
      <c r="D418" s="33" t="s">
        <v>1673</v>
      </c>
      <c r="E418" s="33" t="s">
        <v>1755</v>
      </c>
      <c r="F418" s="33" t="s">
        <v>1520</v>
      </c>
      <c r="G418" s="33" t="s">
        <v>1756</v>
      </c>
      <c r="H418" s="33" t="s">
        <v>1520</v>
      </c>
    </row>
    <row r="419" spans="1:8" x14ac:dyDescent="0.25">
      <c r="A419" s="32">
        <v>33060414883</v>
      </c>
      <c r="B419" s="33" t="s">
        <v>1754</v>
      </c>
      <c r="C419" s="33" t="s">
        <v>1701</v>
      </c>
      <c r="D419" s="33" t="s">
        <v>1673</v>
      </c>
      <c r="E419" s="33" t="s">
        <v>1755</v>
      </c>
      <c r="F419" s="33" t="s">
        <v>241</v>
      </c>
      <c r="G419" s="33" t="s">
        <v>1756</v>
      </c>
      <c r="H419" s="33" t="s">
        <v>241</v>
      </c>
    </row>
    <row r="420" spans="1:8" x14ac:dyDescent="0.25">
      <c r="A420" s="32">
        <v>33060414884</v>
      </c>
      <c r="B420" s="33" t="s">
        <v>1754</v>
      </c>
      <c r="C420" s="33" t="s">
        <v>1701</v>
      </c>
      <c r="D420" s="33" t="s">
        <v>1673</v>
      </c>
      <c r="E420" s="33" t="s">
        <v>1755</v>
      </c>
      <c r="F420" s="33" t="s">
        <v>1385</v>
      </c>
      <c r="G420" s="33" t="s">
        <v>1756</v>
      </c>
      <c r="H420" s="33" t="s">
        <v>1385</v>
      </c>
    </row>
    <row r="421" spans="1:8" x14ac:dyDescent="0.25">
      <c r="A421" s="32">
        <v>33060414885</v>
      </c>
      <c r="B421" s="33" t="s">
        <v>1754</v>
      </c>
      <c r="C421" s="33" t="s">
        <v>1701</v>
      </c>
      <c r="D421" s="33" t="s">
        <v>1673</v>
      </c>
      <c r="E421" s="33" t="s">
        <v>1755</v>
      </c>
      <c r="F421" s="33" t="s">
        <v>243</v>
      </c>
      <c r="G421" s="33" t="s">
        <v>1756</v>
      </c>
      <c r="H421" s="33" t="s">
        <v>243</v>
      </c>
    </row>
    <row r="422" spans="1:8" x14ac:dyDescent="0.25">
      <c r="A422" s="32">
        <v>33060414889</v>
      </c>
      <c r="B422" s="33" t="s">
        <v>1754</v>
      </c>
      <c r="C422" s="33" t="s">
        <v>1701</v>
      </c>
      <c r="D422" s="33" t="s">
        <v>1673</v>
      </c>
      <c r="E422" s="33" t="s">
        <v>1755</v>
      </c>
      <c r="F422" s="33" t="s">
        <v>244</v>
      </c>
      <c r="G422" s="33" t="s">
        <v>1756</v>
      </c>
      <c r="H422" s="33" t="s">
        <v>244</v>
      </c>
    </row>
    <row r="423" spans="1:8" x14ac:dyDescent="0.25">
      <c r="A423" s="32">
        <v>33060414929</v>
      </c>
      <c r="B423" s="33" t="s">
        <v>1754</v>
      </c>
      <c r="C423" s="33" t="s">
        <v>1701</v>
      </c>
      <c r="D423" s="33" t="s">
        <v>1683</v>
      </c>
      <c r="E423" s="33" t="s">
        <v>1755</v>
      </c>
      <c r="F423" s="33" t="s">
        <v>245</v>
      </c>
      <c r="G423" s="33" t="s">
        <v>1756</v>
      </c>
      <c r="H423" s="33" t="s">
        <v>245</v>
      </c>
    </row>
    <row r="424" spans="1:8" x14ac:dyDescent="0.25">
      <c r="A424" s="32">
        <v>33060424256</v>
      </c>
      <c r="B424" s="33" t="s">
        <v>1754</v>
      </c>
      <c r="C424" s="33" t="s">
        <v>1701</v>
      </c>
      <c r="D424" s="33" t="s">
        <v>1683</v>
      </c>
      <c r="E424" s="33" t="s">
        <v>1755</v>
      </c>
      <c r="F424" s="33" t="s">
        <v>1176</v>
      </c>
      <c r="G424" s="33" t="s">
        <v>1756</v>
      </c>
      <c r="H424" s="33" t="s">
        <v>1176</v>
      </c>
    </row>
    <row r="425" spans="1:8" x14ac:dyDescent="0.25">
      <c r="A425" s="32">
        <v>33060424257</v>
      </c>
      <c r="B425" s="33" t="s">
        <v>1754</v>
      </c>
      <c r="C425" s="33" t="s">
        <v>1701</v>
      </c>
      <c r="D425" s="33" t="s">
        <v>1683</v>
      </c>
      <c r="E425" s="33" t="s">
        <v>1755</v>
      </c>
      <c r="F425" s="33" t="s">
        <v>247</v>
      </c>
      <c r="G425" s="33" t="s">
        <v>1756</v>
      </c>
      <c r="H425" s="33" t="s">
        <v>247</v>
      </c>
    </row>
    <row r="426" spans="1:8" x14ac:dyDescent="0.25">
      <c r="A426" s="32">
        <v>33060424258</v>
      </c>
      <c r="B426" s="33" t="s">
        <v>1754</v>
      </c>
      <c r="C426" s="33" t="s">
        <v>1701</v>
      </c>
      <c r="D426" s="33" t="s">
        <v>1683</v>
      </c>
      <c r="E426" s="33" t="s">
        <v>1755</v>
      </c>
      <c r="F426" s="33" t="s">
        <v>248</v>
      </c>
      <c r="G426" s="33" t="s">
        <v>1756</v>
      </c>
      <c r="H426" s="33" t="s">
        <v>248</v>
      </c>
    </row>
    <row r="427" spans="1:8" x14ac:dyDescent="0.25">
      <c r="A427" s="32">
        <v>33060424356</v>
      </c>
      <c r="B427" s="33" t="s">
        <v>1754</v>
      </c>
      <c r="C427" s="33" t="s">
        <v>1701</v>
      </c>
      <c r="D427" s="33" t="s">
        <v>1683</v>
      </c>
      <c r="E427" s="33" t="s">
        <v>1755</v>
      </c>
      <c r="F427" s="33" t="s">
        <v>249</v>
      </c>
      <c r="G427" s="33" t="s">
        <v>1756</v>
      </c>
      <c r="H427" s="33" t="s">
        <v>249</v>
      </c>
    </row>
    <row r="428" spans="1:8" x14ac:dyDescent="0.25">
      <c r="A428" s="32">
        <v>33060424357</v>
      </c>
      <c r="B428" s="33" t="s">
        <v>1754</v>
      </c>
      <c r="C428" s="33" t="s">
        <v>1701</v>
      </c>
      <c r="D428" s="33" t="s">
        <v>1683</v>
      </c>
      <c r="E428" s="33" t="s">
        <v>1755</v>
      </c>
      <c r="F428" s="33" t="s">
        <v>1399</v>
      </c>
      <c r="G428" s="33" t="s">
        <v>1756</v>
      </c>
      <c r="H428" s="33" t="s">
        <v>1399</v>
      </c>
    </row>
    <row r="429" spans="1:8" x14ac:dyDescent="0.25">
      <c r="A429" s="32">
        <v>33060424358</v>
      </c>
      <c r="B429" s="33" t="s">
        <v>1754</v>
      </c>
      <c r="C429" s="33" t="s">
        <v>1701</v>
      </c>
      <c r="D429" s="33" t="s">
        <v>1683</v>
      </c>
      <c r="E429" s="33" t="s">
        <v>1755</v>
      </c>
      <c r="F429" s="33" t="s">
        <v>251</v>
      </c>
      <c r="G429" s="33" t="s">
        <v>1756</v>
      </c>
      <c r="H429" s="33" t="s">
        <v>251</v>
      </c>
    </row>
    <row r="430" spans="1:8" x14ac:dyDescent="0.25">
      <c r="A430" s="32">
        <v>33060424359</v>
      </c>
      <c r="B430" s="33" t="s">
        <v>1754</v>
      </c>
      <c r="C430" s="33" t="s">
        <v>1701</v>
      </c>
      <c r="D430" s="33" t="s">
        <v>1683</v>
      </c>
      <c r="E430" s="33" t="s">
        <v>1755</v>
      </c>
      <c r="F430" s="33" t="s">
        <v>252</v>
      </c>
      <c r="G430" s="33" t="s">
        <v>1756</v>
      </c>
      <c r="H430" s="33" t="s">
        <v>252</v>
      </c>
    </row>
    <row r="431" spans="1:8" x14ac:dyDescent="0.25">
      <c r="A431" s="32">
        <v>33060424360</v>
      </c>
      <c r="B431" s="33" t="s">
        <v>1754</v>
      </c>
      <c r="C431" s="33" t="s">
        <v>1701</v>
      </c>
      <c r="D431" s="33" t="s">
        <v>1683</v>
      </c>
      <c r="E431" s="33" t="s">
        <v>1755</v>
      </c>
      <c r="F431" s="33" t="s">
        <v>253</v>
      </c>
      <c r="G431" s="33" t="s">
        <v>1756</v>
      </c>
      <c r="H431" s="33" t="s">
        <v>253</v>
      </c>
    </row>
    <row r="432" spans="1:8" x14ac:dyDescent="0.25">
      <c r="A432" s="32">
        <v>33060424362</v>
      </c>
      <c r="B432" s="33" t="s">
        <v>1754</v>
      </c>
      <c r="C432" s="33" t="s">
        <v>1701</v>
      </c>
      <c r="D432" s="33" t="s">
        <v>1683</v>
      </c>
      <c r="E432" s="33" t="s">
        <v>1755</v>
      </c>
      <c r="F432" s="33" t="s">
        <v>1395</v>
      </c>
      <c r="G432" s="33" t="s">
        <v>1756</v>
      </c>
      <c r="H432" s="33" t="s">
        <v>1395</v>
      </c>
    </row>
    <row r="433" spans="1:8" x14ac:dyDescent="0.25">
      <c r="A433" s="32">
        <v>33060424363</v>
      </c>
      <c r="B433" s="33" t="s">
        <v>1754</v>
      </c>
      <c r="C433" s="33" t="s">
        <v>1701</v>
      </c>
      <c r="D433" s="33" t="s">
        <v>1683</v>
      </c>
      <c r="E433" s="33" t="s">
        <v>1755</v>
      </c>
      <c r="F433" s="33" t="s">
        <v>255</v>
      </c>
      <c r="G433" s="33" t="s">
        <v>1756</v>
      </c>
      <c r="H433" s="33" t="s">
        <v>255</v>
      </c>
    </row>
    <row r="434" spans="1:8" x14ac:dyDescent="0.25">
      <c r="A434" s="32">
        <v>33060424372</v>
      </c>
      <c r="B434" s="33" t="s">
        <v>1754</v>
      </c>
      <c r="C434" s="33" t="s">
        <v>1701</v>
      </c>
      <c r="D434" s="33" t="s">
        <v>1683</v>
      </c>
      <c r="E434" s="33" t="s">
        <v>1755</v>
      </c>
      <c r="F434" s="33" t="s">
        <v>256</v>
      </c>
      <c r="G434" s="33" t="s">
        <v>1756</v>
      </c>
      <c r="H434" s="33" t="s">
        <v>256</v>
      </c>
    </row>
    <row r="435" spans="1:8" x14ac:dyDescent="0.25">
      <c r="A435" s="32">
        <v>33060424467</v>
      </c>
      <c r="B435" s="33" t="s">
        <v>1754</v>
      </c>
      <c r="C435" s="33" t="s">
        <v>1701</v>
      </c>
      <c r="D435" s="33" t="s">
        <v>1683</v>
      </c>
      <c r="E435" s="33" t="s">
        <v>1755</v>
      </c>
      <c r="F435" s="33" t="s">
        <v>257</v>
      </c>
      <c r="G435" s="33" t="s">
        <v>1756</v>
      </c>
      <c r="H435" s="33" t="s">
        <v>257</v>
      </c>
    </row>
    <row r="436" spans="1:8" x14ac:dyDescent="0.25">
      <c r="A436" s="32">
        <v>33060424468</v>
      </c>
      <c r="B436" s="33" t="s">
        <v>1754</v>
      </c>
      <c r="C436" s="33" t="s">
        <v>1701</v>
      </c>
      <c r="D436" s="33" t="s">
        <v>1683</v>
      </c>
      <c r="E436" s="33" t="s">
        <v>1755</v>
      </c>
      <c r="F436" s="33" t="s">
        <v>258</v>
      </c>
      <c r="G436" s="33" t="s">
        <v>1756</v>
      </c>
      <c r="H436" s="33" t="s">
        <v>258</v>
      </c>
    </row>
    <row r="437" spans="1:8" x14ac:dyDescent="0.25">
      <c r="A437" s="32">
        <v>33060424537</v>
      </c>
      <c r="B437" s="33" t="s">
        <v>1754</v>
      </c>
      <c r="C437" s="33" t="s">
        <v>1701</v>
      </c>
      <c r="D437" s="33" t="s">
        <v>1682</v>
      </c>
      <c r="E437" s="33" t="s">
        <v>1755</v>
      </c>
      <c r="F437" s="33" t="s">
        <v>259</v>
      </c>
      <c r="G437" s="33" t="s">
        <v>1756</v>
      </c>
      <c r="H437" s="33" t="s">
        <v>259</v>
      </c>
    </row>
    <row r="438" spans="1:8" x14ac:dyDescent="0.25">
      <c r="A438" s="32">
        <v>33060424538</v>
      </c>
      <c r="B438" s="33" t="s">
        <v>1754</v>
      </c>
      <c r="C438" s="33" t="s">
        <v>1701</v>
      </c>
      <c r="D438" s="33" t="s">
        <v>1682</v>
      </c>
      <c r="E438" s="33" t="s">
        <v>1755</v>
      </c>
      <c r="F438" s="33" t="s">
        <v>260</v>
      </c>
      <c r="G438" s="33" t="s">
        <v>1756</v>
      </c>
      <c r="H438" s="33" t="s">
        <v>260</v>
      </c>
    </row>
    <row r="439" spans="1:8" x14ac:dyDescent="0.25">
      <c r="A439" s="32">
        <v>33060424539</v>
      </c>
      <c r="B439" s="33" t="s">
        <v>1754</v>
      </c>
      <c r="C439" s="33" t="s">
        <v>1701</v>
      </c>
      <c r="D439" s="33" t="s">
        <v>1683</v>
      </c>
      <c r="E439" s="33" t="s">
        <v>1755</v>
      </c>
      <c r="F439" s="33" t="s">
        <v>923</v>
      </c>
      <c r="G439" s="33" t="s">
        <v>1756</v>
      </c>
      <c r="H439" s="33" t="s">
        <v>923</v>
      </c>
    </row>
    <row r="440" spans="1:8" x14ac:dyDescent="0.25">
      <c r="A440" s="32">
        <v>33060424540</v>
      </c>
      <c r="B440" s="33" t="s">
        <v>1754</v>
      </c>
      <c r="C440" s="33" t="s">
        <v>1701</v>
      </c>
      <c r="D440" s="33" t="s">
        <v>1683</v>
      </c>
      <c r="E440" s="33" t="s">
        <v>1755</v>
      </c>
      <c r="F440" s="33" t="s">
        <v>920</v>
      </c>
      <c r="G440" s="33" t="s">
        <v>1756</v>
      </c>
      <c r="H440" s="33" t="s">
        <v>920</v>
      </c>
    </row>
    <row r="441" spans="1:8" x14ac:dyDescent="0.25">
      <c r="A441" s="32">
        <v>33060424541</v>
      </c>
      <c r="B441" s="33" t="s">
        <v>1754</v>
      </c>
      <c r="C441" s="33" t="s">
        <v>1701</v>
      </c>
      <c r="D441" s="33" t="s">
        <v>1683</v>
      </c>
      <c r="E441" s="33" t="s">
        <v>1755</v>
      </c>
      <c r="F441" s="33" t="s">
        <v>916</v>
      </c>
      <c r="G441" s="33" t="s">
        <v>1756</v>
      </c>
      <c r="H441" s="33" t="s">
        <v>916</v>
      </c>
    </row>
    <row r="442" spans="1:8" x14ac:dyDescent="0.25">
      <c r="A442" s="32">
        <v>33060424561</v>
      </c>
      <c r="B442" s="33" t="s">
        <v>1754</v>
      </c>
      <c r="C442" s="33" t="s">
        <v>1701</v>
      </c>
      <c r="D442" s="33" t="s">
        <v>1683</v>
      </c>
      <c r="E442" s="33" t="s">
        <v>1755</v>
      </c>
      <c r="F442" s="33" t="s">
        <v>262</v>
      </c>
      <c r="G442" s="33" t="s">
        <v>1756</v>
      </c>
      <c r="H442" s="33" t="s">
        <v>262</v>
      </c>
    </row>
    <row r="443" spans="1:8" x14ac:dyDescent="0.25">
      <c r="A443" s="32">
        <v>33060424562</v>
      </c>
      <c r="B443" s="33" t="s">
        <v>1754</v>
      </c>
      <c r="C443" s="33" t="s">
        <v>1701</v>
      </c>
      <c r="D443" s="33" t="s">
        <v>1683</v>
      </c>
      <c r="E443" s="33" t="s">
        <v>1755</v>
      </c>
      <c r="F443" s="33" t="s">
        <v>263</v>
      </c>
      <c r="G443" s="33" t="s">
        <v>1756</v>
      </c>
      <c r="H443" s="33" t="s">
        <v>263</v>
      </c>
    </row>
    <row r="444" spans="1:8" x14ac:dyDescent="0.25">
      <c r="A444" s="32">
        <v>33060424563</v>
      </c>
      <c r="B444" s="33" t="s">
        <v>1754</v>
      </c>
      <c r="C444" s="33" t="s">
        <v>1701</v>
      </c>
      <c r="D444" s="33" t="s">
        <v>1683</v>
      </c>
      <c r="E444" s="33" t="s">
        <v>1755</v>
      </c>
      <c r="F444" s="33" t="s">
        <v>264</v>
      </c>
      <c r="G444" s="33" t="s">
        <v>1756</v>
      </c>
      <c r="H444" s="33" t="s">
        <v>264</v>
      </c>
    </row>
    <row r="445" spans="1:8" x14ac:dyDescent="0.25">
      <c r="A445" s="32">
        <v>33060424574</v>
      </c>
      <c r="B445" s="33" t="s">
        <v>1754</v>
      </c>
      <c r="C445" s="33" t="s">
        <v>1701</v>
      </c>
      <c r="D445" s="33" t="s">
        <v>1683</v>
      </c>
      <c r="E445" s="33" t="s">
        <v>1755</v>
      </c>
      <c r="F445" s="33" t="s">
        <v>265</v>
      </c>
      <c r="G445" s="33" t="s">
        <v>1756</v>
      </c>
      <c r="H445" s="33" t="s">
        <v>265</v>
      </c>
    </row>
    <row r="446" spans="1:8" x14ac:dyDescent="0.25">
      <c r="A446" s="32">
        <v>33060424575</v>
      </c>
      <c r="B446" s="33" t="s">
        <v>1754</v>
      </c>
      <c r="C446" s="33" t="s">
        <v>1701</v>
      </c>
      <c r="D446" s="33" t="s">
        <v>1683</v>
      </c>
      <c r="E446" s="33" t="s">
        <v>1755</v>
      </c>
      <c r="F446" s="33" t="s">
        <v>266</v>
      </c>
      <c r="G446" s="33" t="s">
        <v>1756</v>
      </c>
      <c r="H446" s="33" t="s">
        <v>266</v>
      </c>
    </row>
    <row r="447" spans="1:8" x14ac:dyDescent="0.25">
      <c r="A447" s="32">
        <v>33060424576</v>
      </c>
      <c r="B447" s="33" t="s">
        <v>1754</v>
      </c>
      <c r="C447" s="33" t="s">
        <v>1701</v>
      </c>
      <c r="D447" s="33" t="s">
        <v>1683</v>
      </c>
      <c r="E447" s="33" t="s">
        <v>1755</v>
      </c>
      <c r="F447" s="33" t="s">
        <v>1402</v>
      </c>
      <c r="G447" s="33" t="s">
        <v>1756</v>
      </c>
      <c r="H447" s="33" t="s">
        <v>1402</v>
      </c>
    </row>
    <row r="448" spans="1:8" x14ac:dyDescent="0.25">
      <c r="A448" s="32">
        <v>33060424577</v>
      </c>
      <c r="B448" s="33" t="s">
        <v>1754</v>
      </c>
      <c r="C448" s="33" t="s">
        <v>1701</v>
      </c>
      <c r="D448" s="33" t="s">
        <v>1683</v>
      </c>
      <c r="E448" s="33" t="s">
        <v>1755</v>
      </c>
      <c r="F448" s="33" t="s">
        <v>267</v>
      </c>
      <c r="G448" s="33" t="s">
        <v>1756</v>
      </c>
      <c r="H448" s="33" t="s">
        <v>267</v>
      </c>
    </row>
    <row r="449" spans="1:8" x14ac:dyDescent="0.25">
      <c r="A449" s="32">
        <v>33060424578</v>
      </c>
      <c r="B449" s="33" t="s">
        <v>1754</v>
      </c>
      <c r="C449" s="33" t="s">
        <v>1701</v>
      </c>
      <c r="D449" s="33" t="s">
        <v>1683</v>
      </c>
      <c r="E449" s="33" t="s">
        <v>1755</v>
      </c>
      <c r="F449" s="33" t="s">
        <v>268</v>
      </c>
      <c r="G449" s="33" t="s">
        <v>1756</v>
      </c>
      <c r="H449" s="33" t="s">
        <v>268</v>
      </c>
    </row>
    <row r="450" spans="1:8" x14ac:dyDescent="0.25">
      <c r="A450" s="32">
        <v>33060424579</v>
      </c>
      <c r="B450" s="33" t="s">
        <v>1754</v>
      </c>
      <c r="C450" s="33" t="s">
        <v>1701</v>
      </c>
      <c r="D450" s="33" t="s">
        <v>1683</v>
      </c>
      <c r="E450" s="33" t="s">
        <v>1755</v>
      </c>
      <c r="F450" s="33" t="s">
        <v>269</v>
      </c>
      <c r="G450" s="33" t="s">
        <v>1756</v>
      </c>
      <c r="H450" s="33" t="s">
        <v>269</v>
      </c>
    </row>
    <row r="451" spans="1:8" x14ac:dyDescent="0.25">
      <c r="A451" s="32">
        <v>33060424580</v>
      </c>
      <c r="B451" s="33" t="s">
        <v>1754</v>
      </c>
      <c r="C451" s="33" t="s">
        <v>1701</v>
      </c>
      <c r="D451" s="33" t="s">
        <v>1683</v>
      </c>
      <c r="E451" s="33" t="s">
        <v>1755</v>
      </c>
      <c r="F451" s="33" t="s">
        <v>270</v>
      </c>
      <c r="G451" s="33" t="s">
        <v>1756</v>
      </c>
      <c r="H451" s="33" t="s">
        <v>270</v>
      </c>
    </row>
    <row r="452" spans="1:8" x14ac:dyDescent="0.25">
      <c r="A452" s="32">
        <v>33060424581</v>
      </c>
      <c r="B452" s="33" t="s">
        <v>1754</v>
      </c>
      <c r="C452" s="33" t="s">
        <v>1701</v>
      </c>
      <c r="D452" s="33" t="s">
        <v>1683</v>
      </c>
      <c r="E452" s="33" t="s">
        <v>1755</v>
      </c>
      <c r="F452" s="33" t="s">
        <v>271</v>
      </c>
      <c r="G452" s="33" t="s">
        <v>1756</v>
      </c>
      <c r="H452" s="33" t="s">
        <v>271</v>
      </c>
    </row>
    <row r="453" spans="1:8" x14ac:dyDescent="0.25">
      <c r="A453" s="32">
        <v>33060424582</v>
      </c>
      <c r="B453" s="33" t="s">
        <v>1754</v>
      </c>
      <c r="C453" s="33" t="s">
        <v>1701</v>
      </c>
      <c r="D453" s="33" t="s">
        <v>1683</v>
      </c>
      <c r="E453" s="33" t="s">
        <v>1755</v>
      </c>
      <c r="F453" s="33" t="s">
        <v>272</v>
      </c>
      <c r="G453" s="33" t="s">
        <v>1756</v>
      </c>
      <c r="H453" s="33" t="s">
        <v>272</v>
      </c>
    </row>
    <row r="454" spans="1:8" x14ac:dyDescent="0.25">
      <c r="A454" s="32">
        <v>33060424583</v>
      </c>
      <c r="B454" s="33" t="s">
        <v>1754</v>
      </c>
      <c r="C454" s="33" t="s">
        <v>1701</v>
      </c>
      <c r="D454" s="33" t="s">
        <v>1683</v>
      </c>
      <c r="E454" s="33" t="s">
        <v>1755</v>
      </c>
      <c r="F454" s="33" t="s">
        <v>1404</v>
      </c>
      <c r="G454" s="33" t="s">
        <v>1756</v>
      </c>
      <c r="H454" s="33" t="s">
        <v>1404</v>
      </c>
    </row>
    <row r="455" spans="1:8" x14ac:dyDescent="0.25">
      <c r="A455" s="32">
        <v>33060424585</v>
      </c>
      <c r="B455" s="33" t="s">
        <v>1754</v>
      </c>
      <c r="C455" s="33" t="s">
        <v>1701</v>
      </c>
      <c r="D455" s="33" t="s">
        <v>1683</v>
      </c>
      <c r="E455" s="33" t="s">
        <v>1755</v>
      </c>
      <c r="F455" s="33" t="s">
        <v>1401</v>
      </c>
      <c r="G455" s="33" t="s">
        <v>1756</v>
      </c>
      <c r="H455" s="33" t="s">
        <v>1401</v>
      </c>
    </row>
    <row r="456" spans="1:8" x14ac:dyDescent="0.25">
      <c r="A456" s="32">
        <v>33060424666</v>
      </c>
      <c r="B456" s="33" t="s">
        <v>1754</v>
      </c>
      <c r="C456" s="33" t="s">
        <v>1701</v>
      </c>
      <c r="D456" s="33" t="s">
        <v>1683</v>
      </c>
      <c r="E456" s="33" t="s">
        <v>1755</v>
      </c>
      <c r="F456" s="33" t="s">
        <v>924</v>
      </c>
      <c r="G456" s="33" t="s">
        <v>1756</v>
      </c>
      <c r="H456" s="33" t="s">
        <v>924</v>
      </c>
    </row>
    <row r="457" spans="1:8" x14ac:dyDescent="0.25">
      <c r="A457" s="32">
        <v>33060424667</v>
      </c>
      <c r="B457" s="33" t="s">
        <v>1754</v>
      </c>
      <c r="C457" s="33" t="s">
        <v>1701</v>
      </c>
      <c r="D457" s="33" t="s">
        <v>1683</v>
      </c>
      <c r="E457" s="33" t="s">
        <v>1755</v>
      </c>
      <c r="F457" s="33" t="s">
        <v>919</v>
      </c>
      <c r="G457" s="33" t="s">
        <v>1756</v>
      </c>
      <c r="H457" s="33" t="s">
        <v>919</v>
      </c>
    </row>
    <row r="458" spans="1:8" x14ac:dyDescent="0.25">
      <c r="A458" s="32">
        <v>33060454013</v>
      </c>
      <c r="B458" s="33" t="s">
        <v>1754</v>
      </c>
      <c r="C458" s="33" t="s">
        <v>1701</v>
      </c>
      <c r="D458" s="33" t="s">
        <v>1673</v>
      </c>
      <c r="E458" s="33" t="s">
        <v>1755</v>
      </c>
      <c r="F458" s="33" t="s">
        <v>2366</v>
      </c>
      <c r="G458" s="33" t="s">
        <v>1756</v>
      </c>
      <c r="H458" s="33" t="s">
        <v>2366</v>
      </c>
    </row>
    <row r="459" spans="1:8" x14ac:dyDescent="0.25">
      <c r="A459" s="32">
        <v>33060454026</v>
      </c>
      <c r="B459" s="33" t="s">
        <v>1754</v>
      </c>
      <c r="C459" s="33" t="s">
        <v>1701</v>
      </c>
      <c r="D459" s="33" t="s">
        <v>1683</v>
      </c>
      <c r="E459" s="33" t="s">
        <v>1755</v>
      </c>
      <c r="F459" s="33" t="s">
        <v>1517</v>
      </c>
      <c r="G459" s="33" t="s">
        <v>1732</v>
      </c>
      <c r="H459" s="33" t="s">
        <v>1517</v>
      </c>
    </row>
    <row r="460" spans="1:8" x14ac:dyDescent="0.25">
      <c r="A460" s="32">
        <v>33060454034</v>
      </c>
      <c r="B460" s="33" t="s">
        <v>1754</v>
      </c>
      <c r="C460" s="33" t="s">
        <v>1701</v>
      </c>
      <c r="D460" s="33" t="s">
        <v>1673</v>
      </c>
      <c r="E460" s="33" t="s">
        <v>1755</v>
      </c>
      <c r="F460" s="33" t="s">
        <v>278</v>
      </c>
      <c r="G460" s="33" t="s">
        <v>1756</v>
      </c>
      <c r="H460" s="33" t="s">
        <v>278</v>
      </c>
    </row>
    <row r="461" spans="1:8" x14ac:dyDescent="0.25">
      <c r="A461" s="32">
        <v>33060454035</v>
      </c>
      <c r="B461" s="33" t="s">
        <v>1754</v>
      </c>
      <c r="C461" s="33" t="s">
        <v>1701</v>
      </c>
      <c r="D461" s="33" t="s">
        <v>1673</v>
      </c>
      <c r="E461" s="33" t="s">
        <v>1755</v>
      </c>
      <c r="F461" s="33" t="s">
        <v>279</v>
      </c>
      <c r="G461" s="33" t="s">
        <v>1756</v>
      </c>
      <c r="H461" s="33" t="s">
        <v>279</v>
      </c>
    </row>
    <row r="462" spans="1:8" x14ac:dyDescent="0.25">
      <c r="A462" s="32">
        <v>33060454036</v>
      </c>
      <c r="B462" s="33" t="s">
        <v>1754</v>
      </c>
      <c r="C462" s="33" t="s">
        <v>1701</v>
      </c>
      <c r="D462" s="33" t="s">
        <v>1673</v>
      </c>
      <c r="E462" s="33" t="s">
        <v>1755</v>
      </c>
      <c r="F462" s="33" t="s">
        <v>280</v>
      </c>
      <c r="G462" s="33" t="s">
        <v>1756</v>
      </c>
      <c r="H462" s="33" t="s">
        <v>280</v>
      </c>
    </row>
    <row r="463" spans="1:8" x14ac:dyDescent="0.25">
      <c r="A463" s="32">
        <v>33060454037</v>
      </c>
      <c r="B463" s="33" t="s">
        <v>1754</v>
      </c>
      <c r="C463" s="33" t="s">
        <v>1701</v>
      </c>
      <c r="D463" s="33" t="s">
        <v>1673</v>
      </c>
      <c r="E463" s="33" t="s">
        <v>1755</v>
      </c>
      <c r="F463" s="33" t="s">
        <v>281</v>
      </c>
      <c r="G463" s="33" t="s">
        <v>1756</v>
      </c>
      <c r="H463" s="33" t="s">
        <v>281</v>
      </c>
    </row>
    <row r="464" spans="1:8" x14ac:dyDescent="0.25">
      <c r="A464" s="32">
        <v>33060454038</v>
      </c>
      <c r="B464" s="33" t="s">
        <v>1754</v>
      </c>
      <c r="C464" s="33" t="s">
        <v>1701</v>
      </c>
      <c r="D464" s="33" t="s">
        <v>1673</v>
      </c>
      <c r="E464" s="33" t="s">
        <v>1755</v>
      </c>
      <c r="F464" s="33" t="s">
        <v>282</v>
      </c>
      <c r="G464" s="33" t="s">
        <v>1756</v>
      </c>
      <c r="H464" s="33" t="s">
        <v>282</v>
      </c>
    </row>
    <row r="465" spans="1:8" x14ac:dyDescent="0.25">
      <c r="A465" s="32">
        <v>33060454039</v>
      </c>
      <c r="B465" s="33" t="s">
        <v>1754</v>
      </c>
      <c r="C465" s="33" t="s">
        <v>1701</v>
      </c>
      <c r="D465" s="33" t="s">
        <v>1673</v>
      </c>
      <c r="E465" s="33" t="s">
        <v>1755</v>
      </c>
      <c r="F465" s="33" t="s">
        <v>2417</v>
      </c>
      <c r="G465" s="33" t="s">
        <v>1732</v>
      </c>
      <c r="H465" s="33" t="s">
        <v>2417</v>
      </c>
    </row>
    <row r="466" spans="1:8" x14ac:dyDescent="0.25">
      <c r="A466" s="32">
        <v>33060454040</v>
      </c>
      <c r="B466" s="33" t="s">
        <v>1754</v>
      </c>
      <c r="C466" s="33" t="s">
        <v>1701</v>
      </c>
      <c r="D466" s="33" t="s">
        <v>1673</v>
      </c>
      <c r="E466" s="33" t="s">
        <v>1755</v>
      </c>
      <c r="F466" s="33" t="s">
        <v>2416</v>
      </c>
      <c r="G466" s="33" t="s">
        <v>1732</v>
      </c>
      <c r="H466" s="33" t="s">
        <v>2416</v>
      </c>
    </row>
    <row r="467" spans="1:8" x14ac:dyDescent="0.25">
      <c r="A467" s="32">
        <v>33060454041</v>
      </c>
      <c r="B467" s="33" t="s">
        <v>1754</v>
      </c>
      <c r="C467" s="33" t="s">
        <v>1701</v>
      </c>
      <c r="D467" s="33" t="s">
        <v>1673</v>
      </c>
      <c r="E467" s="33" t="s">
        <v>1755</v>
      </c>
      <c r="F467" s="33" t="s">
        <v>283</v>
      </c>
      <c r="G467" s="33" t="s">
        <v>1756</v>
      </c>
      <c r="H467" s="33" t="s">
        <v>283</v>
      </c>
    </row>
    <row r="468" spans="1:8" x14ac:dyDescent="0.25">
      <c r="A468" s="32">
        <v>33060454042</v>
      </c>
      <c r="B468" s="33" t="s">
        <v>1754</v>
      </c>
      <c r="C468" s="33" t="s">
        <v>1701</v>
      </c>
      <c r="D468" s="33" t="s">
        <v>1673</v>
      </c>
      <c r="E468" s="33" t="s">
        <v>1755</v>
      </c>
      <c r="F468" s="33" t="s">
        <v>284</v>
      </c>
      <c r="G468" s="33" t="s">
        <v>1756</v>
      </c>
      <c r="H468" s="33" t="s">
        <v>284</v>
      </c>
    </row>
    <row r="469" spans="1:8" x14ac:dyDescent="0.25">
      <c r="A469" s="32">
        <v>33060454043</v>
      </c>
      <c r="B469" s="33" t="s">
        <v>1754</v>
      </c>
      <c r="C469" s="33" t="s">
        <v>1701</v>
      </c>
      <c r="D469" s="33" t="s">
        <v>1673</v>
      </c>
      <c r="E469" s="33" t="s">
        <v>1755</v>
      </c>
      <c r="F469" s="33" t="s">
        <v>285</v>
      </c>
      <c r="G469" s="33" t="s">
        <v>1756</v>
      </c>
      <c r="H469" s="33" t="s">
        <v>285</v>
      </c>
    </row>
    <row r="470" spans="1:8" x14ac:dyDescent="0.25">
      <c r="A470" s="32">
        <v>33060454044</v>
      </c>
      <c r="B470" s="33" t="s">
        <v>1754</v>
      </c>
      <c r="C470" s="33" t="s">
        <v>1701</v>
      </c>
      <c r="D470" s="33" t="s">
        <v>1673</v>
      </c>
      <c r="E470" s="33" t="s">
        <v>1755</v>
      </c>
      <c r="F470" s="33" t="s">
        <v>286</v>
      </c>
      <c r="G470" s="33" t="s">
        <v>1756</v>
      </c>
      <c r="H470" s="33" t="s">
        <v>286</v>
      </c>
    </row>
    <row r="471" spans="1:8" x14ac:dyDescent="0.25">
      <c r="A471" s="32">
        <v>33060454046</v>
      </c>
      <c r="B471" s="33" t="s">
        <v>1754</v>
      </c>
      <c r="C471" s="33" t="s">
        <v>1701</v>
      </c>
      <c r="D471" s="33" t="s">
        <v>1682</v>
      </c>
      <c r="E471" s="33" t="s">
        <v>1755</v>
      </c>
      <c r="F471" s="33" t="s">
        <v>287</v>
      </c>
      <c r="G471" s="33" t="s">
        <v>1756</v>
      </c>
      <c r="H471" s="33" t="s">
        <v>287</v>
      </c>
    </row>
    <row r="472" spans="1:8" x14ac:dyDescent="0.25">
      <c r="A472" s="32">
        <v>33060454052</v>
      </c>
      <c r="B472" s="33" t="s">
        <v>1754</v>
      </c>
      <c r="C472" s="33" t="s">
        <v>1701</v>
      </c>
      <c r="D472" s="33" t="s">
        <v>1673</v>
      </c>
      <c r="E472" s="33" t="s">
        <v>1755</v>
      </c>
      <c r="F472" s="33" t="s">
        <v>288</v>
      </c>
      <c r="G472" s="33" t="s">
        <v>1756</v>
      </c>
      <c r="H472" s="33" t="s">
        <v>288</v>
      </c>
    </row>
    <row r="473" spans="1:8" x14ac:dyDescent="0.25">
      <c r="A473" s="32">
        <v>33060454137</v>
      </c>
      <c r="B473" s="33" t="s">
        <v>1754</v>
      </c>
      <c r="C473" s="33" t="s">
        <v>1701</v>
      </c>
      <c r="D473" s="33" t="s">
        <v>1673</v>
      </c>
      <c r="E473" s="33" t="s">
        <v>1755</v>
      </c>
      <c r="F473" s="33" t="s">
        <v>289</v>
      </c>
      <c r="G473" s="33" t="s">
        <v>1756</v>
      </c>
      <c r="H473" s="33" t="s">
        <v>289</v>
      </c>
    </row>
    <row r="474" spans="1:8" x14ac:dyDescent="0.25">
      <c r="A474" s="32">
        <v>33060460532</v>
      </c>
      <c r="B474" s="33" t="s">
        <v>1754</v>
      </c>
      <c r="C474" s="33" t="s">
        <v>1701</v>
      </c>
      <c r="D474" s="33" t="s">
        <v>1682</v>
      </c>
      <c r="E474" s="33" t="s">
        <v>1755</v>
      </c>
      <c r="F474" s="33" t="s">
        <v>290</v>
      </c>
      <c r="G474" s="33" t="s">
        <v>1756</v>
      </c>
      <c r="H474" s="33" t="s">
        <v>290</v>
      </c>
    </row>
    <row r="475" spans="1:8" x14ac:dyDescent="0.25">
      <c r="A475" s="32">
        <v>33060460533</v>
      </c>
      <c r="B475" s="33" t="s">
        <v>1754</v>
      </c>
      <c r="C475" s="33" t="s">
        <v>1701</v>
      </c>
      <c r="D475" s="33" t="s">
        <v>1682</v>
      </c>
      <c r="E475" s="33" t="s">
        <v>1755</v>
      </c>
      <c r="F475" s="33" t="s">
        <v>291</v>
      </c>
      <c r="G475" s="33" t="s">
        <v>1756</v>
      </c>
      <c r="H475" s="33" t="s">
        <v>291</v>
      </c>
    </row>
    <row r="476" spans="1:8" x14ac:dyDescent="0.25">
      <c r="A476" s="32">
        <v>33060460534</v>
      </c>
      <c r="B476" s="33" t="s">
        <v>1754</v>
      </c>
      <c r="C476" s="33" t="s">
        <v>1701</v>
      </c>
      <c r="D476" s="33" t="s">
        <v>1673</v>
      </c>
      <c r="E476" s="33" t="s">
        <v>1755</v>
      </c>
      <c r="F476" s="33" t="s">
        <v>1386</v>
      </c>
      <c r="G476" s="33" t="s">
        <v>1756</v>
      </c>
      <c r="H476" s="33" t="s">
        <v>1386</v>
      </c>
    </row>
    <row r="477" spans="1:8" x14ac:dyDescent="0.25">
      <c r="A477" s="32">
        <v>33060460535</v>
      </c>
      <c r="B477" s="33" t="s">
        <v>1754</v>
      </c>
      <c r="C477" s="33" t="s">
        <v>1701</v>
      </c>
      <c r="D477" s="33" t="s">
        <v>1674</v>
      </c>
      <c r="E477" s="33" t="s">
        <v>1755</v>
      </c>
      <c r="F477" s="33" t="s">
        <v>921</v>
      </c>
      <c r="G477" s="33" t="s">
        <v>1756</v>
      </c>
      <c r="H477" s="33" t="s">
        <v>921</v>
      </c>
    </row>
    <row r="478" spans="1:8" x14ac:dyDescent="0.25">
      <c r="A478" s="32">
        <v>33060460536</v>
      </c>
      <c r="B478" s="33" t="s">
        <v>1754</v>
      </c>
      <c r="C478" s="33" t="s">
        <v>1701</v>
      </c>
      <c r="D478" s="33" t="s">
        <v>1682</v>
      </c>
      <c r="E478" s="33" t="s">
        <v>1755</v>
      </c>
      <c r="F478" s="33" t="s">
        <v>292</v>
      </c>
      <c r="G478" s="33" t="s">
        <v>1756</v>
      </c>
      <c r="H478" s="33" t="s">
        <v>292</v>
      </c>
    </row>
    <row r="479" spans="1:8" x14ac:dyDescent="0.25">
      <c r="A479" s="32">
        <v>33060461116</v>
      </c>
      <c r="B479" s="33" t="s">
        <v>1754</v>
      </c>
      <c r="C479" s="33" t="s">
        <v>1701</v>
      </c>
      <c r="D479" s="33" t="s">
        <v>1673</v>
      </c>
      <c r="E479" s="33" t="s">
        <v>1755</v>
      </c>
      <c r="F479" s="33" t="s">
        <v>293</v>
      </c>
      <c r="G479" s="33" t="s">
        <v>1756</v>
      </c>
      <c r="H479" s="33" t="s">
        <v>293</v>
      </c>
    </row>
    <row r="480" spans="1:8" x14ac:dyDescent="0.25">
      <c r="A480" s="32">
        <v>33060461117</v>
      </c>
      <c r="B480" s="33" t="s">
        <v>1754</v>
      </c>
      <c r="C480" s="33" t="s">
        <v>1701</v>
      </c>
      <c r="D480" s="33" t="s">
        <v>1673</v>
      </c>
      <c r="E480" s="33" t="s">
        <v>1755</v>
      </c>
      <c r="F480" s="33" t="s">
        <v>2415</v>
      </c>
      <c r="G480" s="33" t="s">
        <v>1732</v>
      </c>
      <c r="H480" s="33" t="s">
        <v>2415</v>
      </c>
    </row>
    <row r="481" spans="1:8" x14ac:dyDescent="0.25">
      <c r="A481" s="32">
        <v>33060461118</v>
      </c>
      <c r="B481" s="33" t="s">
        <v>1754</v>
      </c>
      <c r="C481" s="33" t="s">
        <v>1701</v>
      </c>
      <c r="D481" s="33" t="s">
        <v>1673</v>
      </c>
      <c r="E481" s="33" t="s">
        <v>1755</v>
      </c>
      <c r="F481" s="33" t="s">
        <v>294</v>
      </c>
      <c r="G481" s="33" t="s">
        <v>1756</v>
      </c>
      <c r="H481" s="33" t="s">
        <v>294</v>
      </c>
    </row>
    <row r="482" spans="1:8" x14ac:dyDescent="0.25">
      <c r="A482" s="32">
        <v>33060461187</v>
      </c>
      <c r="B482" s="33" t="s">
        <v>1754</v>
      </c>
      <c r="C482" s="33" t="s">
        <v>1701</v>
      </c>
      <c r="D482" s="33" t="s">
        <v>1673</v>
      </c>
      <c r="E482" s="33" t="s">
        <v>1755</v>
      </c>
      <c r="F482" s="33" t="s">
        <v>1150</v>
      </c>
      <c r="G482" s="33" t="s">
        <v>1756</v>
      </c>
      <c r="H482" s="33" t="s">
        <v>1150</v>
      </c>
    </row>
    <row r="483" spans="1:8" x14ac:dyDescent="0.25">
      <c r="A483" s="32">
        <v>33060461189</v>
      </c>
      <c r="B483" s="33" t="s">
        <v>1754</v>
      </c>
      <c r="C483" s="33" t="s">
        <v>1701</v>
      </c>
      <c r="D483" s="33" t="s">
        <v>1682</v>
      </c>
      <c r="E483" s="33" t="s">
        <v>1755</v>
      </c>
      <c r="F483" s="33" t="s">
        <v>296</v>
      </c>
      <c r="G483" s="33" t="s">
        <v>1732</v>
      </c>
      <c r="H483" s="33" t="s">
        <v>296</v>
      </c>
    </row>
    <row r="484" spans="1:8" x14ac:dyDescent="0.25">
      <c r="A484" s="32">
        <v>33060461592</v>
      </c>
      <c r="B484" s="33" t="s">
        <v>1754</v>
      </c>
      <c r="C484" s="33" t="s">
        <v>1681</v>
      </c>
      <c r="D484" s="33" t="s">
        <v>1678</v>
      </c>
      <c r="E484" s="33" t="s">
        <v>1681</v>
      </c>
      <c r="F484" s="33" t="s">
        <v>1098</v>
      </c>
      <c r="G484" s="33" t="s">
        <v>1732</v>
      </c>
      <c r="H484" s="33" t="s">
        <v>2499</v>
      </c>
    </row>
    <row r="485" spans="1:8" x14ac:dyDescent="0.25">
      <c r="A485" s="32">
        <v>33060461593</v>
      </c>
      <c r="B485" s="33" t="s">
        <v>1754</v>
      </c>
      <c r="C485" s="33" t="s">
        <v>1681</v>
      </c>
      <c r="D485" s="33" t="s">
        <v>1678</v>
      </c>
      <c r="E485" s="33" t="s">
        <v>1681</v>
      </c>
      <c r="F485" s="33" t="s">
        <v>1004</v>
      </c>
      <c r="G485" s="33" t="s">
        <v>1732</v>
      </c>
      <c r="H485" s="33" t="s">
        <v>2453</v>
      </c>
    </row>
    <row r="486" spans="1:8" x14ac:dyDescent="0.25">
      <c r="A486" s="32">
        <v>33060461720</v>
      </c>
      <c r="B486" s="33" t="s">
        <v>1754</v>
      </c>
      <c r="C486" s="33" t="s">
        <v>1701</v>
      </c>
      <c r="D486" s="33" t="s">
        <v>1683</v>
      </c>
      <c r="E486" s="33" t="s">
        <v>1755</v>
      </c>
      <c r="F486" s="33" t="s">
        <v>2477</v>
      </c>
      <c r="G486" s="33" t="s">
        <v>1756</v>
      </c>
      <c r="H486" s="33" t="s">
        <v>299</v>
      </c>
    </row>
    <row r="487" spans="1:8" x14ac:dyDescent="0.25">
      <c r="A487" s="32">
        <v>33060461721</v>
      </c>
      <c r="B487" s="33" t="s">
        <v>1754</v>
      </c>
      <c r="C487" s="33" t="s">
        <v>1701</v>
      </c>
      <c r="D487" s="33" t="s">
        <v>1683</v>
      </c>
      <c r="E487" s="33" t="s">
        <v>1755</v>
      </c>
      <c r="F487" s="33" t="s">
        <v>300</v>
      </c>
      <c r="G487" s="33" t="s">
        <v>1756</v>
      </c>
      <c r="H487" s="33" t="s">
        <v>300</v>
      </c>
    </row>
    <row r="488" spans="1:8" x14ac:dyDescent="0.25">
      <c r="A488" s="32">
        <v>33060461839</v>
      </c>
      <c r="B488" s="33" t="s">
        <v>1754</v>
      </c>
      <c r="C488" s="33" t="s">
        <v>1681</v>
      </c>
      <c r="D488" s="33" t="s">
        <v>1678</v>
      </c>
      <c r="E488" s="33" t="s">
        <v>1681</v>
      </c>
      <c r="F488" s="33" t="s">
        <v>1518</v>
      </c>
      <c r="G488" s="33" t="s">
        <v>1732</v>
      </c>
      <c r="H488" s="33" t="s">
        <v>1518</v>
      </c>
    </row>
    <row r="489" spans="1:8" x14ac:dyDescent="0.25">
      <c r="A489" s="32">
        <v>33060463716</v>
      </c>
      <c r="B489" s="33" t="s">
        <v>1754</v>
      </c>
      <c r="C489" s="33" t="s">
        <v>1701</v>
      </c>
      <c r="D489" s="33" t="s">
        <v>1673</v>
      </c>
      <c r="E489" s="33" t="s">
        <v>1755</v>
      </c>
      <c r="F489" s="33" t="s">
        <v>1383</v>
      </c>
      <c r="G489" s="33" t="s">
        <v>1756</v>
      </c>
      <c r="H489" s="33" t="s">
        <v>1383</v>
      </c>
    </row>
    <row r="490" spans="1:8" x14ac:dyDescent="0.25">
      <c r="A490" s="32">
        <v>33060464527</v>
      </c>
      <c r="B490" s="33" t="s">
        <v>1754</v>
      </c>
      <c r="C490" s="33" t="s">
        <v>1701</v>
      </c>
      <c r="D490" s="33" t="s">
        <v>1682</v>
      </c>
      <c r="E490" s="33" t="s">
        <v>1755</v>
      </c>
      <c r="F490" s="33" t="s">
        <v>2282</v>
      </c>
      <c r="G490" s="33" t="s">
        <v>1732</v>
      </c>
      <c r="H490" s="33" t="s">
        <v>2282</v>
      </c>
    </row>
    <row r="491" spans="1:8" x14ac:dyDescent="0.25">
      <c r="A491" s="32">
        <v>33060464528</v>
      </c>
      <c r="B491" s="33" t="s">
        <v>1754</v>
      </c>
      <c r="C491" s="33" t="s">
        <v>1701</v>
      </c>
      <c r="D491" s="33" t="s">
        <v>1682</v>
      </c>
      <c r="E491" s="33" t="s">
        <v>1755</v>
      </c>
      <c r="F491" s="33" t="s">
        <v>2281</v>
      </c>
      <c r="G491" s="33" t="s">
        <v>1732</v>
      </c>
      <c r="H491" s="33" t="s">
        <v>2281</v>
      </c>
    </row>
    <row r="492" spans="1:8" x14ac:dyDescent="0.25">
      <c r="A492" s="32">
        <v>33060464529</v>
      </c>
      <c r="B492" s="33" t="s">
        <v>1754</v>
      </c>
      <c r="C492" s="33" t="s">
        <v>1701</v>
      </c>
      <c r="D492" s="33" t="s">
        <v>1682</v>
      </c>
      <c r="E492" s="33" t="s">
        <v>1755</v>
      </c>
      <c r="F492" s="33" t="s">
        <v>2283</v>
      </c>
      <c r="G492" s="33" t="s">
        <v>1732</v>
      </c>
      <c r="H492" s="33" t="s">
        <v>2283</v>
      </c>
    </row>
    <row r="493" spans="1:8" x14ac:dyDescent="0.25">
      <c r="A493" s="32">
        <v>33060464530</v>
      </c>
      <c r="B493" s="33" t="s">
        <v>1754</v>
      </c>
      <c r="C493" s="33" t="s">
        <v>1701</v>
      </c>
      <c r="D493" s="33" t="s">
        <v>1682</v>
      </c>
      <c r="E493" s="33" t="s">
        <v>1755</v>
      </c>
      <c r="F493" s="33" t="s">
        <v>2284</v>
      </c>
      <c r="G493" s="33" t="s">
        <v>1732</v>
      </c>
      <c r="H493" s="33" t="s">
        <v>2284</v>
      </c>
    </row>
    <row r="494" spans="1:8" x14ac:dyDescent="0.25">
      <c r="A494" s="32">
        <v>33060464531</v>
      </c>
      <c r="B494" s="33" t="s">
        <v>1754</v>
      </c>
      <c r="C494" s="33" t="s">
        <v>1701</v>
      </c>
      <c r="D494" s="33" t="s">
        <v>1682</v>
      </c>
      <c r="E494" s="33" t="s">
        <v>1755</v>
      </c>
      <c r="F494" s="33" t="s">
        <v>2285</v>
      </c>
      <c r="G494" s="33" t="s">
        <v>1732</v>
      </c>
      <c r="H494" s="33" t="s">
        <v>2285</v>
      </c>
    </row>
    <row r="495" spans="1:8" x14ac:dyDescent="0.25">
      <c r="A495" s="32">
        <v>33060464532</v>
      </c>
      <c r="B495" s="33" t="s">
        <v>1754</v>
      </c>
      <c r="C495" s="33" t="s">
        <v>1701</v>
      </c>
      <c r="D495" s="33" t="s">
        <v>1682</v>
      </c>
      <c r="E495" s="33" t="s">
        <v>1755</v>
      </c>
      <c r="F495" s="33" t="s">
        <v>2286</v>
      </c>
      <c r="G495" s="33" t="s">
        <v>1732</v>
      </c>
      <c r="H495" s="33" t="s">
        <v>2286</v>
      </c>
    </row>
    <row r="496" spans="1:8" x14ac:dyDescent="0.25">
      <c r="A496" s="32">
        <v>33060464533</v>
      </c>
      <c r="B496" s="33" t="s">
        <v>1754</v>
      </c>
      <c r="C496" s="33" t="s">
        <v>1701</v>
      </c>
      <c r="D496" s="33" t="s">
        <v>1682</v>
      </c>
      <c r="E496" s="33" t="s">
        <v>1755</v>
      </c>
      <c r="F496" s="33" t="s">
        <v>2280</v>
      </c>
      <c r="G496" s="33" t="s">
        <v>1732</v>
      </c>
      <c r="H496" s="33" t="s">
        <v>2280</v>
      </c>
    </row>
    <row r="497" spans="1:8" x14ac:dyDescent="0.25">
      <c r="A497" s="32">
        <v>33060464534</v>
      </c>
      <c r="B497" s="33" t="s">
        <v>1754</v>
      </c>
      <c r="C497" s="33" t="s">
        <v>1701</v>
      </c>
      <c r="D497" s="33" t="s">
        <v>1682</v>
      </c>
      <c r="E497" s="33" t="s">
        <v>1755</v>
      </c>
      <c r="F497" s="33" t="s">
        <v>2287</v>
      </c>
      <c r="G497" s="33" t="s">
        <v>1732</v>
      </c>
      <c r="H497" s="33" t="s">
        <v>2287</v>
      </c>
    </row>
    <row r="498" spans="1:8" x14ac:dyDescent="0.25">
      <c r="A498" s="32">
        <v>33060464535</v>
      </c>
      <c r="B498" s="33" t="s">
        <v>1754</v>
      </c>
      <c r="C498" s="33" t="s">
        <v>1701</v>
      </c>
      <c r="D498" s="33" t="s">
        <v>1673</v>
      </c>
      <c r="E498" s="33" t="s">
        <v>1755</v>
      </c>
      <c r="F498" s="33" t="s">
        <v>2292</v>
      </c>
      <c r="G498" s="33" t="s">
        <v>1732</v>
      </c>
      <c r="H498" s="33" t="s">
        <v>2292</v>
      </c>
    </row>
    <row r="499" spans="1:8" x14ac:dyDescent="0.25">
      <c r="A499" s="32">
        <v>33060464536</v>
      </c>
      <c r="B499" s="33" t="s">
        <v>1754</v>
      </c>
      <c r="C499" s="33" t="s">
        <v>1701</v>
      </c>
      <c r="D499" s="33" t="s">
        <v>1673</v>
      </c>
      <c r="E499" s="33" t="s">
        <v>1755</v>
      </c>
      <c r="F499" s="33" t="s">
        <v>2293</v>
      </c>
      <c r="G499" s="33" t="s">
        <v>1732</v>
      </c>
      <c r="H499" s="33" t="s">
        <v>2293</v>
      </c>
    </row>
    <row r="500" spans="1:8" x14ac:dyDescent="0.25">
      <c r="A500" s="32">
        <v>33060464537</v>
      </c>
      <c r="B500" s="33" t="s">
        <v>1754</v>
      </c>
      <c r="C500" s="33" t="s">
        <v>1701</v>
      </c>
      <c r="D500" s="33" t="s">
        <v>1673</v>
      </c>
      <c r="E500" s="33" t="s">
        <v>1755</v>
      </c>
      <c r="F500" s="33" t="s">
        <v>2290</v>
      </c>
      <c r="G500" s="33" t="s">
        <v>1732</v>
      </c>
      <c r="H500" s="33" t="s">
        <v>2290</v>
      </c>
    </row>
    <row r="501" spans="1:8" x14ac:dyDescent="0.25">
      <c r="A501" s="32">
        <v>33060464538</v>
      </c>
      <c r="B501" s="33" t="s">
        <v>1754</v>
      </c>
      <c r="C501" s="33" t="s">
        <v>1701</v>
      </c>
      <c r="D501" s="33" t="s">
        <v>1673</v>
      </c>
      <c r="E501" s="33" t="s">
        <v>1755</v>
      </c>
      <c r="F501" s="33" t="s">
        <v>2446</v>
      </c>
      <c r="G501" s="33" t="s">
        <v>1732</v>
      </c>
      <c r="H501" s="33" t="s">
        <v>2446</v>
      </c>
    </row>
    <row r="502" spans="1:8" x14ac:dyDescent="0.25">
      <c r="A502" s="32">
        <v>33060464539</v>
      </c>
      <c r="B502" s="33" t="s">
        <v>1754</v>
      </c>
      <c r="C502" s="33" t="s">
        <v>1701</v>
      </c>
      <c r="D502" s="33" t="s">
        <v>1683</v>
      </c>
      <c r="E502" s="33" t="s">
        <v>1755</v>
      </c>
      <c r="F502" s="33" t="s">
        <v>2600</v>
      </c>
      <c r="G502" s="33" t="s">
        <v>1732</v>
      </c>
      <c r="H502" s="33" t="s">
        <v>2600</v>
      </c>
    </row>
    <row r="503" spans="1:8" x14ac:dyDescent="0.25">
      <c r="A503" s="32">
        <v>33060464540</v>
      </c>
      <c r="B503" s="33" t="s">
        <v>1754</v>
      </c>
      <c r="C503" s="33" t="s">
        <v>1701</v>
      </c>
      <c r="D503" s="33" t="s">
        <v>1683</v>
      </c>
      <c r="E503" s="33" t="s">
        <v>1755</v>
      </c>
      <c r="F503" s="33" t="s">
        <v>2601</v>
      </c>
      <c r="G503" s="33" t="s">
        <v>1732</v>
      </c>
      <c r="H503" s="33" t="s">
        <v>2601</v>
      </c>
    </row>
    <row r="504" spans="1:8" x14ac:dyDescent="0.25">
      <c r="A504" s="32">
        <v>33060464541</v>
      </c>
      <c r="B504" s="33" t="s">
        <v>1754</v>
      </c>
      <c r="C504" s="33" t="s">
        <v>1701</v>
      </c>
      <c r="D504" s="33" t="s">
        <v>1674</v>
      </c>
      <c r="E504" s="33" t="s">
        <v>1755</v>
      </c>
      <c r="F504" s="33" t="s">
        <v>2616</v>
      </c>
      <c r="G504" s="33" t="s">
        <v>1732</v>
      </c>
      <c r="H504" s="33" t="s">
        <v>2616</v>
      </c>
    </row>
    <row r="505" spans="1:8" x14ac:dyDescent="0.25">
      <c r="A505" s="32">
        <v>33060464542</v>
      </c>
      <c r="B505" s="33" t="s">
        <v>1754</v>
      </c>
      <c r="C505" s="33" t="s">
        <v>1701</v>
      </c>
      <c r="D505" s="33" t="s">
        <v>1674</v>
      </c>
      <c r="E505" s="33" t="s">
        <v>1755</v>
      </c>
      <c r="F505" s="33" t="s">
        <v>2614</v>
      </c>
      <c r="G505" s="33" t="s">
        <v>1732</v>
      </c>
      <c r="H505" s="33" t="s">
        <v>2614</v>
      </c>
    </row>
    <row r="506" spans="1:8" x14ac:dyDescent="0.25">
      <c r="A506" s="32">
        <v>33060464543</v>
      </c>
      <c r="B506" s="33" t="s">
        <v>1754</v>
      </c>
      <c r="C506" s="33" t="s">
        <v>1701</v>
      </c>
      <c r="D506" s="33" t="s">
        <v>1674</v>
      </c>
      <c r="E506" s="33" t="s">
        <v>1755</v>
      </c>
      <c r="F506" s="33" t="s">
        <v>2613</v>
      </c>
      <c r="G506" s="33" t="s">
        <v>1732</v>
      </c>
      <c r="H506" s="33" t="s">
        <v>2613</v>
      </c>
    </row>
    <row r="507" spans="1:8" x14ac:dyDescent="0.25">
      <c r="A507" s="32">
        <v>33060464544</v>
      </c>
      <c r="B507" s="33" t="s">
        <v>1754</v>
      </c>
      <c r="C507" s="33" t="s">
        <v>1701</v>
      </c>
      <c r="D507" s="33" t="s">
        <v>1674</v>
      </c>
      <c r="E507" s="33" t="s">
        <v>1755</v>
      </c>
      <c r="F507" s="33" t="s">
        <v>2615</v>
      </c>
      <c r="G507" s="33" t="s">
        <v>1732</v>
      </c>
      <c r="H507" s="33" t="s">
        <v>2615</v>
      </c>
    </row>
    <row r="508" spans="1:8" x14ac:dyDescent="0.25">
      <c r="A508" s="32">
        <v>33060464545</v>
      </c>
      <c r="B508" s="33" t="s">
        <v>1754</v>
      </c>
      <c r="C508" s="33" t="s">
        <v>1701</v>
      </c>
      <c r="D508" s="33" t="s">
        <v>1674</v>
      </c>
      <c r="E508" s="33" t="s">
        <v>1755</v>
      </c>
      <c r="F508" s="33" t="s">
        <v>2370</v>
      </c>
      <c r="G508" s="33" t="s">
        <v>1732</v>
      </c>
      <c r="H508" s="33" t="s">
        <v>2370</v>
      </c>
    </row>
    <row r="509" spans="1:8" x14ac:dyDescent="0.25">
      <c r="A509" s="32">
        <v>33060464546</v>
      </c>
      <c r="B509" s="33" t="s">
        <v>1754</v>
      </c>
      <c r="C509" s="33" t="s">
        <v>1701</v>
      </c>
      <c r="D509" s="33" t="s">
        <v>1674</v>
      </c>
      <c r="E509" s="33" t="s">
        <v>1755</v>
      </c>
      <c r="F509" s="33" t="s">
        <v>2379</v>
      </c>
      <c r="G509" s="33" t="s">
        <v>1732</v>
      </c>
      <c r="H509" s="33" t="s">
        <v>2379</v>
      </c>
    </row>
    <row r="510" spans="1:8" x14ac:dyDescent="0.25">
      <c r="A510" s="32">
        <v>33060464547</v>
      </c>
      <c r="B510" s="33" t="s">
        <v>1754</v>
      </c>
      <c r="C510" s="33" t="s">
        <v>1701</v>
      </c>
      <c r="D510" s="33" t="s">
        <v>1674</v>
      </c>
      <c r="E510" s="33" t="s">
        <v>1755</v>
      </c>
      <c r="F510" s="33" t="s">
        <v>2378</v>
      </c>
      <c r="G510" s="33" t="s">
        <v>1732</v>
      </c>
      <c r="H510" s="33" t="s">
        <v>2378</v>
      </c>
    </row>
    <row r="511" spans="1:8" x14ac:dyDescent="0.25">
      <c r="A511" s="32">
        <v>33060464548</v>
      </c>
      <c r="B511" s="33" t="s">
        <v>1754</v>
      </c>
      <c r="C511" s="33" t="s">
        <v>1701</v>
      </c>
      <c r="D511" s="33" t="s">
        <v>1682</v>
      </c>
      <c r="E511" s="33" t="s">
        <v>1755</v>
      </c>
      <c r="F511" s="33" t="s">
        <v>2386</v>
      </c>
      <c r="G511" s="33" t="s">
        <v>1732</v>
      </c>
      <c r="H511" s="33" t="s">
        <v>2386</v>
      </c>
    </row>
    <row r="512" spans="1:8" x14ac:dyDescent="0.25">
      <c r="A512" s="32">
        <v>33060464549</v>
      </c>
      <c r="B512" s="33" t="s">
        <v>1754</v>
      </c>
      <c r="C512" s="33" t="s">
        <v>1701</v>
      </c>
      <c r="D512" s="33" t="s">
        <v>1682</v>
      </c>
      <c r="E512" s="33" t="s">
        <v>1755</v>
      </c>
      <c r="F512" s="33" t="s">
        <v>2387</v>
      </c>
      <c r="G512" s="33" t="s">
        <v>1732</v>
      </c>
      <c r="H512" s="33" t="s">
        <v>2387</v>
      </c>
    </row>
    <row r="513" spans="1:8" x14ac:dyDescent="0.25">
      <c r="A513" s="32">
        <v>33060464550</v>
      </c>
      <c r="B513" s="33" t="s">
        <v>1754</v>
      </c>
      <c r="C513" s="33" t="s">
        <v>1701</v>
      </c>
      <c r="D513" s="33" t="s">
        <v>1682</v>
      </c>
      <c r="E513" s="33" t="s">
        <v>1755</v>
      </c>
      <c r="F513" s="33" t="s">
        <v>2396</v>
      </c>
      <c r="G513" s="33" t="s">
        <v>1732</v>
      </c>
      <c r="H513" s="33" t="s">
        <v>2396</v>
      </c>
    </row>
    <row r="514" spans="1:8" x14ac:dyDescent="0.25">
      <c r="A514" s="32">
        <v>33060464551</v>
      </c>
      <c r="B514" s="33" t="s">
        <v>1754</v>
      </c>
      <c r="C514" s="33" t="s">
        <v>1701</v>
      </c>
      <c r="D514" s="33" t="s">
        <v>1682</v>
      </c>
      <c r="E514" s="33" t="s">
        <v>1755</v>
      </c>
      <c r="F514" s="33" t="s">
        <v>2392</v>
      </c>
      <c r="G514" s="33" t="s">
        <v>1732</v>
      </c>
      <c r="H514" s="33" t="s">
        <v>2392</v>
      </c>
    </row>
    <row r="515" spans="1:8" x14ac:dyDescent="0.25">
      <c r="A515" s="32">
        <v>33060464552</v>
      </c>
      <c r="B515" s="33" t="s">
        <v>1754</v>
      </c>
      <c r="C515" s="33" t="s">
        <v>1701</v>
      </c>
      <c r="D515" s="33" t="s">
        <v>1682</v>
      </c>
      <c r="E515" s="33" t="s">
        <v>1755</v>
      </c>
      <c r="F515" s="33" t="s">
        <v>2393</v>
      </c>
      <c r="G515" s="33" t="s">
        <v>1732</v>
      </c>
      <c r="H515" s="33" t="s">
        <v>2393</v>
      </c>
    </row>
    <row r="516" spans="1:8" x14ac:dyDescent="0.25">
      <c r="A516" s="32">
        <v>33060464553</v>
      </c>
      <c r="B516" s="33" t="s">
        <v>1754</v>
      </c>
      <c r="C516" s="33" t="s">
        <v>1701</v>
      </c>
      <c r="D516" s="33" t="s">
        <v>1682</v>
      </c>
      <c r="E516" s="33" t="s">
        <v>1755</v>
      </c>
      <c r="F516" s="33" t="s">
        <v>2395</v>
      </c>
      <c r="G516" s="33" t="s">
        <v>1732</v>
      </c>
      <c r="H516" s="33" t="s">
        <v>2395</v>
      </c>
    </row>
    <row r="517" spans="1:8" x14ac:dyDescent="0.25">
      <c r="A517" s="32">
        <v>33060464554</v>
      </c>
      <c r="B517" s="33" t="s">
        <v>1754</v>
      </c>
      <c r="C517" s="33" t="s">
        <v>1701</v>
      </c>
      <c r="D517" s="33" t="s">
        <v>1682</v>
      </c>
      <c r="E517" s="33" t="s">
        <v>1755</v>
      </c>
      <c r="F517" s="33" t="s">
        <v>2390</v>
      </c>
      <c r="G517" s="33" t="s">
        <v>1732</v>
      </c>
      <c r="H517" s="33" t="s">
        <v>2390</v>
      </c>
    </row>
    <row r="518" spans="1:8" x14ac:dyDescent="0.25">
      <c r="A518" s="32">
        <v>33060464555</v>
      </c>
      <c r="B518" s="33" t="s">
        <v>1754</v>
      </c>
      <c r="C518" s="33" t="s">
        <v>1701</v>
      </c>
      <c r="D518" s="33" t="s">
        <v>1682</v>
      </c>
      <c r="E518" s="33" t="s">
        <v>1755</v>
      </c>
      <c r="F518" s="33" t="s">
        <v>2389</v>
      </c>
      <c r="G518" s="33" t="s">
        <v>1732</v>
      </c>
      <c r="H518" s="33" t="s">
        <v>2389</v>
      </c>
    </row>
    <row r="519" spans="1:8" x14ac:dyDescent="0.25">
      <c r="A519" s="32">
        <v>33060464556</v>
      </c>
      <c r="B519" s="33" t="s">
        <v>1754</v>
      </c>
      <c r="C519" s="33" t="s">
        <v>1701</v>
      </c>
      <c r="D519" s="33" t="s">
        <v>1682</v>
      </c>
      <c r="E519" s="33" t="s">
        <v>1755</v>
      </c>
      <c r="F519" s="33" t="s">
        <v>2391</v>
      </c>
      <c r="G519" s="33" t="s">
        <v>1732</v>
      </c>
      <c r="H519" s="33" t="s">
        <v>2391</v>
      </c>
    </row>
    <row r="520" spans="1:8" x14ac:dyDescent="0.25">
      <c r="A520" s="32">
        <v>33060464557</v>
      </c>
      <c r="B520" s="33" t="s">
        <v>1754</v>
      </c>
      <c r="C520" s="33" t="s">
        <v>1701</v>
      </c>
      <c r="D520" s="33" t="s">
        <v>1674</v>
      </c>
      <c r="E520" s="33" t="s">
        <v>1755</v>
      </c>
      <c r="F520" s="33" t="s">
        <v>2380</v>
      </c>
      <c r="G520" s="33" t="s">
        <v>1732</v>
      </c>
      <c r="H520" s="33" t="s">
        <v>2380</v>
      </c>
    </row>
    <row r="521" spans="1:8" x14ac:dyDescent="0.25">
      <c r="A521" s="32">
        <v>33060464558</v>
      </c>
      <c r="B521" s="33" t="s">
        <v>1754</v>
      </c>
      <c r="C521" s="33" t="s">
        <v>1701</v>
      </c>
      <c r="D521" s="33" t="s">
        <v>1673</v>
      </c>
      <c r="E521" s="33" t="s">
        <v>1755</v>
      </c>
      <c r="F521" s="33" t="s">
        <v>2337</v>
      </c>
      <c r="G521" s="33" t="s">
        <v>1732</v>
      </c>
      <c r="H521" s="33" t="s">
        <v>2337</v>
      </c>
    </row>
    <row r="522" spans="1:8" x14ac:dyDescent="0.25">
      <c r="A522" s="32">
        <v>33060464559</v>
      </c>
      <c r="B522" s="33" t="s">
        <v>1754</v>
      </c>
      <c r="C522" s="33" t="s">
        <v>1701</v>
      </c>
      <c r="D522" s="33" t="s">
        <v>1673</v>
      </c>
      <c r="E522" s="33" t="s">
        <v>1755</v>
      </c>
      <c r="F522" s="33" t="s">
        <v>2447</v>
      </c>
      <c r="G522" s="33" t="s">
        <v>1732</v>
      </c>
      <c r="H522" s="33" t="s">
        <v>2447</v>
      </c>
    </row>
    <row r="523" spans="1:8" x14ac:dyDescent="0.25">
      <c r="A523" s="32">
        <v>33060464560</v>
      </c>
      <c r="B523" s="33" t="s">
        <v>1754</v>
      </c>
      <c r="C523" s="33" t="s">
        <v>1701</v>
      </c>
      <c r="D523" s="33" t="s">
        <v>1673</v>
      </c>
      <c r="E523" s="33" t="s">
        <v>1755</v>
      </c>
      <c r="F523" s="33" t="s">
        <v>2448</v>
      </c>
      <c r="G523" s="33" t="s">
        <v>1732</v>
      </c>
      <c r="H523" s="33" t="s">
        <v>2448</v>
      </c>
    </row>
    <row r="524" spans="1:8" x14ac:dyDescent="0.25">
      <c r="A524" s="32">
        <v>33060464561</v>
      </c>
      <c r="B524" s="33" t="s">
        <v>1754</v>
      </c>
      <c r="C524" s="33" t="s">
        <v>1701</v>
      </c>
      <c r="D524" s="33" t="s">
        <v>1673</v>
      </c>
      <c r="E524" s="33" t="s">
        <v>1755</v>
      </c>
      <c r="F524" s="33" t="s">
        <v>2329</v>
      </c>
      <c r="G524" s="33" t="s">
        <v>1732</v>
      </c>
      <c r="H524" s="33" t="s">
        <v>2329</v>
      </c>
    </row>
    <row r="525" spans="1:8" x14ac:dyDescent="0.25">
      <c r="A525" s="32">
        <v>33060464562</v>
      </c>
      <c r="B525" s="33" t="s">
        <v>1754</v>
      </c>
      <c r="C525" s="33" t="s">
        <v>1701</v>
      </c>
      <c r="D525" s="33" t="s">
        <v>1673</v>
      </c>
      <c r="E525" s="33" t="s">
        <v>1755</v>
      </c>
      <c r="F525" s="33" t="s">
        <v>2359</v>
      </c>
      <c r="G525" s="33" t="s">
        <v>1732</v>
      </c>
      <c r="H525" s="33" t="s">
        <v>2359</v>
      </c>
    </row>
    <row r="526" spans="1:8" x14ac:dyDescent="0.25">
      <c r="A526" s="32">
        <v>33060464563</v>
      </c>
      <c r="B526" s="33" t="s">
        <v>1754</v>
      </c>
      <c r="C526" s="33" t="s">
        <v>1701</v>
      </c>
      <c r="D526" s="33" t="s">
        <v>1673</v>
      </c>
      <c r="E526" s="33" t="s">
        <v>1755</v>
      </c>
      <c r="F526" s="33" t="s">
        <v>2305</v>
      </c>
      <c r="G526" s="33" t="s">
        <v>1732</v>
      </c>
      <c r="H526" s="33" t="s">
        <v>2305</v>
      </c>
    </row>
    <row r="527" spans="1:8" x14ac:dyDescent="0.25">
      <c r="A527" s="32">
        <v>33060464564</v>
      </c>
      <c r="B527" s="33" t="s">
        <v>1754</v>
      </c>
      <c r="C527" s="33" t="s">
        <v>1701</v>
      </c>
      <c r="D527" s="33" t="s">
        <v>1673</v>
      </c>
      <c r="E527" s="33" t="s">
        <v>1755</v>
      </c>
      <c r="F527" s="33" t="s">
        <v>2304</v>
      </c>
      <c r="G527" s="33" t="s">
        <v>1732</v>
      </c>
      <c r="H527" s="33" t="s">
        <v>2304</v>
      </c>
    </row>
    <row r="528" spans="1:8" x14ac:dyDescent="0.25">
      <c r="A528" s="32">
        <v>33060464565</v>
      </c>
      <c r="B528" s="33" t="s">
        <v>1754</v>
      </c>
      <c r="C528" s="33" t="s">
        <v>1701</v>
      </c>
      <c r="D528" s="33" t="s">
        <v>1673</v>
      </c>
      <c r="E528" s="33" t="s">
        <v>1755</v>
      </c>
      <c r="F528" s="33" t="s">
        <v>2299</v>
      </c>
      <c r="G528" s="33" t="s">
        <v>1732</v>
      </c>
      <c r="H528" s="33" t="s">
        <v>2299</v>
      </c>
    </row>
    <row r="529" spans="1:8" x14ac:dyDescent="0.25">
      <c r="A529" s="32">
        <v>33060464566</v>
      </c>
      <c r="B529" s="33" t="s">
        <v>1754</v>
      </c>
      <c r="C529" s="33" t="s">
        <v>1701</v>
      </c>
      <c r="D529" s="33" t="s">
        <v>1674</v>
      </c>
      <c r="E529" s="33" t="s">
        <v>1755</v>
      </c>
      <c r="F529" s="33" t="s">
        <v>2385</v>
      </c>
      <c r="G529" s="33" t="s">
        <v>1732</v>
      </c>
      <c r="H529" s="33" t="s">
        <v>2385</v>
      </c>
    </row>
    <row r="530" spans="1:8" x14ac:dyDescent="0.25">
      <c r="A530" s="32">
        <v>33060464567</v>
      </c>
      <c r="B530" s="33" t="s">
        <v>1754</v>
      </c>
      <c r="C530" s="33" t="s">
        <v>1701</v>
      </c>
      <c r="D530" s="33" t="s">
        <v>1673</v>
      </c>
      <c r="E530" s="33" t="s">
        <v>1755</v>
      </c>
      <c r="F530" s="33" t="s">
        <v>2438</v>
      </c>
      <c r="G530" s="33" t="s">
        <v>1732</v>
      </c>
      <c r="H530" s="33" t="s">
        <v>2438</v>
      </c>
    </row>
    <row r="531" spans="1:8" x14ac:dyDescent="0.25">
      <c r="A531" s="32">
        <v>33060464568</v>
      </c>
      <c r="B531" s="33" t="s">
        <v>1754</v>
      </c>
      <c r="C531" s="33" t="s">
        <v>1701</v>
      </c>
      <c r="D531" s="33" t="s">
        <v>1673</v>
      </c>
      <c r="E531" s="33" t="s">
        <v>1755</v>
      </c>
      <c r="F531" s="33" t="s">
        <v>2422</v>
      </c>
      <c r="G531" s="33" t="s">
        <v>1732</v>
      </c>
      <c r="H531" s="33" t="s">
        <v>2422</v>
      </c>
    </row>
    <row r="532" spans="1:8" x14ac:dyDescent="0.25">
      <c r="A532" s="32">
        <v>33060464569</v>
      </c>
      <c r="B532" s="33" t="s">
        <v>1754</v>
      </c>
      <c r="C532" s="33" t="s">
        <v>1701</v>
      </c>
      <c r="D532" s="33" t="s">
        <v>1673</v>
      </c>
      <c r="E532" s="33" t="s">
        <v>1755</v>
      </c>
      <c r="F532" s="33" t="s">
        <v>2418</v>
      </c>
      <c r="G532" s="33" t="s">
        <v>1732</v>
      </c>
      <c r="H532" s="33" t="s">
        <v>2418</v>
      </c>
    </row>
    <row r="533" spans="1:8" x14ac:dyDescent="0.25">
      <c r="A533" s="32">
        <v>33060464570</v>
      </c>
      <c r="B533" s="33" t="s">
        <v>1754</v>
      </c>
      <c r="C533" s="33" t="s">
        <v>1701</v>
      </c>
      <c r="D533" s="33" t="s">
        <v>1673</v>
      </c>
      <c r="E533" s="33" t="s">
        <v>1755</v>
      </c>
      <c r="F533" s="33" t="s">
        <v>2425</v>
      </c>
      <c r="G533" s="33" t="s">
        <v>1732</v>
      </c>
      <c r="H533" s="33" t="s">
        <v>2425</v>
      </c>
    </row>
    <row r="534" spans="1:8" x14ac:dyDescent="0.25">
      <c r="A534" s="32">
        <v>33060464571</v>
      </c>
      <c r="B534" s="33" t="s">
        <v>1754</v>
      </c>
      <c r="C534" s="33" t="s">
        <v>1701</v>
      </c>
      <c r="D534" s="33" t="s">
        <v>1673</v>
      </c>
      <c r="E534" s="33" t="s">
        <v>1755</v>
      </c>
      <c r="F534" s="33" t="s">
        <v>2426</v>
      </c>
      <c r="G534" s="33" t="s">
        <v>1732</v>
      </c>
      <c r="H534" s="33" t="s">
        <v>2426</v>
      </c>
    </row>
    <row r="535" spans="1:8" x14ac:dyDescent="0.25">
      <c r="A535" s="32">
        <v>33060464572</v>
      </c>
      <c r="B535" s="33" t="s">
        <v>1754</v>
      </c>
      <c r="C535" s="33" t="s">
        <v>1701</v>
      </c>
      <c r="D535" s="33" t="s">
        <v>1673</v>
      </c>
      <c r="E535" s="33" t="s">
        <v>1755</v>
      </c>
      <c r="F535" s="33" t="s">
        <v>2421</v>
      </c>
      <c r="G535" s="33" t="s">
        <v>1732</v>
      </c>
      <c r="H535" s="33" t="s">
        <v>2421</v>
      </c>
    </row>
    <row r="536" spans="1:8" x14ac:dyDescent="0.25">
      <c r="A536" s="32">
        <v>33060464573</v>
      </c>
      <c r="B536" s="33" t="s">
        <v>1754</v>
      </c>
      <c r="C536" s="33" t="s">
        <v>1701</v>
      </c>
      <c r="D536" s="33" t="s">
        <v>1673</v>
      </c>
      <c r="E536" s="33" t="s">
        <v>1755</v>
      </c>
      <c r="F536" s="33" t="s">
        <v>2419</v>
      </c>
      <c r="G536" s="33" t="s">
        <v>1732</v>
      </c>
      <c r="H536" s="33" t="s">
        <v>2419</v>
      </c>
    </row>
    <row r="537" spans="1:8" x14ac:dyDescent="0.25">
      <c r="A537" s="32">
        <v>33060464574</v>
      </c>
      <c r="B537" s="33" t="s">
        <v>1754</v>
      </c>
      <c r="C537" s="33" t="s">
        <v>1701</v>
      </c>
      <c r="D537" s="33" t="s">
        <v>1673</v>
      </c>
      <c r="E537" s="33" t="s">
        <v>1755</v>
      </c>
      <c r="F537" s="33" t="s">
        <v>2439</v>
      </c>
      <c r="G537" s="33" t="s">
        <v>1732</v>
      </c>
      <c r="H537" s="33" t="s">
        <v>2439</v>
      </c>
    </row>
    <row r="538" spans="1:8" x14ac:dyDescent="0.25">
      <c r="A538" s="32">
        <v>33060464575</v>
      </c>
      <c r="B538" s="33" t="s">
        <v>1754</v>
      </c>
      <c r="C538" s="33" t="s">
        <v>1701</v>
      </c>
      <c r="D538" s="33" t="s">
        <v>1673</v>
      </c>
      <c r="E538" s="33" t="s">
        <v>1755</v>
      </c>
      <c r="F538" s="33" t="s">
        <v>2434</v>
      </c>
      <c r="G538" s="33" t="s">
        <v>1732</v>
      </c>
      <c r="H538" s="33" t="s">
        <v>2434</v>
      </c>
    </row>
    <row r="539" spans="1:8" x14ac:dyDescent="0.25">
      <c r="A539" s="32">
        <v>33060464576</v>
      </c>
      <c r="B539" s="33" t="s">
        <v>1754</v>
      </c>
      <c r="C539" s="33" t="s">
        <v>1701</v>
      </c>
      <c r="D539" s="33" t="s">
        <v>1673</v>
      </c>
      <c r="E539" s="33" t="s">
        <v>1755</v>
      </c>
      <c r="F539" s="33" t="s">
        <v>2429</v>
      </c>
      <c r="G539" s="33" t="s">
        <v>1732</v>
      </c>
      <c r="H539" s="33" t="s">
        <v>2429</v>
      </c>
    </row>
    <row r="540" spans="1:8" x14ac:dyDescent="0.25">
      <c r="A540" s="32">
        <v>33060464577</v>
      </c>
      <c r="B540" s="33" t="s">
        <v>1754</v>
      </c>
      <c r="C540" s="33" t="s">
        <v>1701</v>
      </c>
      <c r="D540" s="33" t="s">
        <v>1673</v>
      </c>
      <c r="E540" s="33" t="s">
        <v>1755</v>
      </c>
      <c r="F540" s="33" t="s">
        <v>2435</v>
      </c>
      <c r="G540" s="33" t="s">
        <v>1732</v>
      </c>
      <c r="H540" s="33" t="s">
        <v>2435</v>
      </c>
    </row>
    <row r="541" spans="1:8" x14ac:dyDescent="0.25">
      <c r="A541" s="32">
        <v>33060464578</v>
      </c>
      <c r="B541" s="33" t="s">
        <v>1754</v>
      </c>
      <c r="C541" s="33" t="s">
        <v>1701</v>
      </c>
      <c r="D541" s="33" t="s">
        <v>1673</v>
      </c>
      <c r="E541" s="33" t="s">
        <v>1755</v>
      </c>
      <c r="F541" s="33" t="s">
        <v>2436</v>
      </c>
      <c r="G541" s="33" t="s">
        <v>1732</v>
      </c>
      <c r="H541" s="33" t="s">
        <v>2436</v>
      </c>
    </row>
    <row r="542" spans="1:8" x14ac:dyDescent="0.25">
      <c r="A542" s="32">
        <v>33060464579</v>
      </c>
      <c r="B542" s="33" t="s">
        <v>1754</v>
      </c>
      <c r="C542" s="33" t="s">
        <v>1701</v>
      </c>
      <c r="D542" s="33" t="s">
        <v>1673</v>
      </c>
      <c r="E542" s="33" t="s">
        <v>1755</v>
      </c>
      <c r="F542" s="33" t="s">
        <v>2437</v>
      </c>
      <c r="G542" s="33" t="s">
        <v>1732</v>
      </c>
      <c r="H542" s="33" t="s">
        <v>2437</v>
      </c>
    </row>
    <row r="543" spans="1:8" x14ac:dyDescent="0.25">
      <c r="A543" s="32">
        <v>33060464580</v>
      </c>
      <c r="B543" s="33" t="s">
        <v>1754</v>
      </c>
      <c r="C543" s="33" t="s">
        <v>1701</v>
      </c>
      <c r="D543" s="33" t="s">
        <v>1673</v>
      </c>
      <c r="E543" s="33" t="s">
        <v>1755</v>
      </c>
      <c r="F543" s="33" t="s">
        <v>2420</v>
      </c>
      <c r="G543" s="33" t="s">
        <v>1732</v>
      </c>
      <c r="H543" s="33" t="s">
        <v>2420</v>
      </c>
    </row>
    <row r="544" spans="1:8" x14ac:dyDescent="0.25">
      <c r="A544" s="32">
        <v>33060464581</v>
      </c>
      <c r="B544" s="33" t="s">
        <v>1754</v>
      </c>
      <c r="C544" s="33" t="s">
        <v>1701</v>
      </c>
      <c r="D544" s="33" t="s">
        <v>1673</v>
      </c>
      <c r="E544" s="33" t="s">
        <v>1755</v>
      </c>
      <c r="F544" s="33" t="s">
        <v>2427</v>
      </c>
      <c r="G544" s="33" t="s">
        <v>1732</v>
      </c>
      <c r="H544" s="33" t="s">
        <v>2427</v>
      </c>
    </row>
    <row r="545" spans="1:8" x14ac:dyDescent="0.25">
      <c r="A545" s="32">
        <v>33060464582</v>
      </c>
      <c r="B545" s="33" t="s">
        <v>1754</v>
      </c>
      <c r="C545" s="33" t="s">
        <v>1701</v>
      </c>
      <c r="D545" s="33" t="s">
        <v>1673</v>
      </c>
      <c r="E545" s="33" t="s">
        <v>1755</v>
      </c>
      <c r="F545" s="33" t="s">
        <v>2432</v>
      </c>
      <c r="G545" s="33" t="s">
        <v>1732</v>
      </c>
      <c r="H545" s="33" t="s">
        <v>2432</v>
      </c>
    </row>
    <row r="546" spans="1:8" x14ac:dyDescent="0.25">
      <c r="A546" s="32">
        <v>33060464583</v>
      </c>
      <c r="B546" s="33" t="s">
        <v>1754</v>
      </c>
      <c r="C546" s="33" t="s">
        <v>1701</v>
      </c>
      <c r="D546" s="33" t="s">
        <v>1673</v>
      </c>
      <c r="E546" s="33" t="s">
        <v>1755</v>
      </c>
      <c r="F546" s="33" t="s">
        <v>2428</v>
      </c>
      <c r="G546" s="33" t="s">
        <v>1732</v>
      </c>
      <c r="H546" s="33" t="s">
        <v>2428</v>
      </c>
    </row>
    <row r="547" spans="1:8" x14ac:dyDescent="0.25">
      <c r="A547" s="32">
        <v>33060464584</v>
      </c>
      <c r="B547" s="33" t="s">
        <v>1754</v>
      </c>
      <c r="C547" s="33" t="s">
        <v>1701</v>
      </c>
      <c r="D547" s="33" t="s">
        <v>1673</v>
      </c>
      <c r="E547" s="33" t="s">
        <v>1755</v>
      </c>
      <c r="F547" s="33" t="s">
        <v>2430</v>
      </c>
      <c r="G547" s="33" t="s">
        <v>1732</v>
      </c>
      <c r="H547" s="33" t="s">
        <v>2430</v>
      </c>
    </row>
    <row r="548" spans="1:8" x14ac:dyDescent="0.25">
      <c r="A548" s="32">
        <v>33060464585</v>
      </c>
      <c r="B548" s="33" t="s">
        <v>1754</v>
      </c>
      <c r="C548" s="33" t="s">
        <v>1701</v>
      </c>
      <c r="D548" s="33" t="s">
        <v>1673</v>
      </c>
      <c r="E548" s="33" t="s">
        <v>1755</v>
      </c>
      <c r="F548" s="33" t="s">
        <v>2441</v>
      </c>
      <c r="G548" s="33" t="s">
        <v>1732</v>
      </c>
      <c r="H548" s="33" t="s">
        <v>2441</v>
      </c>
    </row>
    <row r="549" spans="1:8" x14ac:dyDescent="0.25">
      <c r="A549" s="32">
        <v>33060464586</v>
      </c>
      <c r="B549" s="33" t="s">
        <v>1754</v>
      </c>
      <c r="C549" s="33" t="s">
        <v>1701</v>
      </c>
      <c r="D549" s="33" t="s">
        <v>1682</v>
      </c>
      <c r="E549" s="33" t="s">
        <v>1755</v>
      </c>
      <c r="F549" s="33" t="s">
        <v>2388</v>
      </c>
      <c r="G549" s="33" t="s">
        <v>1732</v>
      </c>
      <c r="H549" s="33" t="s">
        <v>2388</v>
      </c>
    </row>
    <row r="550" spans="1:8" x14ac:dyDescent="0.25">
      <c r="A550" s="32">
        <v>33060464587</v>
      </c>
      <c r="B550" s="33" t="s">
        <v>1754</v>
      </c>
      <c r="C550" s="33" t="s">
        <v>1701</v>
      </c>
      <c r="D550" s="33" t="s">
        <v>1673</v>
      </c>
      <c r="E550" s="33" t="s">
        <v>1755</v>
      </c>
      <c r="F550" s="33" t="s">
        <v>2341</v>
      </c>
      <c r="G550" s="33" t="s">
        <v>1732</v>
      </c>
      <c r="H550" s="33" t="s">
        <v>2341</v>
      </c>
    </row>
    <row r="551" spans="1:8" x14ac:dyDescent="0.25">
      <c r="A551" s="32">
        <v>33060464588</v>
      </c>
      <c r="B551" s="33" t="s">
        <v>1754</v>
      </c>
      <c r="C551" s="33" t="s">
        <v>1701</v>
      </c>
      <c r="D551" s="33" t="s">
        <v>1673</v>
      </c>
      <c r="E551" s="33" t="s">
        <v>1755</v>
      </c>
      <c r="F551" s="33" t="s">
        <v>2332</v>
      </c>
      <c r="G551" s="33" t="s">
        <v>1732</v>
      </c>
      <c r="H551" s="33" t="s">
        <v>2332</v>
      </c>
    </row>
    <row r="552" spans="1:8" x14ac:dyDescent="0.25">
      <c r="A552" s="32">
        <v>33060464589</v>
      </c>
      <c r="B552" s="33" t="s">
        <v>1754</v>
      </c>
      <c r="C552" s="33" t="s">
        <v>1701</v>
      </c>
      <c r="D552" s="33" t="s">
        <v>1673</v>
      </c>
      <c r="E552" s="33" t="s">
        <v>1755</v>
      </c>
      <c r="F552" s="33" t="s">
        <v>2308</v>
      </c>
      <c r="G552" s="33" t="s">
        <v>1732</v>
      </c>
      <c r="H552" s="33" t="s">
        <v>2308</v>
      </c>
    </row>
    <row r="553" spans="1:8" x14ac:dyDescent="0.25">
      <c r="A553" s="32">
        <v>33060464590</v>
      </c>
      <c r="B553" s="33" t="s">
        <v>1754</v>
      </c>
      <c r="C553" s="33" t="s">
        <v>1701</v>
      </c>
      <c r="D553" s="33" t="s">
        <v>1673</v>
      </c>
      <c r="E553" s="33" t="s">
        <v>1755</v>
      </c>
      <c r="F553" s="33" t="s">
        <v>2330</v>
      </c>
      <c r="G553" s="33" t="s">
        <v>1732</v>
      </c>
      <c r="H553" s="33" t="s">
        <v>2330</v>
      </c>
    </row>
    <row r="554" spans="1:8" x14ac:dyDescent="0.25">
      <c r="A554" s="32">
        <v>33060464591</v>
      </c>
      <c r="B554" s="33" t="s">
        <v>1754</v>
      </c>
      <c r="C554" s="33" t="s">
        <v>1701</v>
      </c>
      <c r="D554" s="33" t="s">
        <v>1674</v>
      </c>
      <c r="E554" s="33" t="s">
        <v>1755</v>
      </c>
      <c r="F554" s="33" t="s">
        <v>2377</v>
      </c>
      <c r="G554" s="33" t="s">
        <v>1732</v>
      </c>
      <c r="H554" s="33" t="s">
        <v>2377</v>
      </c>
    </row>
    <row r="555" spans="1:8" x14ac:dyDescent="0.25">
      <c r="A555" s="32">
        <v>33060464592</v>
      </c>
      <c r="B555" s="33" t="s">
        <v>1754</v>
      </c>
      <c r="C555" s="33" t="s">
        <v>1701</v>
      </c>
      <c r="D555" s="33" t="s">
        <v>1673</v>
      </c>
      <c r="E555" s="33" t="s">
        <v>1755</v>
      </c>
      <c r="F555" s="33" t="s">
        <v>2328</v>
      </c>
      <c r="G555" s="33" t="s">
        <v>1732</v>
      </c>
      <c r="H555" s="33" t="s">
        <v>2328</v>
      </c>
    </row>
    <row r="556" spans="1:8" x14ac:dyDescent="0.25">
      <c r="A556" s="32">
        <v>33060464593</v>
      </c>
      <c r="B556" s="33" t="s">
        <v>1754</v>
      </c>
      <c r="C556" s="33" t="s">
        <v>1701</v>
      </c>
      <c r="D556" s="33" t="s">
        <v>1673</v>
      </c>
      <c r="E556" s="33" t="s">
        <v>1755</v>
      </c>
      <c r="F556" s="33" t="s">
        <v>2398</v>
      </c>
      <c r="G556" s="33" t="s">
        <v>1732</v>
      </c>
      <c r="H556" s="33" t="s">
        <v>2398</v>
      </c>
    </row>
    <row r="557" spans="1:8" x14ac:dyDescent="0.25">
      <c r="A557" s="32">
        <v>33060464594</v>
      </c>
      <c r="B557" s="33" t="s">
        <v>1754</v>
      </c>
      <c r="C557" s="33" t="s">
        <v>1701</v>
      </c>
      <c r="D557" s="33" t="s">
        <v>1673</v>
      </c>
      <c r="E557" s="33" t="s">
        <v>1755</v>
      </c>
      <c r="F557" s="33" t="s">
        <v>2339</v>
      </c>
      <c r="G557" s="33" t="s">
        <v>1732</v>
      </c>
      <c r="H557" s="33" t="s">
        <v>2339</v>
      </c>
    </row>
    <row r="558" spans="1:8" x14ac:dyDescent="0.25">
      <c r="A558" s="32">
        <v>33060464595</v>
      </c>
      <c r="B558" s="33" t="s">
        <v>1754</v>
      </c>
      <c r="C558" s="33" t="s">
        <v>1701</v>
      </c>
      <c r="D558" s="33" t="s">
        <v>1673</v>
      </c>
      <c r="E558" s="33" t="s">
        <v>1755</v>
      </c>
      <c r="F558" s="33" t="s">
        <v>2317</v>
      </c>
      <c r="G558" s="33" t="s">
        <v>1732</v>
      </c>
      <c r="H558" s="33" t="s">
        <v>2317</v>
      </c>
    </row>
    <row r="559" spans="1:8" x14ac:dyDescent="0.25">
      <c r="A559" s="32">
        <v>33060464596</v>
      </c>
      <c r="B559" s="33" t="s">
        <v>1754</v>
      </c>
      <c r="C559" s="33" t="s">
        <v>1701</v>
      </c>
      <c r="D559" s="33" t="s">
        <v>1683</v>
      </c>
      <c r="E559" s="33" t="s">
        <v>1755</v>
      </c>
      <c r="F559" s="33" t="s">
        <v>2497</v>
      </c>
      <c r="G559" s="33" t="s">
        <v>1732</v>
      </c>
      <c r="H559" s="33" t="s">
        <v>2497</v>
      </c>
    </row>
    <row r="560" spans="1:8" x14ac:dyDescent="0.25">
      <c r="A560" s="32">
        <v>33060464597</v>
      </c>
      <c r="B560" s="33" t="s">
        <v>1754</v>
      </c>
      <c r="C560" s="33" t="s">
        <v>1701</v>
      </c>
      <c r="D560" s="33" t="s">
        <v>1673</v>
      </c>
      <c r="E560" s="33" t="s">
        <v>1755</v>
      </c>
      <c r="F560" s="33" t="s">
        <v>2368</v>
      </c>
      <c r="G560" s="33" t="s">
        <v>1732</v>
      </c>
      <c r="H560" s="33" t="s">
        <v>2368</v>
      </c>
    </row>
    <row r="561" spans="1:8" x14ac:dyDescent="0.25">
      <c r="A561" s="32">
        <v>33060464598</v>
      </c>
      <c r="B561" s="33" t="s">
        <v>1754</v>
      </c>
      <c r="C561" s="33" t="s">
        <v>1701</v>
      </c>
      <c r="D561" s="33" t="s">
        <v>1682</v>
      </c>
      <c r="E561" s="33" t="s">
        <v>1755</v>
      </c>
      <c r="F561" s="33" t="s">
        <v>2289</v>
      </c>
      <c r="G561" s="33" t="s">
        <v>1732</v>
      </c>
      <c r="H561" s="33" t="s">
        <v>2289</v>
      </c>
    </row>
    <row r="562" spans="1:8" x14ac:dyDescent="0.25">
      <c r="A562" s="32">
        <v>33060464599</v>
      </c>
      <c r="B562" s="33" t="s">
        <v>1754</v>
      </c>
      <c r="C562" s="33" t="s">
        <v>1701</v>
      </c>
      <c r="D562" s="33" t="s">
        <v>1682</v>
      </c>
      <c r="E562" s="33" t="s">
        <v>1755</v>
      </c>
      <c r="F562" s="33" t="s">
        <v>2394</v>
      </c>
      <c r="G562" s="33" t="s">
        <v>1732</v>
      </c>
      <c r="H562" s="33" t="s">
        <v>2394</v>
      </c>
    </row>
    <row r="563" spans="1:8" x14ac:dyDescent="0.25">
      <c r="A563" s="32">
        <v>33060464600</v>
      </c>
      <c r="B563" s="33" t="s">
        <v>1754</v>
      </c>
      <c r="C563" s="33" t="s">
        <v>1701</v>
      </c>
      <c r="D563" s="33" t="s">
        <v>1674</v>
      </c>
      <c r="E563" s="33" t="s">
        <v>1755</v>
      </c>
      <c r="F563" s="33" t="s">
        <v>2381</v>
      </c>
      <c r="G563" s="33" t="s">
        <v>1732</v>
      </c>
      <c r="H563" s="33" t="s">
        <v>2381</v>
      </c>
    </row>
    <row r="564" spans="1:8" x14ac:dyDescent="0.25">
      <c r="A564" s="32">
        <v>33060464601</v>
      </c>
      <c r="B564" s="33" t="s">
        <v>1754</v>
      </c>
      <c r="C564" s="33" t="s">
        <v>1701</v>
      </c>
      <c r="D564" s="33" t="s">
        <v>1673</v>
      </c>
      <c r="E564" s="33" t="s">
        <v>1755</v>
      </c>
      <c r="F564" s="33" t="s">
        <v>2347</v>
      </c>
      <c r="G564" s="33" t="s">
        <v>1732</v>
      </c>
      <c r="H564" s="33" t="s">
        <v>2347</v>
      </c>
    </row>
    <row r="565" spans="1:8" x14ac:dyDescent="0.25">
      <c r="A565" s="32">
        <v>33060464602</v>
      </c>
      <c r="B565" s="33" t="s">
        <v>1754</v>
      </c>
      <c r="C565" s="33" t="s">
        <v>1701</v>
      </c>
      <c r="D565" s="33" t="s">
        <v>1673</v>
      </c>
      <c r="E565" s="33" t="s">
        <v>1755</v>
      </c>
      <c r="F565" s="33" t="s">
        <v>2353</v>
      </c>
      <c r="G565" s="33" t="s">
        <v>1732</v>
      </c>
      <c r="H565" s="33" t="s">
        <v>2353</v>
      </c>
    </row>
    <row r="566" spans="1:8" x14ac:dyDescent="0.25">
      <c r="A566" s="32">
        <v>33060464603</v>
      </c>
      <c r="B566" s="33" t="s">
        <v>1754</v>
      </c>
      <c r="C566" s="33" t="s">
        <v>1701</v>
      </c>
      <c r="D566" s="33" t="s">
        <v>1673</v>
      </c>
      <c r="E566" s="33" t="s">
        <v>1755</v>
      </c>
      <c r="F566" s="33" t="s">
        <v>2338</v>
      </c>
      <c r="G566" s="33" t="s">
        <v>1732</v>
      </c>
      <c r="H566" s="33" t="s">
        <v>2338</v>
      </c>
    </row>
    <row r="567" spans="1:8" x14ac:dyDescent="0.25">
      <c r="A567" s="32">
        <v>33060464604</v>
      </c>
      <c r="B567" s="33" t="s">
        <v>1754</v>
      </c>
      <c r="C567" s="33" t="s">
        <v>1701</v>
      </c>
      <c r="D567" s="33" t="s">
        <v>1682</v>
      </c>
      <c r="E567" s="33" t="s">
        <v>1755</v>
      </c>
      <c r="F567" s="33" t="s">
        <v>2288</v>
      </c>
      <c r="G567" s="33" t="s">
        <v>1732</v>
      </c>
      <c r="H567" s="33" t="s">
        <v>2288</v>
      </c>
    </row>
    <row r="568" spans="1:8" x14ac:dyDescent="0.25">
      <c r="A568" s="32">
        <v>33060464605</v>
      </c>
      <c r="B568" s="33" t="s">
        <v>1754</v>
      </c>
      <c r="C568" s="33" t="s">
        <v>1701</v>
      </c>
      <c r="D568" s="33" t="s">
        <v>1673</v>
      </c>
      <c r="E568" s="33" t="s">
        <v>1755</v>
      </c>
      <c r="F568" s="33" t="s">
        <v>2340</v>
      </c>
      <c r="G568" s="33" t="s">
        <v>1732</v>
      </c>
      <c r="H568" s="33" t="s">
        <v>2340</v>
      </c>
    </row>
    <row r="569" spans="1:8" x14ac:dyDescent="0.25">
      <c r="A569" s="32">
        <v>33060464606</v>
      </c>
      <c r="B569" s="33" t="s">
        <v>1754</v>
      </c>
      <c r="C569" s="33" t="s">
        <v>1701</v>
      </c>
      <c r="D569" s="33" t="s">
        <v>1673</v>
      </c>
      <c r="E569" s="33" t="s">
        <v>1755</v>
      </c>
      <c r="F569" s="33" t="s">
        <v>2327</v>
      </c>
      <c r="G569" s="33" t="s">
        <v>1732</v>
      </c>
      <c r="H569" s="33" t="s">
        <v>2327</v>
      </c>
    </row>
    <row r="570" spans="1:8" x14ac:dyDescent="0.25">
      <c r="A570" s="32">
        <v>33060464607</v>
      </c>
      <c r="B570" s="33" t="s">
        <v>1754</v>
      </c>
      <c r="C570" s="33" t="s">
        <v>1701</v>
      </c>
      <c r="D570" s="33" t="s">
        <v>1673</v>
      </c>
      <c r="E570" s="33" t="s">
        <v>1755</v>
      </c>
      <c r="F570" s="33" t="s">
        <v>2326</v>
      </c>
      <c r="G570" s="33" t="s">
        <v>1732</v>
      </c>
      <c r="H570" s="33" t="s">
        <v>2326</v>
      </c>
    </row>
    <row r="571" spans="1:8" x14ac:dyDescent="0.25">
      <c r="A571" s="32">
        <v>33060464608</v>
      </c>
      <c r="B571" s="33" t="s">
        <v>1754</v>
      </c>
      <c r="C571" s="33" t="s">
        <v>1701</v>
      </c>
      <c r="D571" s="33" t="s">
        <v>1673</v>
      </c>
      <c r="E571" s="33" t="s">
        <v>1755</v>
      </c>
      <c r="F571" s="33" t="s">
        <v>2348</v>
      </c>
      <c r="G571" s="33" t="s">
        <v>1732</v>
      </c>
      <c r="H571" s="33" t="s">
        <v>2348</v>
      </c>
    </row>
    <row r="572" spans="1:8" x14ac:dyDescent="0.25">
      <c r="A572" s="32">
        <v>33060464609</v>
      </c>
      <c r="B572" s="33" t="s">
        <v>1754</v>
      </c>
      <c r="C572" s="33" t="s">
        <v>1701</v>
      </c>
      <c r="D572" s="33" t="s">
        <v>1673</v>
      </c>
      <c r="E572" s="33" t="s">
        <v>1755</v>
      </c>
      <c r="F572" s="33" t="s">
        <v>2321</v>
      </c>
      <c r="G572" s="33" t="s">
        <v>1732</v>
      </c>
      <c r="H572" s="33" t="s">
        <v>2321</v>
      </c>
    </row>
    <row r="573" spans="1:8" x14ac:dyDescent="0.25">
      <c r="A573" s="32">
        <v>33060464610</v>
      </c>
      <c r="B573" s="33" t="s">
        <v>1754</v>
      </c>
      <c r="C573" s="33" t="s">
        <v>1701</v>
      </c>
      <c r="D573" s="33" t="s">
        <v>1673</v>
      </c>
      <c r="E573" s="33" t="s">
        <v>1755</v>
      </c>
      <c r="F573" s="33" t="s">
        <v>2322</v>
      </c>
      <c r="G573" s="33" t="s">
        <v>1732</v>
      </c>
      <c r="H573" s="33" t="s">
        <v>2322</v>
      </c>
    </row>
    <row r="574" spans="1:8" x14ac:dyDescent="0.25">
      <c r="A574" s="32">
        <v>33060464611</v>
      </c>
      <c r="B574" s="33" t="s">
        <v>1754</v>
      </c>
      <c r="C574" s="33" t="s">
        <v>1701</v>
      </c>
      <c r="D574" s="33" t="s">
        <v>1673</v>
      </c>
      <c r="E574" s="33" t="s">
        <v>1755</v>
      </c>
      <c r="F574" s="33" t="s">
        <v>2323</v>
      </c>
      <c r="G574" s="33" t="s">
        <v>1732</v>
      </c>
      <c r="H574" s="33" t="s">
        <v>2323</v>
      </c>
    </row>
    <row r="575" spans="1:8" x14ac:dyDescent="0.25">
      <c r="A575" s="32">
        <v>33060464612</v>
      </c>
      <c r="B575" s="33" t="s">
        <v>1754</v>
      </c>
      <c r="C575" s="33" t="s">
        <v>1701</v>
      </c>
      <c r="D575" s="33" t="s">
        <v>1673</v>
      </c>
      <c r="E575" s="33" t="s">
        <v>1755</v>
      </c>
      <c r="F575" s="33" t="s">
        <v>2369</v>
      </c>
      <c r="G575" s="33" t="s">
        <v>1732</v>
      </c>
      <c r="H575" s="33" t="s">
        <v>2369</v>
      </c>
    </row>
    <row r="576" spans="1:8" x14ac:dyDescent="0.25">
      <c r="A576" s="32">
        <v>33060464613</v>
      </c>
      <c r="B576" s="33" t="s">
        <v>1754</v>
      </c>
      <c r="C576" s="33" t="s">
        <v>1701</v>
      </c>
      <c r="D576" s="33" t="s">
        <v>1683</v>
      </c>
      <c r="E576" s="33" t="s">
        <v>1755</v>
      </c>
      <c r="F576" s="33" t="s">
        <v>2483</v>
      </c>
      <c r="G576" s="33" t="s">
        <v>1732</v>
      </c>
      <c r="H576" s="33" t="s">
        <v>2483</v>
      </c>
    </row>
    <row r="577" spans="1:8" x14ac:dyDescent="0.25">
      <c r="A577" s="32">
        <v>33060464614</v>
      </c>
      <c r="B577" s="33" t="s">
        <v>1754</v>
      </c>
      <c r="C577" s="33" t="s">
        <v>1701</v>
      </c>
      <c r="D577" s="33" t="s">
        <v>1673</v>
      </c>
      <c r="E577" s="33" t="s">
        <v>1755</v>
      </c>
      <c r="F577" s="33" t="s">
        <v>2433</v>
      </c>
      <c r="G577" s="33" t="s">
        <v>1732</v>
      </c>
      <c r="H577" s="33" t="s">
        <v>2433</v>
      </c>
    </row>
    <row r="578" spans="1:8" x14ac:dyDescent="0.25">
      <c r="A578" s="32">
        <v>33060464615</v>
      </c>
      <c r="B578" s="33" t="s">
        <v>1754</v>
      </c>
      <c r="C578" s="33" t="s">
        <v>1701</v>
      </c>
      <c r="D578" s="33" t="s">
        <v>1673</v>
      </c>
      <c r="E578" s="33" t="s">
        <v>1755</v>
      </c>
      <c r="F578" s="33" t="s">
        <v>2623</v>
      </c>
      <c r="G578" s="33" t="s">
        <v>1732</v>
      </c>
      <c r="H578" s="33" t="s">
        <v>2623</v>
      </c>
    </row>
    <row r="579" spans="1:8" x14ac:dyDescent="0.25">
      <c r="A579" s="32">
        <v>33060464616</v>
      </c>
      <c r="B579" s="33" t="s">
        <v>1754</v>
      </c>
      <c r="C579" s="33" t="s">
        <v>1701</v>
      </c>
      <c r="D579" s="33" t="s">
        <v>1673</v>
      </c>
      <c r="E579" s="33" t="s">
        <v>1755</v>
      </c>
      <c r="F579" s="33" t="s">
        <v>2620</v>
      </c>
      <c r="G579" s="33" t="s">
        <v>1732</v>
      </c>
      <c r="H579" s="33" t="s">
        <v>2620</v>
      </c>
    </row>
    <row r="580" spans="1:8" x14ac:dyDescent="0.25">
      <c r="A580" s="32">
        <v>33060464617</v>
      </c>
      <c r="B580" s="33" t="s">
        <v>1754</v>
      </c>
      <c r="C580" s="33" t="s">
        <v>1701</v>
      </c>
      <c r="D580" s="33" t="s">
        <v>1673</v>
      </c>
      <c r="E580" s="33" t="s">
        <v>1755</v>
      </c>
      <c r="F580" s="33" t="s">
        <v>2654</v>
      </c>
      <c r="G580" s="33" t="s">
        <v>1732</v>
      </c>
      <c r="H580" s="33" t="s">
        <v>2654</v>
      </c>
    </row>
    <row r="581" spans="1:8" x14ac:dyDescent="0.25">
      <c r="A581" s="32">
        <v>33060464618</v>
      </c>
      <c r="B581" s="33" t="s">
        <v>1754</v>
      </c>
      <c r="C581" s="33" t="s">
        <v>1701</v>
      </c>
      <c r="D581" s="33" t="s">
        <v>1673</v>
      </c>
      <c r="E581" s="33" t="s">
        <v>1755</v>
      </c>
      <c r="F581" s="33" t="s">
        <v>2655</v>
      </c>
      <c r="G581" s="33" t="s">
        <v>1732</v>
      </c>
      <c r="H581" s="33" t="s">
        <v>2655</v>
      </c>
    </row>
    <row r="582" spans="1:8" x14ac:dyDescent="0.25">
      <c r="A582" s="32">
        <v>33060464619</v>
      </c>
      <c r="B582" s="33" t="s">
        <v>1754</v>
      </c>
      <c r="C582" s="33" t="s">
        <v>1701</v>
      </c>
      <c r="D582" s="33" t="s">
        <v>1673</v>
      </c>
      <c r="E582" s="33" t="s">
        <v>1755</v>
      </c>
      <c r="F582" s="33" t="s">
        <v>2617</v>
      </c>
      <c r="G582" s="33" t="s">
        <v>1732</v>
      </c>
      <c r="H582" s="33" t="s">
        <v>2617</v>
      </c>
    </row>
    <row r="583" spans="1:8" x14ac:dyDescent="0.25">
      <c r="A583" s="32">
        <v>33060464620</v>
      </c>
      <c r="B583" s="33" t="s">
        <v>1754</v>
      </c>
      <c r="C583" s="33" t="s">
        <v>1701</v>
      </c>
      <c r="D583" s="33" t="s">
        <v>1673</v>
      </c>
      <c r="E583" s="33" t="s">
        <v>1755</v>
      </c>
      <c r="F583" s="33" t="s">
        <v>2618</v>
      </c>
      <c r="G583" s="33" t="s">
        <v>1732</v>
      </c>
      <c r="H583" s="33" t="s">
        <v>2618</v>
      </c>
    </row>
    <row r="584" spans="1:8" x14ac:dyDescent="0.25">
      <c r="A584" s="32">
        <v>33060464621</v>
      </c>
      <c r="B584" s="33" t="s">
        <v>1754</v>
      </c>
      <c r="C584" s="33" t="s">
        <v>1701</v>
      </c>
      <c r="D584" s="33" t="s">
        <v>1673</v>
      </c>
      <c r="E584" s="33" t="s">
        <v>1755</v>
      </c>
      <c r="F584" s="33" t="s">
        <v>2619</v>
      </c>
      <c r="G584" s="33" t="s">
        <v>1732</v>
      </c>
      <c r="H584" s="33" t="s">
        <v>2619</v>
      </c>
    </row>
    <row r="585" spans="1:8" x14ac:dyDescent="0.25">
      <c r="A585" s="32">
        <v>33060464622</v>
      </c>
      <c r="B585" s="33" t="s">
        <v>1754</v>
      </c>
      <c r="C585" s="33" t="s">
        <v>1701</v>
      </c>
      <c r="D585" s="33" t="s">
        <v>1673</v>
      </c>
      <c r="E585" s="33" t="s">
        <v>1755</v>
      </c>
      <c r="F585" s="33" t="s">
        <v>2622</v>
      </c>
      <c r="G585" s="33" t="s">
        <v>1732</v>
      </c>
      <c r="H585" s="33" t="s">
        <v>2622</v>
      </c>
    </row>
    <row r="586" spans="1:8" x14ac:dyDescent="0.25">
      <c r="A586" s="32">
        <v>33060464623</v>
      </c>
      <c r="B586" s="33" t="s">
        <v>1754</v>
      </c>
      <c r="C586" s="33" t="s">
        <v>1701</v>
      </c>
      <c r="D586" s="33" t="s">
        <v>1673</v>
      </c>
      <c r="E586" s="33" t="s">
        <v>1755</v>
      </c>
      <c r="F586" s="33" t="s">
        <v>2621</v>
      </c>
      <c r="G586" s="33" t="s">
        <v>1732</v>
      </c>
      <c r="H586" s="33" t="s">
        <v>2621</v>
      </c>
    </row>
    <row r="587" spans="1:8" x14ac:dyDescent="0.25">
      <c r="A587" s="32">
        <v>33060464624</v>
      </c>
      <c r="B587" s="33" t="s">
        <v>1754</v>
      </c>
      <c r="C587" s="33" t="s">
        <v>1701</v>
      </c>
      <c r="D587" s="33" t="s">
        <v>1683</v>
      </c>
      <c r="E587" s="33" t="s">
        <v>1755</v>
      </c>
      <c r="F587" s="33" t="s">
        <v>2470</v>
      </c>
      <c r="G587" s="33" t="s">
        <v>1732</v>
      </c>
      <c r="H587" s="33" t="s">
        <v>2470</v>
      </c>
    </row>
    <row r="588" spans="1:8" x14ac:dyDescent="0.25">
      <c r="A588" s="32">
        <v>33060464625</v>
      </c>
      <c r="B588" s="33" t="s">
        <v>1754</v>
      </c>
      <c r="C588" s="33" t="s">
        <v>1701</v>
      </c>
      <c r="D588" s="33" t="s">
        <v>1683</v>
      </c>
      <c r="E588" s="33" t="s">
        <v>1755</v>
      </c>
      <c r="F588" s="33" t="s">
        <v>2469</v>
      </c>
      <c r="G588" s="33" t="s">
        <v>1732</v>
      </c>
      <c r="H588" s="33" t="s">
        <v>2469</v>
      </c>
    </row>
    <row r="589" spans="1:8" x14ac:dyDescent="0.25">
      <c r="A589" s="32">
        <v>33060464626</v>
      </c>
      <c r="B589" s="33" t="s">
        <v>1754</v>
      </c>
      <c r="C589" s="33" t="s">
        <v>1701</v>
      </c>
      <c r="D589" s="33" t="s">
        <v>1683</v>
      </c>
      <c r="E589" s="33" t="s">
        <v>1755</v>
      </c>
      <c r="F589" s="33" t="s">
        <v>2471</v>
      </c>
      <c r="G589" s="33" t="s">
        <v>1732</v>
      </c>
      <c r="H589" s="33" t="s">
        <v>2471</v>
      </c>
    </row>
    <row r="590" spans="1:8" x14ac:dyDescent="0.25">
      <c r="A590" s="32">
        <v>33060464627</v>
      </c>
      <c r="B590" s="33" t="s">
        <v>1754</v>
      </c>
      <c r="C590" s="33" t="s">
        <v>1701</v>
      </c>
      <c r="D590" s="33" t="s">
        <v>1683</v>
      </c>
      <c r="E590" s="33" t="s">
        <v>1755</v>
      </c>
      <c r="F590" s="33" t="s">
        <v>2454</v>
      </c>
      <c r="G590" s="33" t="s">
        <v>1732</v>
      </c>
      <c r="H590" s="33" t="s">
        <v>2454</v>
      </c>
    </row>
    <row r="591" spans="1:8" x14ac:dyDescent="0.25">
      <c r="A591" s="32">
        <v>33060464628</v>
      </c>
      <c r="B591" s="33" t="s">
        <v>1754</v>
      </c>
      <c r="C591" s="33" t="s">
        <v>1701</v>
      </c>
      <c r="D591" s="33" t="s">
        <v>1683</v>
      </c>
      <c r="E591" s="33" t="s">
        <v>1755</v>
      </c>
      <c r="F591" s="33" t="s">
        <v>2599</v>
      </c>
      <c r="G591" s="33" t="s">
        <v>1732</v>
      </c>
      <c r="H591" s="33" t="s">
        <v>2599</v>
      </c>
    </row>
    <row r="592" spans="1:8" x14ac:dyDescent="0.25">
      <c r="A592" s="32">
        <v>33060464629</v>
      </c>
      <c r="B592" s="33" t="s">
        <v>1754</v>
      </c>
      <c r="C592" s="33" t="s">
        <v>1701</v>
      </c>
      <c r="D592" s="33" t="s">
        <v>1683</v>
      </c>
      <c r="E592" s="33" t="s">
        <v>1755</v>
      </c>
      <c r="F592" s="33" t="s">
        <v>2490</v>
      </c>
      <c r="G592" s="33" t="s">
        <v>1732</v>
      </c>
      <c r="H592" s="33" t="s">
        <v>2490</v>
      </c>
    </row>
    <row r="593" spans="1:8" x14ac:dyDescent="0.25">
      <c r="A593" s="32">
        <v>33060464630</v>
      </c>
      <c r="B593" s="33" t="s">
        <v>1754</v>
      </c>
      <c r="C593" s="33" t="s">
        <v>1701</v>
      </c>
      <c r="D593" s="33" t="s">
        <v>1683</v>
      </c>
      <c r="E593" s="33" t="s">
        <v>1755</v>
      </c>
      <c r="F593" s="33" t="s">
        <v>2498</v>
      </c>
      <c r="G593" s="33" t="s">
        <v>1732</v>
      </c>
      <c r="H593" s="33" t="s">
        <v>2498</v>
      </c>
    </row>
    <row r="594" spans="1:8" x14ac:dyDescent="0.25">
      <c r="A594" s="32">
        <v>33060464631</v>
      </c>
      <c r="B594" s="33" t="s">
        <v>1754</v>
      </c>
      <c r="C594" s="33" t="s">
        <v>1701</v>
      </c>
      <c r="D594" s="33" t="s">
        <v>1683</v>
      </c>
      <c r="E594" s="33" t="s">
        <v>1755</v>
      </c>
      <c r="F594" s="33" t="s">
        <v>2494</v>
      </c>
      <c r="G594" s="33" t="s">
        <v>1732</v>
      </c>
      <c r="H594" s="33" t="s">
        <v>2494</v>
      </c>
    </row>
    <row r="595" spans="1:8" x14ac:dyDescent="0.25">
      <c r="A595" s="32">
        <v>33060464632</v>
      </c>
      <c r="B595" s="33" t="s">
        <v>1754</v>
      </c>
      <c r="C595" s="33" t="s">
        <v>1701</v>
      </c>
      <c r="D595" s="33" t="s">
        <v>1683</v>
      </c>
      <c r="E595" s="33" t="s">
        <v>1755</v>
      </c>
      <c r="F595" s="33" t="s">
        <v>2495</v>
      </c>
      <c r="G595" s="33" t="s">
        <v>1732</v>
      </c>
      <c r="H595" s="33" t="s">
        <v>2495</v>
      </c>
    </row>
    <row r="596" spans="1:8" x14ac:dyDescent="0.25">
      <c r="A596" s="32">
        <v>33060464633</v>
      </c>
      <c r="B596" s="33" t="s">
        <v>1754</v>
      </c>
      <c r="C596" s="33" t="s">
        <v>1701</v>
      </c>
      <c r="D596" s="33" t="s">
        <v>1683</v>
      </c>
      <c r="E596" s="33" t="s">
        <v>1755</v>
      </c>
      <c r="F596" s="33" t="s">
        <v>2496</v>
      </c>
      <c r="G596" s="33" t="s">
        <v>1732</v>
      </c>
      <c r="H596" s="33" t="s">
        <v>2496</v>
      </c>
    </row>
    <row r="597" spans="1:8" x14ac:dyDescent="0.25">
      <c r="A597" s="32">
        <v>33060464634</v>
      </c>
      <c r="B597" s="33" t="s">
        <v>1754</v>
      </c>
      <c r="C597" s="33" t="s">
        <v>1701</v>
      </c>
      <c r="D597" s="33" t="s">
        <v>1683</v>
      </c>
      <c r="E597" s="33" t="s">
        <v>1755</v>
      </c>
      <c r="F597" s="33" t="s">
        <v>2491</v>
      </c>
      <c r="G597" s="33" t="s">
        <v>1732</v>
      </c>
      <c r="H597" s="33" t="s">
        <v>2491</v>
      </c>
    </row>
    <row r="598" spans="1:8" x14ac:dyDescent="0.25">
      <c r="A598" s="32">
        <v>33060464635</v>
      </c>
      <c r="B598" s="33" t="s">
        <v>1754</v>
      </c>
      <c r="C598" s="33" t="s">
        <v>1701</v>
      </c>
      <c r="D598" s="33" t="s">
        <v>1683</v>
      </c>
      <c r="E598" s="33" t="s">
        <v>1755</v>
      </c>
      <c r="F598" s="33" t="s">
        <v>2492</v>
      </c>
      <c r="G598" s="33" t="s">
        <v>1732</v>
      </c>
      <c r="H598" s="33" t="s">
        <v>2492</v>
      </c>
    </row>
    <row r="599" spans="1:8" x14ac:dyDescent="0.25">
      <c r="A599" s="32">
        <v>33060464636</v>
      </c>
      <c r="B599" s="33" t="s">
        <v>1754</v>
      </c>
      <c r="C599" s="33" t="s">
        <v>1701</v>
      </c>
      <c r="D599" s="33" t="s">
        <v>1683</v>
      </c>
      <c r="E599" s="33" t="s">
        <v>1755</v>
      </c>
      <c r="F599" s="33" t="s">
        <v>2493</v>
      </c>
      <c r="G599" s="33" t="s">
        <v>1732</v>
      </c>
      <c r="H599" s="33" t="s">
        <v>2493</v>
      </c>
    </row>
    <row r="600" spans="1:8" x14ac:dyDescent="0.25">
      <c r="A600" s="32">
        <v>33060464637</v>
      </c>
      <c r="B600" s="33" t="s">
        <v>1754</v>
      </c>
      <c r="C600" s="33" t="s">
        <v>1701</v>
      </c>
      <c r="D600" s="33" t="s">
        <v>1683</v>
      </c>
      <c r="E600" s="33" t="s">
        <v>1755</v>
      </c>
      <c r="F600" s="33" t="s">
        <v>2485</v>
      </c>
      <c r="G600" s="33" t="s">
        <v>1732</v>
      </c>
      <c r="H600" s="33" t="s">
        <v>2485</v>
      </c>
    </row>
    <row r="601" spans="1:8" x14ac:dyDescent="0.25">
      <c r="A601" s="32">
        <v>33060464638</v>
      </c>
      <c r="B601" s="33" t="s">
        <v>1754</v>
      </c>
      <c r="C601" s="33" t="s">
        <v>1701</v>
      </c>
      <c r="D601" s="33" t="s">
        <v>1683</v>
      </c>
      <c r="E601" s="33" t="s">
        <v>1755</v>
      </c>
      <c r="F601" s="33" t="s">
        <v>2476</v>
      </c>
      <c r="G601" s="33" t="s">
        <v>1732</v>
      </c>
      <c r="H601" s="33" t="s">
        <v>2476</v>
      </c>
    </row>
    <row r="602" spans="1:8" x14ac:dyDescent="0.25">
      <c r="A602" s="32">
        <v>33060464639</v>
      </c>
      <c r="B602" s="33" t="s">
        <v>1754</v>
      </c>
      <c r="C602" s="33" t="s">
        <v>1701</v>
      </c>
      <c r="D602" s="33" t="s">
        <v>1683</v>
      </c>
      <c r="E602" s="33" t="s">
        <v>1755</v>
      </c>
      <c r="F602" s="33" t="s">
        <v>2473</v>
      </c>
      <c r="G602" s="33" t="s">
        <v>1732</v>
      </c>
      <c r="H602" s="33" t="s">
        <v>2473</v>
      </c>
    </row>
    <row r="603" spans="1:8" x14ac:dyDescent="0.25">
      <c r="A603" s="32">
        <v>33060464640</v>
      </c>
      <c r="B603" s="33" t="s">
        <v>1754</v>
      </c>
      <c r="C603" s="33" t="s">
        <v>1701</v>
      </c>
      <c r="D603" s="33" t="s">
        <v>1683</v>
      </c>
      <c r="E603" s="33" t="s">
        <v>1755</v>
      </c>
      <c r="F603" s="33" t="s">
        <v>2472</v>
      </c>
      <c r="G603" s="33" t="s">
        <v>1732</v>
      </c>
      <c r="H603" s="33" t="s">
        <v>2472</v>
      </c>
    </row>
    <row r="604" spans="1:8" x14ac:dyDescent="0.25">
      <c r="A604" s="32">
        <v>33060464641</v>
      </c>
      <c r="B604" s="33" t="s">
        <v>1754</v>
      </c>
      <c r="C604" s="33" t="s">
        <v>1701</v>
      </c>
      <c r="D604" s="33" t="s">
        <v>1683</v>
      </c>
      <c r="E604" s="33" t="s">
        <v>1755</v>
      </c>
      <c r="F604" s="33" t="s">
        <v>2475</v>
      </c>
      <c r="G604" s="33" t="s">
        <v>1732</v>
      </c>
      <c r="H604" s="33" t="s">
        <v>2475</v>
      </c>
    </row>
    <row r="605" spans="1:8" x14ac:dyDescent="0.25">
      <c r="A605" s="32">
        <v>33060464642</v>
      </c>
      <c r="B605" s="33" t="s">
        <v>1754</v>
      </c>
      <c r="C605" s="33" t="s">
        <v>1701</v>
      </c>
      <c r="D605" s="33" t="s">
        <v>1683</v>
      </c>
      <c r="E605" s="33" t="s">
        <v>1755</v>
      </c>
      <c r="F605" s="33" t="s">
        <v>2474</v>
      </c>
      <c r="G605" s="33" t="s">
        <v>1732</v>
      </c>
      <c r="H605" s="33" t="s">
        <v>2474</v>
      </c>
    </row>
    <row r="606" spans="1:8" x14ac:dyDescent="0.25">
      <c r="A606" s="32">
        <v>33060464643</v>
      </c>
      <c r="B606" s="33" t="s">
        <v>1754</v>
      </c>
      <c r="C606" s="33" t="s">
        <v>1701</v>
      </c>
      <c r="D606" s="33" t="s">
        <v>1673</v>
      </c>
      <c r="E606" s="33" t="s">
        <v>1755</v>
      </c>
      <c r="F606" s="33" t="s">
        <v>2354</v>
      </c>
      <c r="G606" s="33" t="s">
        <v>1732</v>
      </c>
      <c r="H606" s="33" t="s">
        <v>2354</v>
      </c>
    </row>
    <row r="607" spans="1:8" x14ac:dyDescent="0.25">
      <c r="A607" s="32">
        <v>33060464644</v>
      </c>
      <c r="B607" s="33" t="s">
        <v>1754</v>
      </c>
      <c r="C607" s="33" t="s">
        <v>1701</v>
      </c>
      <c r="D607" s="33" t="s">
        <v>1673</v>
      </c>
      <c r="E607" s="33" t="s">
        <v>1755</v>
      </c>
      <c r="F607" s="33" t="s">
        <v>2309</v>
      </c>
      <c r="G607" s="33" t="s">
        <v>1732</v>
      </c>
      <c r="H607" s="33" t="s">
        <v>2309</v>
      </c>
    </row>
    <row r="608" spans="1:8" x14ac:dyDescent="0.25">
      <c r="A608" s="32">
        <v>33060464645</v>
      </c>
      <c r="B608" s="33" t="s">
        <v>1754</v>
      </c>
      <c r="C608" s="33" t="s">
        <v>1701</v>
      </c>
      <c r="D608" s="33" t="s">
        <v>1673</v>
      </c>
      <c r="E608" s="33" t="s">
        <v>1755</v>
      </c>
      <c r="F608" s="33" t="s">
        <v>2297</v>
      </c>
      <c r="G608" s="33" t="s">
        <v>1732</v>
      </c>
      <c r="H608" s="33" t="s">
        <v>2297</v>
      </c>
    </row>
    <row r="609" spans="1:8" x14ac:dyDescent="0.25">
      <c r="A609" s="32">
        <v>33060464646</v>
      </c>
      <c r="B609" s="33" t="s">
        <v>1754</v>
      </c>
      <c r="C609" s="33" t="s">
        <v>1701</v>
      </c>
      <c r="D609" s="33" t="s">
        <v>1673</v>
      </c>
      <c r="E609" s="33" t="s">
        <v>1755</v>
      </c>
      <c r="F609" s="33" t="s">
        <v>2336</v>
      </c>
      <c r="G609" s="33" t="s">
        <v>1732</v>
      </c>
      <c r="H609" s="33" t="s">
        <v>2336</v>
      </c>
    </row>
    <row r="610" spans="1:8" x14ac:dyDescent="0.25">
      <c r="A610" s="32">
        <v>33060464647</v>
      </c>
      <c r="B610" s="33" t="s">
        <v>1754</v>
      </c>
      <c r="C610" s="33" t="s">
        <v>1701</v>
      </c>
      <c r="D610" s="33" t="s">
        <v>1673</v>
      </c>
      <c r="E610" s="33" t="s">
        <v>1755</v>
      </c>
      <c r="F610" s="33" t="s">
        <v>2351</v>
      </c>
      <c r="G610" s="33" t="s">
        <v>1732</v>
      </c>
      <c r="H610" s="33" t="s">
        <v>2351</v>
      </c>
    </row>
    <row r="611" spans="1:8" x14ac:dyDescent="0.25">
      <c r="A611" s="32">
        <v>33060464648</v>
      </c>
      <c r="B611" s="33" t="s">
        <v>1754</v>
      </c>
      <c r="C611" s="33" t="s">
        <v>1701</v>
      </c>
      <c r="D611" s="33" t="s">
        <v>1673</v>
      </c>
      <c r="E611" s="33" t="s">
        <v>1755</v>
      </c>
      <c r="F611" s="33" t="s">
        <v>2296</v>
      </c>
      <c r="G611" s="33" t="s">
        <v>1732</v>
      </c>
      <c r="H611" s="33" t="s">
        <v>2296</v>
      </c>
    </row>
    <row r="612" spans="1:8" x14ac:dyDescent="0.25">
      <c r="A612" s="32">
        <v>33060464649</v>
      </c>
      <c r="B612" s="33" t="s">
        <v>1754</v>
      </c>
      <c r="C612" s="33" t="s">
        <v>1701</v>
      </c>
      <c r="D612" s="33" t="s">
        <v>1673</v>
      </c>
      <c r="E612" s="33" t="s">
        <v>1755</v>
      </c>
      <c r="F612" s="33" t="s">
        <v>2333</v>
      </c>
      <c r="G612" s="33" t="s">
        <v>1732</v>
      </c>
      <c r="H612" s="33" t="s">
        <v>2333</v>
      </c>
    </row>
    <row r="613" spans="1:8" x14ac:dyDescent="0.25">
      <c r="A613" s="32">
        <v>33060464650</v>
      </c>
      <c r="B613" s="33" t="s">
        <v>1754</v>
      </c>
      <c r="C613" s="33" t="s">
        <v>1701</v>
      </c>
      <c r="D613" s="33" t="s">
        <v>1673</v>
      </c>
      <c r="E613" s="33" t="s">
        <v>1755</v>
      </c>
      <c r="F613" s="33" t="s">
        <v>2356</v>
      </c>
      <c r="G613" s="33" t="s">
        <v>1732</v>
      </c>
      <c r="H613" s="33" t="s">
        <v>2356</v>
      </c>
    </row>
    <row r="614" spans="1:8" x14ac:dyDescent="0.25">
      <c r="A614" s="32">
        <v>33060464651</v>
      </c>
      <c r="B614" s="33" t="s">
        <v>1754</v>
      </c>
      <c r="C614" s="33" t="s">
        <v>1701</v>
      </c>
      <c r="D614" s="33" t="s">
        <v>1673</v>
      </c>
      <c r="E614" s="33" t="s">
        <v>1755</v>
      </c>
      <c r="F614" s="33" t="s">
        <v>2335</v>
      </c>
      <c r="G614" s="33" t="s">
        <v>1732</v>
      </c>
      <c r="H614" s="33" t="s">
        <v>2335</v>
      </c>
    </row>
    <row r="615" spans="1:8" x14ac:dyDescent="0.25">
      <c r="A615" s="32">
        <v>33060464652</v>
      </c>
      <c r="B615" s="33" t="s">
        <v>1754</v>
      </c>
      <c r="C615" s="33" t="s">
        <v>1701</v>
      </c>
      <c r="D615" s="33" t="s">
        <v>1673</v>
      </c>
      <c r="E615" s="33" t="s">
        <v>1755</v>
      </c>
      <c r="F615" s="33" t="s">
        <v>2314</v>
      </c>
      <c r="G615" s="33" t="s">
        <v>1732</v>
      </c>
      <c r="H615" s="33" t="s">
        <v>2314</v>
      </c>
    </row>
    <row r="616" spans="1:8" x14ac:dyDescent="0.25">
      <c r="A616" s="32">
        <v>33060464653</v>
      </c>
      <c r="B616" s="33" t="s">
        <v>1754</v>
      </c>
      <c r="C616" s="33" t="s">
        <v>1701</v>
      </c>
      <c r="D616" s="33" t="s">
        <v>1673</v>
      </c>
      <c r="E616" s="33" t="s">
        <v>1755</v>
      </c>
      <c r="F616" s="33" t="s">
        <v>2313</v>
      </c>
      <c r="G616" s="33" t="s">
        <v>1732</v>
      </c>
      <c r="H616" s="33" t="s">
        <v>2313</v>
      </c>
    </row>
    <row r="617" spans="1:8" x14ac:dyDescent="0.25">
      <c r="A617" s="32">
        <v>33060464654</v>
      </c>
      <c r="B617" s="33" t="s">
        <v>1754</v>
      </c>
      <c r="C617" s="33" t="s">
        <v>1701</v>
      </c>
      <c r="D617" s="33" t="s">
        <v>1673</v>
      </c>
      <c r="E617" s="33" t="s">
        <v>1755</v>
      </c>
      <c r="F617" s="33" t="s">
        <v>2325</v>
      </c>
      <c r="G617" s="33" t="s">
        <v>1732</v>
      </c>
      <c r="H617" s="33" t="s">
        <v>2325</v>
      </c>
    </row>
    <row r="618" spans="1:8" x14ac:dyDescent="0.25">
      <c r="A618" s="32">
        <v>33060464655</v>
      </c>
      <c r="B618" s="33" t="s">
        <v>1754</v>
      </c>
      <c r="C618" s="33" t="s">
        <v>1701</v>
      </c>
      <c r="D618" s="33" t="s">
        <v>1673</v>
      </c>
      <c r="E618" s="33" t="s">
        <v>1755</v>
      </c>
      <c r="F618" s="33" t="s">
        <v>2298</v>
      </c>
      <c r="G618" s="33" t="s">
        <v>1732</v>
      </c>
      <c r="H618" s="33" t="s">
        <v>2298</v>
      </c>
    </row>
    <row r="619" spans="1:8" x14ac:dyDescent="0.25">
      <c r="A619" s="32">
        <v>33060464656</v>
      </c>
      <c r="B619" s="33" t="s">
        <v>1754</v>
      </c>
      <c r="C619" s="33" t="s">
        <v>1701</v>
      </c>
      <c r="D619" s="33" t="s">
        <v>1673</v>
      </c>
      <c r="E619" s="33" t="s">
        <v>1755</v>
      </c>
      <c r="F619" s="33" t="s">
        <v>2316</v>
      </c>
      <c r="G619" s="33" t="s">
        <v>1732</v>
      </c>
      <c r="H619" s="33" t="s">
        <v>2316</v>
      </c>
    </row>
    <row r="620" spans="1:8" x14ac:dyDescent="0.25">
      <c r="A620" s="32">
        <v>33060464657</v>
      </c>
      <c r="B620" s="33" t="s">
        <v>1754</v>
      </c>
      <c r="C620" s="33" t="s">
        <v>1701</v>
      </c>
      <c r="D620" s="33" t="s">
        <v>1673</v>
      </c>
      <c r="E620" s="33" t="s">
        <v>1755</v>
      </c>
      <c r="F620" s="33" t="s">
        <v>2343</v>
      </c>
      <c r="G620" s="33" t="s">
        <v>1732</v>
      </c>
      <c r="H620" s="33" t="s">
        <v>2343</v>
      </c>
    </row>
    <row r="621" spans="1:8" x14ac:dyDescent="0.25">
      <c r="A621" s="32">
        <v>33060464658</v>
      </c>
      <c r="B621" s="33" t="s">
        <v>1754</v>
      </c>
      <c r="C621" s="33" t="s">
        <v>1701</v>
      </c>
      <c r="D621" s="33" t="s">
        <v>1673</v>
      </c>
      <c r="E621" s="33" t="s">
        <v>1755</v>
      </c>
      <c r="F621" s="33" t="s">
        <v>2366</v>
      </c>
      <c r="G621" s="33" t="s">
        <v>1732</v>
      </c>
      <c r="H621" s="33" t="s">
        <v>2366</v>
      </c>
    </row>
    <row r="622" spans="1:8" x14ac:dyDescent="0.25">
      <c r="A622" s="32">
        <v>33060464659</v>
      </c>
      <c r="B622" s="33" t="s">
        <v>1754</v>
      </c>
      <c r="C622" s="33" t="s">
        <v>1701</v>
      </c>
      <c r="D622" s="33" t="s">
        <v>1673</v>
      </c>
      <c r="E622" s="33" t="s">
        <v>1755</v>
      </c>
      <c r="F622" s="33" t="s">
        <v>2367</v>
      </c>
      <c r="G622" s="33" t="s">
        <v>1732</v>
      </c>
      <c r="H622" s="33" t="s">
        <v>2367</v>
      </c>
    </row>
    <row r="623" spans="1:8" x14ac:dyDescent="0.25">
      <c r="A623" s="32">
        <v>33060464660</v>
      </c>
      <c r="B623" s="33" t="s">
        <v>1754</v>
      </c>
      <c r="C623" s="33" t="s">
        <v>1701</v>
      </c>
      <c r="D623" s="33" t="s">
        <v>1673</v>
      </c>
      <c r="E623" s="33" t="s">
        <v>1755</v>
      </c>
      <c r="F623" s="33" t="s">
        <v>2365</v>
      </c>
      <c r="G623" s="33" t="s">
        <v>1732</v>
      </c>
      <c r="H623" s="33" t="s">
        <v>2365</v>
      </c>
    </row>
    <row r="624" spans="1:8" x14ac:dyDescent="0.25">
      <c r="A624" s="32">
        <v>33060464661</v>
      </c>
      <c r="B624" s="33" t="s">
        <v>1754</v>
      </c>
      <c r="C624" s="33" t="s">
        <v>1701</v>
      </c>
      <c r="D624" s="33" t="s">
        <v>1673</v>
      </c>
      <c r="E624" s="33" t="s">
        <v>1755</v>
      </c>
      <c r="F624" s="33" t="s">
        <v>2360</v>
      </c>
      <c r="G624" s="33" t="s">
        <v>1732</v>
      </c>
      <c r="H624" s="33" t="s">
        <v>2360</v>
      </c>
    </row>
    <row r="625" spans="1:8" x14ac:dyDescent="0.25">
      <c r="A625" s="32">
        <v>33060464662</v>
      </c>
      <c r="B625" s="33" t="s">
        <v>1754</v>
      </c>
      <c r="C625" s="33" t="s">
        <v>1701</v>
      </c>
      <c r="D625" s="33" t="s">
        <v>1673</v>
      </c>
      <c r="E625" s="33" t="s">
        <v>1755</v>
      </c>
      <c r="F625" s="33" t="s">
        <v>2346</v>
      </c>
      <c r="G625" s="33" t="s">
        <v>1732</v>
      </c>
      <c r="H625" s="33" t="s">
        <v>2346</v>
      </c>
    </row>
    <row r="626" spans="1:8" x14ac:dyDescent="0.25">
      <c r="A626" s="32">
        <v>33060464663</v>
      </c>
      <c r="B626" s="33" t="s">
        <v>1754</v>
      </c>
      <c r="C626" s="33" t="s">
        <v>1701</v>
      </c>
      <c r="D626" s="33" t="s">
        <v>1673</v>
      </c>
      <c r="E626" s="33" t="s">
        <v>1755</v>
      </c>
      <c r="F626" s="33" t="s">
        <v>2361</v>
      </c>
      <c r="G626" s="33" t="s">
        <v>1732</v>
      </c>
      <c r="H626" s="33" t="s">
        <v>2361</v>
      </c>
    </row>
    <row r="627" spans="1:8" x14ac:dyDescent="0.25">
      <c r="A627" s="32">
        <v>33060464664</v>
      </c>
      <c r="B627" s="33" t="s">
        <v>1754</v>
      </c>
      <c r="C627" s="33" t="s">
        <v>1701</v>
      </c>
      <c r="D627" s="33" t="s">
        <v>1673</v>
      </c>
      <c r="E627" s="33" t="s">
        <v>1755</v>
      </c>
      <c r="F627" s="33" t="s">
        <v>2357</v>
      </c>
      <c r="G627" s="33" t="s">
        <v>1732</v>
      </c>
      <c r="H627" s="33" t="s">
        <v>2357</v>
      </c>
    </row>
    <row r="628" spans="1:8" x14ac:dyDescent="0.25">
      <c r="A628" s="32">
        <v>33060464665</v>
      </c>
      <c r="B628" s="33" t="s">
        <v>1754</v>
      </c>
      <c r="C628" s="33" t="s">
        <v>1701</v>
      </c>
      <c r="D628" s="33" t="s">
        <v>1673</v>
      </c>
      <c r="E628" s="33" t="s">
        <v>1755</v>
      </c>
      <c r="F628" s="33" t="s">
        <v>2358</v>
      </c>
      <c r="G628" s="33" t="s">
        <v>1732</v>
      </c>
      <c r="H628" s="33" t="s">
        <v>2358</v>
      </c>
    </row>
    <row r="629" spans="1:8" x14ac:dyDescent="0.25">
      <c r="A629" s="32">
        <v>33060464666</v>
      </c>
      <c r="B629" s="33" t="s">
        <v>1754</v>
      </c>
      <c r="C629" s="33" t="s">
        <v>1701</v>
      </c>
      <c r="D629" s="33" t="s">
        <v>1673</v>
      </c>
      <c r="E629" s="33" t="s">
        <v>1755</v>
      </c>
      <c r="F629" s="33" t="s">
        <v>2352</v>
      </c>
      <c r="G629" s="33" t="s">
        <v>1732</v>
      </c>
      <c r="H629" s="33" t="s">
        <v>2352</v>
      </c>
    </row>
    <row r="630" spans="1:8" x14ac:dyDescent="0.25">
      <c r="A630" s="32">
        <v>33060464667</v>
      </c>
      <c r="B630" s="33" t="s">
        <v>1754</v>
      </c>
      <c r="C630" s="33" t="s">
        <v>1701</v>
      </c>
      <c r="D630" s="33" t="s">
        <v>1673</v>
      </c>
      <c r="E630" s="33" t="s">
        <v>1755</v>
      </c>
      <c r="F630" s="33" t="s">
        <v>2306</v>
      </c>
      <c r="G630" s="33" t="s">
        <v>1732</v>
      </c>
      <c r="H630" s="33" t="s">
        <v>2306</v>
      </c>
    </row>
    <row r="631" spans="1:8" x14ac:dyDescent="0.25">
      <c r="A631" s="32">
        <v>33060464668</v>
      </c>
      <c r="B631" s="33" t="s">
        <v>1754</v>
      </c>
      <c r="C631" s="33" t="s">
        <v>1701</v>
      </c>
      <c r="D631" s="33" t="s">
        <v>1673</v>
      </c>
      <c r="E631" s="33" t="s">
        <v>1755</v>
      </c>
      <c r="F631" s="33" t="s">
        <v>2302</v>
      </c>
      <c r="G631" s="33" t="s">
        <v>1732</v>
      </c>
      <c r="H631" s="33" t="s">
        <v>2302</v>
      </c>
    </row>
    <row r="632" spans="1:8" x14ac:dyDescent="0.25">
      <c r="A632" s="32">
        <v>33060464669</v>
      </c>
      <c r="B632" s="33" t="s">
        <v>1754</v>
      </c>
      <c r="C632" s="33" t="s">
        <v>1701</v>
      </c>
      <c r="D632" s="33" t="s">
        <v>1673</v>
      </c>
      <c r="E632" s="33" t="s">
        <v>1755</v>
      </c>
      <c r="F632" s="33" t="s">
        <v>2307</v>
      </c>
      <c r="G632" s="33" t="s">
        <v>1732</v>
      </c>
      <c r="H632" s="33" t="s">
        <v>2307</v>
      </c>
    </row>
    <row r="633" spans="1:8" x14ac:dyDescent="0.25">
      <c r="A633" s="32">
        <v>33060464670</v>
      </c>
      <c r="B633" s="33" t="s">
        <v>1754</v>
      </c>
      <c r="C633" s="33" t="s">
        <v>1701</v>
      </c>
      <c r="D633" s="33" t="s">
        <v>1673</v>
      </c>
      <c r="E633" s="33" t="s">
        <v>1755</v>
      </c>
      <c r="F633" s="33" t="s">
        <v>2334</v>
      </c>
      <c r="G633" s="33" t="s">
        <v>1732</v>
      </c>
      <c r="H633" s="33" t="s">
        <v>2334</v>
      </c>
    </row>
    <row r="634" spans="1:8" x14ac:dyDescent="0.25">
      <c r="A634" s="32">
        <v>33060464671</v>
      </c>
      <c r="B634" s="33" t="s">
        <v>1754</v>
      </c>
      <c r="C634" s="33" t="s">
        <v>1701</v>
      </c>
      <c r="D634" s="33" t="s">
        <v>1673</v>
      </c>
      <c r="E634" s="33" t="s">
        <v>1755</v>
      </c>
      <c r="F634" s="33" t="s">
        <v>2301</v>
      </c>
      <c r="G634" s="33" t="s">
        <v>1732</v>
      </c>
      <c r="H634" s="33" t="s">
        <v>2301</v>
      </c>
    </row>
    <row r="635" spans="1:8" x14ac:dyDescent="0.25">
      <c r="A635" s="32">
        <v>33060464672</v>
      </c>
      <c r="B635" s="33" t="s">
        <v>1754</v>
      </c>
      <c r="C635" s="33" t="s">
        <v>1701</v>
      </c>
      <c r="D635" s="33" t="s">
        <v>1673</v>
      </c>
      <c r="E635" s="33" t="s">
        <v>1755</v>
      </c>
      <c r="F635" s="33" t="s">
        <v>2362</v>
      </c>
      <c r="G635" s="33" t="s">
        <v>1732</v>
      </c>
      <c r="H635" s="33" t="s">
        <v>2362</v>
      </c>
    </row>
    <row r="636" spans="1:8" x14ac:dyDescent="0.25">
      <c r="A636" s="32">
        <v>33060464673</v>
      </c>
      <c r="B636" s="33" t="s">
        <v>1754</v>
      </c>
      <c r="C636" s="33" t="s">
        <v>1701</v>
      </c>
      <c r="D636" s="33" t="s">
        <v>1673</v>
      </c>
      <c r="E636" s="33" t="s">
        <v>1755</v>
      </c>
      <c r="F636" s="33" t="s">
        <v>2344</v>
      </c>
      <c r="G636" s="33" t="s">
        <v>1732</v>
      </c>
      <c r="H636" s="33" t="s">
        <v>2344</v>
      </c>
    </row>
    <row r="637" spans="1:8" x14ac:dyDescent="0.25">
      <c r="A637" s="32">
        <v>33060464674</v>
      </c>
      <c r="B637" s="33" t="s">
        <v>1754</v>
      </c>
      <c r="C637" s="33" t="s">
        <v>1701</v>
      </c>
      <c r="D637" s="33" t="s">
        <v>1673</v>
      </c>
      <c r="E637" s="33" t="s">
        <v>1755</v>
      </c>
      <c r="F637" s="33" t="s">
        <v>2315</v>
      </c>
      <c r="G637" s="33" t="s">
        <v>1732</v>
      </c>
      <c r="H637" s="33" t="s">
        <v>2315</v>
      </c>
    </row>
    <row r="638" spans="1:8" x14ac:dyDescent="0.25">
      <c r="A638" s="32">
        <v>33060464675</v>
      </c>
      <c r="B638" s="33" t="s">
        <v>1754</v>
      </c>
      <c r="C638" s="33" t="s">
        <v>1701</v>
      </c>
      <c r="D638" s="33" t="s">
        <v>1673</v>
      </c>
      <c r="E638" s="33" t="s">
        <v>1755</v>
      </c>
      <c r="F638" s="33" t="s">
        <v>2318</v>
      </c>
      <c r="G638" s="33" t="s">
        <v>1732</v>
      </c>
      <c r="H638" s="33" t="s">
        <v>2318</v>
      </c>
    </row>
    <row r="639" spans="1:8" x14ac:dyDescent="0.25">
      <c r="A639" s="32">
        <v>33060464676</v>
      </c>
      <c r="B639" s="33" t="s">
        <v>1754</v>
      </c>
      <c r="C639" s="33" t="s">
        <v>1701</v>
      </c>
      <c r="D639" s="33" t="s">
        <v>1673</v>
      </c>
      <c r="E639" s="33" t="s">
        <v>1755</v>
      </c>
      <c r="F639" s="33" t="s">
        <v>2350</v>
      </c>
      <c r="G639" s="33" t="s">
        <v>1732</v>
      </c>
      <c r="H639" s="33" t="s">
        <v>2350</v>
      </c>
    </row>
    <row r="640" spans="1:8" x14ac:dyDescent="0.25">
      <c r="A640" s="32">
        <v>33060464677</v>
      </c>
      <c r="B640" s="33" t="s">
        <v>1754</v>
      </c>
      <c r="C640" s="33" t="s">
        <v>1701</v>
      </c>
      <c r="D640" s="33" t="s">
        <v>1673</v>
      </c>
      <c r="E640" s="33" t="s">
        <v>1755</v>
      </c>
      <c r="F640" s="33" t="s">
        <v>2303</v>
      </c>
      <c r="G640" s="33" t="s">
        <v>1732</v>
      </c>
      <c r="H640" s="33" t="s">
        <v>2303</v>
      </c>
    </row>
    <row r="641" spans="1:8" x14ac:dyDescent="0.25">
      <c r="A641" s="32">
        <v>33060464678</v>
      </c>
      <c r="B641" s="33" t="s">
        <v>1754</v>
      </c>
      <c r="C641" s="33" t="s">
        <v>1701</v>
      </c>
      <c r="D641" s="33" t="s">
        <v>1673</v>
      </c>
      <c r="E641" s="33" t="s">
        <v>1755</v>
      </c>
      <c r="F641" s="33" t="s">
        <v>2300</v>
      </c>
      <c r="G641" s="33" t="s">
        <v>1732</v>
      </c>
      <c r="H641" s="33" t="s">
        <v>2300</v>
      </c>
    </row>
    <row r="642" spans="1:8" x14ac:dyDescent="0.25">
      <c r="A642" s="32">
        <v>33060464679</v>
      </c>
      <c r="B642" s="33" t="s">
        <v>1754</v>
      </c>
      <c r="C642" s="33" t="s">
        <v>1701</v>
      </c>
      <c r="D642" s="33" t="s">
        <v>1673</v>
      </c>
      <c r="E642" s="33" t="s">
        <v>1755</v>
      </c>
      <c r="F642" s="33" t="s">
        <v>2331</v>
      </c>
      <c r="G642" s="33" t="s">
        <v>1732</v>
      </c>
      <c r="H642" s="33" t="s">
        <v>2331</v>
      </c>
    </row>
    <row r="643" spans="1:8" x14ac:dyDescent="0.25">
      <c r="A643" s="32">
        <v>33060464680</v>
      </c>
      <c r="B643" s="33" t="s">
        <v>1754</v>
      </c>
      <c r="C643" s="33" t="s">
        <v>1701</v>
      </c>
      <c r="D643" s="33" t="s">
        <v>1673</v>
      </c>
      <c r="E643" s="33" t="s">
        <v>1755</v>
      </c>
      <c r="F643" s="33" t="s">
        <v>2349</v>
      </c>
      <c r="G643" s="33" t="s">
        <v>1732</v>
      </c>
      <c r="H643" s="33" t="s">
        <v>2349</v>
      </c>
    </row>
    <row r="644" spans="1:8" x14ac:dyDescent="0.25">
      <c r="A644" s="32">
        <v>33060464681</v>
      </c>
      <c r="B644" s="33" t="s">
        <v>1754</v>
      </c>
      <c r="C644" s="33" t="s">
        <v>1701</v>
      </c>
      <c r="D644" s="33" t="s">
        <v>1673</v>
      </c>
      <c r="E644" s="33" t="s">
        <v>1755</v>
      </c>
      <c r="F644" s="33" t="s">
        <v>2324</v>
      </c>
      <c r="G644" s="33" t="s">
        <v>1732</v>
      </c>
      <c r="H644" s="33" t="s">
        <v>2324</v>
      </c>
    </row>
    <row r="645" spans="1:8" x14ac:dyDescent="0.25">
      <c r="A645" s="32">
        <v>33060464682</v>
      </c>
      <c r="B645" s="33" t="s">
        <v>1754</v>
      </c>
      <c r="C645" s="33" t="s">
        <v>1701</v>
      </c>
      <c r="D645" s="33" t="s">
        <v>1673</v>
      </c>
      <c r="E645" s="33" t="s">
        <v>1755</v>
      </c>
      <c r="F645" s="33" t="s">
        <v>2342</v>
      </c>
      <c r="G645" s="33" t="s">
        <v>1732</v>
      </c>
      <c r="H645" s="33" t="s">
        <v>2342</v>
      </c>
    </row>
    <row r="646" spans="1:8" x14ac:dyDescent="0.25">
      <c r="A646" s="32">
        <v>33060464683</v>
      </c>
      <c r="B646" s="33" t="s">
        <v>1754</v>
      </c>
      <c r="C646" s="33" t="s">
        <v>1701</v>
      </c>
      <c r="D646" s="33" t="s">
        <v>1673</v>
      </c>
      <c r="E646" s="33" t="s">
        <v>1755</v>
      </c>
      <c r="F646" s="33" t="s">
        <v>2345</v>
      </c>
      <c r="G646" s="33" t="s">
        <v>1732</v>
      </c>
      <c r="H646" s="33" t="s">
        <v>2345</v>
      </c>
    </row>
    <row r="647" spans="1:8" x14ac:dyDescent="0.25">
      <c r="A647" s="32">
        <v>33060464684</v>
      </c>
      <c r="B647" s="33" t="s">
        <v>1754</v>
      </c>
      <c r="C647" s="33" t="s">
        <v>1701</v>
      </c>
      <c r="D647" s="33" t="s">
        <v>1673</v>
      </c>
      <c r="E647" s="33" t="s">
        <v>1755</v>
      </c>
      <c r="F647" s="33" t="s">
        <v>2320</v>
      </c>
      <c r="G647" s="33" t="s">
        <v>1732</v>
      </c>
      <c r="H647" s="33" t="s">
        <v>2320</v>
      </c>
    </row>
    <row r="648" spans="1:8" x14ac:dyDescent="0.25">
      <c r="A648" s="32">
        <v>33060464685</v>
      </c>
      <c r="B648" s="33" t="s">
        <v>1754</v>
      </c>
      <c r="C648" s="33" t="s">
        <v>1701</v>
      </c>
      <c r="D648" s="33" t="s">
        <v>1673</v>
      </c>
      <c r="E648" s="33" t="s">
        <v>1755</v>
      </c>
      <c r="F648" s="33" t="s">
        <v>2319</v>
      </c>
      <c r="G648" s="33" t="s">
        <v>1732</v>
      </c>
      <c r="H648" s="33" t="s">
        <v>2319</v>
      </c>
    </row>
    <row r="649" spans="1:8" x14ac:dyDescent="0.25">
      <c r="A649" s="32">
        <v>33060464686</v>
      </c>
      <c r="B649" s="33" t="s">
        <v>1754</v>
      </c>
      <c r="C649" s="33" t="s">
        <v>1701</v>
      </c>
      <c r="D649" s="33" t="s">
        <v>1673</v>
      </c>
      <c r="E649" s="33" t="s">
        <v>1755</v>
      </c>
      <c r="F649" s="33" t="s">
        <v>2310</v>
      </c>
      <c r="G649" s="33" t="s">
        <v>1732</v>
      </c>
      <c r="H649" s="33" t="s">
        <v>2310</v>
      </c>
    </row>
    <row r="650" spans="1:8" x14ac:dyDescent="0.25">
      <c r="A650" s="32">
        <v>33060464687</v>
      </c>
      <c r="B650" s="33" t="s">
        <v>1754</v>
      </c>
      <c r="C650" s="33" t="s">
        <v>1701</v>
      </c>
      <c r="D650" s="33" t="s">
        <v>1673</v>
      </c>
      <c r="E650" s="33" t="s">
        <v>1755</v>
      </c>
      <c r="F650" s="33" t="s">
        <v>2312</v>
      </c>
      <c r="G650" s="33" t="s">
        <v>1732</v>
      </c>
      <c r="H650" s="33" t="s">
        <v>2312</v>
      </c>
    </row>
    <row r="651" spans="1:8" x14ac:dyDescent="0.25">
      <c r="A651" s="32">
        <v>33060464688</v>
      </c>
      <c r="B651" s="33" t="s">
        <v>1754</v>
      </c>
      <c r="C651" s="33" t="s">
        <v>1701</v>
      </c>
      <c r="D651" s="33" t="s">
        <v>1673</v>
      </c>
      <c r="E651" s="33" t="s">
        <v>1755</v>
      </c>
      <c r="F651" s="33" t="s">
        <v>2311</v>
      </c>
      <c r="G651" s="33" t="s">
        <v>1732</v>
      </c>
      <c r="H651" s="33" t="s">
        <v>2311</v>
      </c>
    </row>
    <row r="652" spans="1:8" x14ac:dyDescent="0.25">
      <c r="A652" s="32">
        <v>33060464689</v>
      </c>
      <c r="B652" s="33" t="s">
        <v>1754</v>
      </c>
      <c r="C652" s="33" t="s">
        <v>1701</v>
      </c>
      <c r="D652" s="33" t="s">
        <v>1673</v>
      </c>
      <c r="E652" s="33" t="s">
        <v>1755</v>
      </c>
      <c r="F652" s="33" t="s">
        <v>2355</v>
      </c>
      <c r="G652" s="33" t="s">
        <v>1732</v>
      </c>
      <c r="H652" s="33" t="s">
        <v>2355</v>
      </c>
    </row>
    <row r="653" spans="1:8" x14ac:dyDescent="0.25">
      <c r="A653" s="32">
        <v>33060464690</v>
      </c>
      <c r="B653" s="33" t="s">
        <v>1754</v>
      </c>
      <c r="C653" s="33" t="s">
        <v>1701</v>
      </c>
      <c r="D653" s="33" t="s">
        <v>1673</v>
      </c>
      <c r="E653" s="33" t="s">
        <v>1755</v>
      </c>
      <c r="F653" s="33" t="s">
        <v>2364</v>
      </c>
      <c r="G653" s="33" t="s">
        <v>1732</v>
      </c>
      <c r="H653" s="33" t="s">
        <v>2364</v>
      </c>
    </row>
    <row r="654" spans="1:8" x14ac:dyDescent="0.25">
      <c r="A654" s="32">
        <v>33060464691</v>
      </c>
      <c r="B654" s="33" t="s">
        <v>1754</v>
      </c>
      <c r="C654" s="33" t="s">
        <v>1701</v>
      </c>
      <c r="D654" s="33" t="s">
        <v>1673</v>
      </c>
      <c r="E654" s="33" t="s">
        <v>1755</v>
      </c>
      <c r="F654" s="33" t="s">
        <v>2363</v>
      </c>
      <c r="G654" s="33" t="s">
        <v>1732</v>
      </c>
      <c r="H654" s="33" t="s">
        <v>2363</v>
      </c>
    </row>
    <row r="655" spans="1:8" x14ac:dyDescent="0.25">
      <c r="A655" s="32">
        <v>33060464692</v>
      </c>
      <c r="B655" s="33" t="s">
        <v>1754</v>
      </c>
      <c r="C655" s="33" t="s">
        <v>1701</v>
      </c>
      <c r="D655" s="33" t="s">
        <v>1673</v>
      </c>
      <c r="E655" s="33" t="s">
        <v>1755</v>
      </c>
      <c r="F655" s="33" t="s">
        <v>2652</v>
      </c>
      <c r="G655" s="33" t="s">
        <v>1732</v>
      </c>
      <c r="H655" s="33" t="s">
        <v>2652</v>
      </c>
    </row>
    <row r="656" spans="1:8" x14ac:dyDescent="0.25">
      <c r="A656" s="32">
        <v>33060464693</v>
      </c>
      <c r="B656" s="33" t="s">
        <v>1754</v>
      </c>
      <c r="C656" s="33" t="s">
        <v>1701</v>
      </c>
      <c r="D656" s="33" t="s">
        <v>1673</v>
      </c>
      <c r="E656" s="33" t="s">
        <v>1755</v>
      </c>
      <c r="F656" s="33" t="s">
        <v>2636</v>
      </c>
      <c r="G656" s="33" t="s">
        <v>1732</v>
      </c>
      <c r="H656" s="33" t="s">
        <v>2636</v>
      </c>
    </row>
    <row r="657" spans="1:8" x14ac:dyDescent="0.25">
      <c r="A657" s="32">
        <v>33060464694</v>
      </c>
      <c r="B657" s="33" t="s">
        <v>1754</v>
      </c>
      <c r="C657" s="33" t="s">
        <v>1701</v>
      </c>
      <c r="D657" s="33" t="s">
        <v>1673</v>
      </c>
      <c r="E657" s="33" t="s">
        <v>1755</v>
      </c>
      <c r="F657" s="33" t="s">
        <v>2638</v>
      </c>
      <c r="G657" s="33" t="s">
        <v>1732</v>
      </c>
      <c r="H657" s="33" t="s">
        <v>2638</v>
      </c>
    </row>
    <row r="658" spans="1:8" x14ac:dyDescent="0.25">
      <c r="A658" s="32">
        <v>33060464695</v>
      </c>
      <c r="B658" s="33" t="s">
        <v>1754</v>
      </c>
      <c r="C658" s="33" t="s">
        <v>1701</v>
      </c>
      <c r="D658" s="33" t="s">
        <v>1673</v>
      </c>
      <c r="E658" s="33" t="s">
        <v>1755</v>
      </c>
      <c r="F658" s="33" t="s">
        <v>2632</v>
      </c>
      <c r="G658" s="33" t="s">
        <v>1732</v>
      </c>
      <c r="H658" s="33" t="s">
        <v>2632</v>
      </c>
    </row>
    <row r="659" spans="1:8" x14ac:dyDescent="0.25">
      <c r="A659" s="32">
        <v>33060464696</v>
      </c>
      <c r="B659" s="33" t="s">
        <v>1754</v>
      </c>
      <c r="C659" s="33" t="s">
        <v>1701</v>
      </c>
      <c r="D659" s="33" t="s">
        <v>1673</v>
      </c>
      <c r="E659" s="33" t="s">
        <v>1755</v>
      </c>
      <c r="F659" s="33" t="s">
        <v>2653</v>
      </c>
      <c r="G659" s="33" t="s">
        <v>1732</v>
      </c>
      <c r="H659" s="33" t="s">
        <v>2653</v>
      </c>
    </row>
    <row r="660" spans="1:8" x14ac:dyDescent="0.25">
      <c r="A660" s="32">
        <v>33060464697</v>
      </c>
      <c r="B660" s="33" t="s">
        <v>1754</v>
      </c>
      <c r="C660" s="33" t="s">
        <v>1701</v>
      </c>
      <c r="D660" s="33" t="s">
        <v>1673</v>
      </c>
      <c r="E660" s="33" t="s">
        <v>1755</v>
      </c>
      <c r="F660" s="33" t="s">
        <v>2644</v>
      </c>
      <c r="G660" s="33" t="s">
        <v>1732</v>
      </c>
      <c r="H660" s="33" t="s">
        <v>2644</v>
      </c>
    </row>
    <row r="661" spans="1:8" x14ac:dyDescent="0.25">
      <c r="A661" s="32">
        <v>33060464698</v>
      </c>
      <c r="B661" s="33" t="s">
        <v>1754</v>
      </c>
      <c r="C661" s="33" t="s">
        <v>1701</v>
      </c>
      <c r="D661" s="33" t="s">
        <v>1673</v>
      </c>
      <c r="E661" s="33" t="s">
        <v>1755</v>
      </c>
      <c r="F661" s="33" t="s">
        <v>2633</v>
      </c>
      <c r="G661" s="33" t="s">
        <v>1732</v>
      </c>
      <c r="H661" s="33" t="s">
        <v>2633</v>
      </c>
    </row>
    <row r="662" spans="1:8" x14ac:dyDescent="0.25">
      <c r="A662" s="32">
        <v>33060464699</v>
      </c>
      <c r="B662" s="33" t="s">
        <v>1754</v>
      </c>
      <c r="C662" s="33" t="s">
        <v>1701</v>
      </c>
      <c r="D662" s="33" t="s">
        <v>1673</v>
      </c>
      <c r="E662" s="33" t="s">
        <v>1755</v>
      </c>
      <c r="F662" s="33" t="s">
        <v>2641</v>
      </c>
      <c r="G662" s="33" t="s">
        <v>1732</v>
      </c>
      <c r="H662" s="33" t="s">
        <v>2641</v>
      </c>
    </row>
    <row r="663" spans="1:8" x14ac:dyDescent="0.25">
      <c r="A663" s="32">
        <v>33060464700</v>
      </c>
      <c r="B663" s="33" t="s">
        <v>1754</v>
      </c>
      <c r="C663" s="33" t="s">
        <v>1701</v>
      </c>
      <c r="D663" s="33" t="s">
        <v>1673</v>
      </c>
      <c r="E663" s="33" t="s">
        <v>1755</v>
      </c>
      <c r="F663" s="33" t="s">
        <v>2643</v>
      </c>
      <c r="G663" s="33" t="s">
        <v>1732</v>
      </c>
      <c r="H663" s="33" t="s">
        <v>2643</v>
      </c>
    </row>
    <row r="664" spans="1:8" x14ac:dyDescent="0.25">
      <c r="A664" s="32">
        <v>33060464701</v>
      </c>
      <c r="B664" s="33" t="s">
        <v>1754</v>
      </c>
      <c r="C664" s="33" t="s">
        <v>1701</v>
      </c>
      <c r="D664" s="33" t="s">
        <v>1673</v>
      </c>
      <c r="E664" s="33" t="s">
        <v>1755</v>
      </c>
      <c r="F664" s="33" t="s">
        <v>2640</v>
      </c>
      <c r="G664" s="33" t="s">
        <v>1732</v>
      </c>
      <c r="H664" s="33" t="s">
        <v>2640</v>
      </c>
    </row>
    <row r="665" spans="1:8" x14ac:dyDescent="0.25">
      <c r="A665" s="32">
        <v>33060464702</v>
      </c>
      <c r="B665" s="33" t="s">
        <v>1754</v>
      </c>
      <c r="C665" s="33" t="s">
        <v>1701</v>
      </c>
      <c r="D665" s="33" t="s">
        <v>1673</v>
      </c>
      <c r="E665" s="33" t="s">
        <v>1755</v>
      </c>
      <c r="F665" s="33" t="s">
        <v>2634</v>
      </c>
      <c r="G665" s="33" t="s">
        <v>1732</v>
      </c>
      <c r="H665" s="33" t="s">
        <v>2634</v>
      </c>
    </row>
    <row r="666" spans="1:8" x14ac:dyDescent="0.25">
      <c r="A666" s="32">
        <v>33060464703</v>
      </c>
      <c r="B666" s="33" t="s">
        <v>1754</v>
      </c>
      <c r="C666" s="33" t="s">
        <v>1701</v>
      </c>
      <c r="D666" s="33" t="s">
        <v>1673</v>
      </c>
      <c r="E666" s="33" t="s">
        <v>1755</v>
      </c>
      <c r="F666" s="33" t="s">
        <v>2642</v>
      </c>
      <c r="G666" s="33" t="s">
        <v>1732</v>
      </c>
      <c r="H666" s="33" t="s">
        <v>2642</v>
      </c>
    </row>
    <row r="667" spans="1:8" x14ac:dyDescent="0.25">
      <c r="A667" s="32">
        <v>33060464704</v>
      </c>
      <c r="B667" s="33" t="s">
        <v>1754</v>
      </c>
      <c r="C667" s="33" t="s">
        <v>1701</v>
      </c>
      <c r="D667" s="33" t="s">
        <v>1673</v>
      </c>
      <c r="E667" s="33" t="s">
        <v>1755</v>
      </c>
      <c r="F667" s="33" t="s">
        <v>2650</v>
      </c>
      <c r="G667" s="33" t="s">
        <v>1732</v>
      </c>
      <c r="H667" s="33" t="s">
        <v>2650</v>
      </c>
    </row>
    <row r="668" spans="1:8" x14ac:dyDescent="0.25">
      <c r="A668" s="32">
        <v>33060464705</v>
      </c>
      <c r="B668" s="33" t="s">
        <v>1754</v>
      </c>
      <c r="C668" s="33" t="s">
        <v>1701</v>
      </c>
      <c r="D668" s="33" t="s">
        <v>1673</v>
      </c>
      <c r="E668" s="33" t="s">
        <v>1755</v>
      </c>
      <c r="F668" s="33" t="s">
        <v>2646</v>
      </c>
      <c r="G668" s="33" t="s">
        <v>1732</v>
      </c>
      <c r="H668" s="33" t="s">
        <v>2646</v>
      </c>
    </row>
    <row r="669" spans="1:8" x14ac:dyDescent="0.25">
      <c r="A669" s="32">
        <v>33060464706</v>
      </c>
      <c r="B669" s="33" t="s">
        <v>1754</v>
      </c>
      <c r="C669" s="33" t="s">
        <v>1701</v>
      </c>
      <c r="D669" s="33" t="s">
        <v>1673</v>
      </c>
      <c r="E669" s="33" t="s">
        <v>1755</v>
      </c>
      <c r="F669" s="33" t="s">
        <v>2635</v>
      </c>
      <c r="G669" s="33" t="s">
        <v>1732</v>
      </c>
      <c r="H669" s="33" t="s">
        <v>2635</v>
      </c>
    </row>
    <row r="670" spans="1:8" x14ac:dyDescent="0.25">
      <c r="A670" s="32">
        <v>33060464707</v>
      </c>
      <c r="B670" s="33" t="s">
        <v>1754</v>
      </c>
      <c r="C670" s="33" t="s">
        <v>1701</v>
      </c>
      <c r="D670" s="33" t="s">
        <v>1673</v>
      </c>
      <c r="E670" s="33" t="s">
        <v>1755</v>
      </c>
      <c r="F670" s="33" t="s">
        <v>2651</v>
      </c>
      <c r="G670" s="33" t="s">
        <v>1732</v>
      </c>
      <c r="H670" s="33" t="s">
        <v>2651</v>
      </c>
    </row>
    <row r="671" spans="1:8" x14ac:dyDescent="0.25">
      <c r="A671" s="32">
        <v>33060464708</v>
      </c>
      <c r="B671" s="33" t="s">
        <v>1754</v>
      </c>
      <c r="C671" s="33" t="s">
        <v>1701</v>
      </c>
      <c r="D671" s="33" t="s">
        <v>1673</v>
      </c>
      <c r="E671" s="33" t="s">
        <v>1755</v>
      </c>
      <c r="F671" s="33" t="s">
        <v>2649</v>
      </c>
      <c r="G671" s="33" t="s">
        <v>1732</v>
      </c>
      <c r="H671" s="33" t="s">
        <v>2649</v>
      </c>
    </row>
    <row r="672" spans="1:8" x14ac:dyDescent="0.25">
      <c r="A672" s="32">
        <v>33060464709</v>
      </c>
      <c r="B672" s="33" t="s">
        <v>1754</v>
      </c>
      <c r="C672" s="33" t="s">
        <v>1701</v>
      </c>
      <c r="D672" s="33" t="s">
        <v>1673</v>
      </c>
      <c r="E672" s="33" t="s">
        <v>1755</v>
      </c>
      <c r="F672" s="33" t="s">
        <v>2631</v>
      </c>
      <c r="G672" s="33" t="s">
        <v>1732</v>
      </c>
      <c r="H672" s="33" t="s">
        <v>2631</v>
      </c>
    </row>
    <row r="673" spans="1:8" x14ac:dyDescent="0.25">
      <c r="A673" s="32">
        <v>33060464710</v>
      </c>
      <c r="B673" s="33" t="s">
        <v>1754</v>
      </c>
      <c r="C673" s="33" t="s">
        <v>1701</v>
      </c>
      <c r="D673" s="33" t="s">
        <v>1673</v>
      </c>
      <c r="E673" s="33" t="s">
        <v>1755</v>
      </c>
      <c r="F673" s="33" t="s">
        <v>2648</v>
      </c>
      <c r="G673" s="33" t="s">
        <v>1732</v>
      </c>
      <c r="H673" s="33" t="s">
        <v>2648</v>
      </c>
    </row>
    <row r="674" spans="1:8" x14ac:dyDescent="0.25">
      <c r="A674" s="32">
        <v>33060464711</v>
      </c>
      <c r="B674" s="33" t="s">
        <v>1754</v>
      </c>
      <c r="C674" s="33" t="s">
        <v>1701</v>
      </c>
      <c r="D674" s="33" t="s">
        <v>1673</v>
      </c>
      <c r="E674" s="33" t="s">
        <v>1755</v>
      </c>
      <c r="F674" s="33" t="s">
        <v>2645</v>
      </c>
      <c r="G674" s="33" t="s">
        <v>1732</v>
      </c>
      <c r="H674" s="33" t="s">
        <v>2645</v>
      </c>
    </row>
    <row r="675" spans="1:8" x14ac:dyDescent="0.25">
      <c r="A675" s="32">
        <v>33060464712</v>
      </c>
      <c r="B675" s="33" t="s">
        <v>1754</v>
      </c>
      <c r="C675" s="33" t="s">
        <v>1701</v>
      </c>
      <c r="D675" s="33" t="s">
        <v>1673</v>
      </c>
      <c r="E675" s="33" t="s">
        <v>1755</v>
      </c>
      <c r="F675" s="33" t="s">
        <v>2647</v>
      </c>
      <c r="G675" s="33" t="s">
        <v>1732</v>
      </c>
      <c r="H675" s="33" t="s">
        <v>2647</v>
      </c>
    </row>
    <row r="676" spans="1:8" x14ac:dyDescent="0.25">
      <c r="A676" s="32">
        <v>33060464713</v>
      </c>
      <c r="B676" s="33" t="s">
        <v>1754</v>
      </c>
      <c r="C676" s="33" t="s">
        <v>1701</v>
      </c>
      <c r="D676" s="33" t="s">
        <v>1673</v>
      </c>
      <c r="E676" s="33" t="s">
        <v>1755</v>
      </c>
      <c r="F676" s="33" t="s">
        <v>2637</v>
      </c>
      <c r="G676" s="33" t="s">
        <v>1732</v>
      </c>
      <c r="H676" s="33" t="s">
        <v>2637</v>
      </c>
    </row>
    <row r="677" spans="1:8" x14ac:dyDescent="0.25">
      <c r="A677" s="32">
        <v>33060464714</v>
      </c>
      <c r="B677" s="33" t="s">
        <v>1754</v>
      </c>
      <c r="C677" s="33" t="s">
        <v>1701</v>
      </c>
      <c r="D677" s="33" t="s">
        <v>1673</v>
      </c>
      <c r="E677" s="33" t="s">
        <v>1755</v>
      </c>
      <c r="F677" s="33" t="s">
        <v>2639</v>
      </c>
      <c r="G677" s="33" t="s">
        <v>1732</v>
      </c>
      <c r="H677" s="33" t="s">
        <v>2639</v>
      </c>
    </row>
    <row r="678" spans="1:8" x14ac:dyDescent="0.25">
      <c r="A678" s="32">
        <v>33060464715</v>
      </c>
      <c r="B678" s="33" t="s">
        <v>1754</v>
      </c>
      <c r="C678" s="33" t="s">
        <v>1701</v>
      </c>
      <c r="D678" s="33" t="s">
        <v>1674</v>
      </c>
      <c r="E678" s="33" t="s">
        <v>1755</v>
      </c>
      <c r="F678" s="33" t="s">
        <v>2376</v>
      </c>
      <c r="G678" s="33" t="s">
        <v>1732</v>
      </c>
      <c r="H678" s="33" t="s">
        <v>2376</v>
      </c>
    </row>
    <row r="679" spans="1:8" x14ac:dyDescent="0.25">
      <c r="A679" s="32">
        <v>33060464716</v>
      </c>
      <c r="B679" s="33" t="s">
        <v>1754</v>
      </c>
      <c r="C679" s="33" t="s">
        <v>1701</v>
      </c>
      <c r="D679" s="33" t="s">
        <v>1673</v>
      </c>
      <c r="E679" s="33" t="s">
        <v>1755</v>
      </c>
      <c r="F679" s="33" t="s">
        <v>2409</v>
      </c>
      <c r="G679" s="33" t="s">
        <v>1732</v>
      </c>
      <c r="H679" s="33" t="s">
        <v>2409</v>
      </c>
    </row>
    <row r="680" spans="1:8" x14ac:dyDescent="0.25">
      <c r="A680" s="32">
        <v>33060464717</v>
      </c>
      <c r="B680" s="33" t="s">
        <v>1754</v>
      </c>
      <c r="C680" s="33" t="s">
        <v>1701</v>
      </c>
      <c r="D680" s="33" t="s">
        <v>1674</v>
      </c>
      <c r="E680" s="33" t="s">
        <v>1755</v>
      </c>
      <c r="F680" s="33" t="s">
        <v>2375</v>
      </c>
      <c r="G680" s="33" t="s">
        <v>1732</v>
      </c>
      <c r="H680" s="33" t="s">
        <v>2375</v>
      </c>
    </row>
    <row r="681" spans="1:8" x14ac:dyDescent="0.25">
      <c r="A681" s="32">
        <v>33060464718</v>
      </c>
      <c r="B681" s="33" t="s">
        <v>1754</v>
      </c>
      <c r="C681" s="33" t="s">
        <v>1701</v>
      </c>
      <c r="D681" s="33" t="s">
        <v>1673</v>
      </c>
      <c r="E681" s="33" t="s">
        <v>1755</v>
      </c>
      <c r="F681" s="33" t="s">
        <v>2402</v>
      </c>
      <c r="G681" s="33" t="s">
        <v>1732</v>
      </c>
      <c r="H681" s="33" t="s">
        <v>2402</v>
      </c>
    </row>
    <row r="682" spans="1:8" x14ac:dyDescent="0.25">
      <c r="A682" s="32">
        <v>33060464719</v>
      </c>
      <c r="B682" s="33" t="s">
        <v>1754</v>
      </c>
      <c r="C682" s="33" t="s">
        <v>1701</v>
      </c>
      <c r="D682" s="33" t="s">
        <v>1673</v>
      </c>
      <c r="E682" s="33" t="s">
        <v>1755</v>
      </c>
      <c r="F682" s="33" t="s">
        <v>2431</v>
      </c>
      <c r="G682" s="33" t="s">
        <v>1732</v>
      </c>
      <c r="H682" s="33" t="s">
        <v>2431</v>
      </c>
    </row>
    <row r="683" spans="1:8" x14ac:dyDescent="0.25">
      <c r="A683" s="32">
        <v>33060464720</v>
      </c>
      <c r="B683" s="33" t="s">
        <v>1754</v>
      </c>
      <c r="C683" s="33" t="s">
        <v>1701</v>
      </c>
      <c r="D683" s="33" t="s">
        <v>1673</v>
      </c>
      <c r="E683" s="33" t="s">
        <v>1755</v>
      </c>
      <c r="F683" s="33" t="s">
        <v>2440</v>
      </c>
      <c r="G683" s="33" t="s">
        <v>1732</v>
      </c>
      <c r="H683" s="33" t="s">
        <v>2440</v>
      </c>
    </row>
    <row r="684" spans="1:8" x14ac:dyDescent="0.25">
      <c r="A684" s="32">
        <v>33060464721</v>
      </c>
      <c r="B684" s="33" t="s">
        <v>1754</v>
      </c>
      <c r="C684" s="33" t="s">
        <v>1701</v>
      </c>
      <c r="D684" s="33" t="s">
        <v>1673</v>
      </c>
      <c r="E684" s="33" t="s">
        <v>1755</v>
      </c>
      <c r="F684" s="33" t="s">
        <v>2423</v>
      </c>
      <c r="G684" s="33" t="s">
        <v>1732</v>
      </c>
      <c r="H684" s="33" t="s">
        <v>2423</v>
      </c>
    </row>
    <row r="685" spans="1:8" x14ac:dyDescent="0.25">
      <c r="A685" s="32">
        <v>33060464722</v>
      </c>
      <c r="B685" s="33" t="s">
        <v>1754</v>
      </c>
      <c r="C685" s="33" t="s">
        <v>1701</v>
      </c>
      <c r="D685" s="33" t="s">
        <v>1673</v>
      </c>
      <c r="E685" s="33" t="s">
        <v>1755</v>
      </c>
      <c r="F685" s="33" t="s">
        <v>2424</v>
      </c>
      <c r="G685" s="33" t="s">
        <v>1732</v>
      </c>
      <c r="H685" s="33" t="s">
        <v>2424</v>
      </c>
    </row>
    <row r="686" spans="1:8" x14ac:dyDescent="0.25">
      <c r="A686" s="32">
        <v>33060464723</v>
      </c>
      <c r="B686" s="33" t="s">
        <v>1754</v>
      </c>
      <c r="C686" s="33" t="s">
        <v>1701</v>
      </c>
      <c r="D686" s="33" t="s">
        <v>1673</v>
      </c>
      <c r="E686" s="33" t="s">
        <v>1755</v>
      </c>
      <c r="F686" s="33" t="s">
        <v>2443</v>
      </c>
      <c r="G686" s="33" t="s">
        <v>1732</v>
      </c>
      <c r="H686" s="33" t="s">
        <v>2443</v>
      </c>
    </row>
    <row r="687" spans="1:8" x14ac:dyDescent="0.25">
      <c r="A687" s="32">
        <v>33060464724</v>
      </c>
      <c r="B687" s="33" t="s">
        <v>1754</v>
      </c>
      <c r="C687" s="33" t="s">
        <v>1701</v>
      </c>
      <c r="D687" s="33" t="s">
        <v>1673</v>
      </c>
      <c r="E687" s="33" t="s">
        <v>1755</v>
      </c>
      <c r="F687" s="33" t="s">
        <v>2444</v>
      </c>
      <c r="G687" s="33" t="s">
        <v>1732</v>
      </c>
      <c r="H687" s="33" t="s">
        <v>2444</v>
      </c>
    </row>
    <row r="688" spans="1:8" x14ac:dyDescent="0.25">
      <c r="A688" s="32">
        <v>33060464725</v>
      </c>
      <c r="B688" s="33" t="s">
        <v>1754</v>
      </c>
      <c r="C688" s="33" t="s">
        <v>1701</v>
      </c>
      <c r="D688" s="33" t="s">
        <v>1673</v>
      </c>
      <c r="E688" s="33" t="s">
        <v>1755</v>
      </c>
      <c r="F688" s="33" t="s">
        <v>2442</v>
      </c>
      <c r="G688" s="33" t="s">
        <v>1732</v>
      </c>
      <c r="H688" s="33" t="s">
        <v>2442</v>
      </c>
    </row>
    <row r="689" spans="1:8" x14ac:dyDescent="0.25">
      <c r="A689" s="32">
        <v>33060464726</v>
      </c>
      <c r="B689" s="33" t="s">
        <v>1754</v>
      </c>
      <c r="C689" s="33" t="s">
        <v>1701</v>
      </c>
      <c r="D689" s="33" t="s">
        <v>1673</v>
      </c>
      <c r="E689" s="33" t="s">
        <v>1755</v>
      </c>
      <c r="F689" s="33" t="s">
        <v>2405</v>
      </c>
      <c r="G689" s="33" t="s">
        <v>1732</v>
      </c>
      <c r="H689" s="33" t="s">
        <v>2405</v>
      </c>
    </row>
    <row r="690" spans="1:8" x14ac:dyDescent="0.25">
      <c r="A690" s="32">
        <v>33060464727</v>
      </c>
      <c r="B690" s="33" t="s">
        <v>1754</v>
      </c>
      <c r="C690" s="33" t="s">
        <v>1701</v>
      </c>
      <c r="D690" s="33" t="s">
        <v>1673</v>
      </c>
      <c r="E690" s="33" t="s">
        <v>1755</v>
      </c>
      <c r="F690" s="33" t="s">
        <v>2406</v>
      </c>
      <c r="G690" s="33" t="s">
        <v>1732</v>
      </c>
      <c r="H690" s="33" t="s">
        <v>2406</v>
      </c>
    </row>
    <row r="691" spans="1:8" x14ac:dyDescent="0.25">
      <c r="A691" s="32">
        <v>33060464728</v>
      </c>
      <c r="B691" s="33" t="s">
        <v>1754</v>
      </c>
      <c r="C691" s="33" t="s">
        <v>1701</v>
      </c>
      <c r="D691" s="33" t="s">
        <v>1673</v>
      </c>
      <c r="E691" s="33" t="s">
        <v>1755</v>
      </c>
      <c r="F691" s="33" t="s">
        <v>2407</v>
      </c>
      <c r="G691" s="33" t="s">
        <v>1732</v>
      </c>
      <c r="H691" s="33" t="s">
        <v>2407</v>
      </c>
    </row>
    <row r="692" spans="1:8" x14ac:dyDescent="0.25">
      <c r="A692" s="32">
        <v>33060464729</v>
      </c>
      <c r="B692" s="33" t="s">
        <v>1754</v>
      </c>
      <c r="C692" s="33" t="s">
        <v>1701</v>
      </c>
      <c r="D692" s="33" t="s">
        <v>1673</v>
      </c>
      <c r="E692" s="33" t="s">
        <v>1755</v>
      </c>
      <c r="F692" s="33" t="s">
        <v>2400</v>
      </c>
      <c r="G692" s="33" t="s">
        <v>1732</v>
      </c>
      <c r="H692" s="33" t="s">
        <v>2400</v>
      </c>
    </row>
    <row r="693" spans="1:8" x14ac:dyDescent="0.25">
      <c r="A693" s="32">
        <v>33060464730</v>
      </c>
      <c r="B693" s="33" t="s">
        <v>1754</v>
      </c>
      <c r="C693" s="33" t="s">
        <v>1701</v>
      </c>
      <c r="D693" s="33" t="s">
        <v>1673</v>
      </c>
      <c r="E693" s="33" t="s">
        <v>1755</v>
      </c>
      <c r="F693" s="33" t="s">
        <v>2445</v>
      </c>
      <c r="G693" s="33" t="s">
        <v>1732</v>
      </c>
      <c r="H693" s="33" t="s">
        <v>2445</v>
      </c>
    </row>
    <row r="694" spans="1:8" x14ac:dyDescent="0.25">
      <c r="A694" s="32">
        <v>33060464731</v>
      </c>
      <c r="B694" s="33" t="s">
        <v>1754</v>
      </c>
      <c r="C694" s="33" t="s">
        <v>1701</v>
      </c>
      <c r="D694" s="33" t="s">
        <v>1673</v>
      </c>
      <c r="E694" s="33" t="s">
        <v>1755</v>
      </c>
      <c r="F694" s="33" t="s">
        <v>2408</v>
      </c>
      <c r="G694" s="33" t="s">
        <v>1732</v>
      </c>
      <c r="H694" s="33" t="s">
        <v>2408</v>
      </c>
    </row>
    <row r="695" spans="1:8" x14ac:dyDescent="0.25">
      <c r="A695" s="32">
        <v>33060464732</v>
      </c>
      <c r="B695" s="33" t="s">
        <v>1754</v>
      </c>
      <c r="C695" s="33" t="s">
        <v>1701</v>
      </c>
      <c r="D695" s="33" t="s">
        <v>1673</v>
      </c>
      <c r="E695" s="33" t="s">
        <v>1755</v>
      </c>
      <c r="F695" s="33" t="s">
        <v>2399</v>
      </c>
      <c r="G695" s="33" t="s">
        <v>1732</v>
      </c>
      <c r="H695" s="33" t="s">
        <v>2399</v>
      </c>
    </row>
    <row r="696" spans="1:8" x14ac:dyDescent="0.25">
      <c r="A696" s="32">
        <v>33060464733</v>
      </c>
      <c r="B696" s="33" t="s">
        <v>1754</v>
      </c>
      <c r="C696" s="33" t="s">
        <v>1701</v>
      </c>
      <c r="D696" s="33" t="s">
        <v>1673</v>
      </c>
      <c r="E696" s="33" t="s">
        <v>1755</v>
      </c>
      <c r="F696" s="33" t="s">
        <v>2401</v>
      </c>
      <c r="G696" s="33" t="s">
        <v>1732</v>
      </c>
      <c r="H696" s="33" t="s">
        <v>2401</v>
      </c>
    </row>
    <row r="697" spans="1:8" x14ac:dyDescent="0.25">
      <c r="A697" s="32">
        <v>33060464734</v>
      </c>
      <c r="B697" s="33" t="s">
        <v>1754</v>
      </c>
      <c r="C697" s="33" t="s">
        <v>1701</v>
      </c>
      <c r="D697" s="33" t="s">
        <v>1674</v>
      </c>
      <c r="E697" s="33" t="s">
        <v>1755</v>
      </c>
      <c r="F697" s="33" t="s">
        <v>2384</v>
      </c>
      <c r="G697" s="33" t="s">
        <v>1732</v>
      </c>
      <c r="H697" s="33" t="s">
        <v>2384</v>
      </c>
    </row>
    <row r="698" spans="1:8" x14ac:dyDescent="0.25">
      <c r="A698" s="32">
        <v>33060464735</v>
      </c>
      <c r="B698" s="33" t="s">
        <v>1754</v>
      </c>
      <c r="C698" s="33" t="s">
        <v>1701</v>
      </c>
      <c r="D698" s="33" t="s">
        <v>1674</v>
      </c>
      <c r="E698" s="33" t="s">
        <v>1755</v>
      </c>
      <c r="F698" s="33" t="s">
        <v>2383</v>
      </c>
      <c r="G698" s="33" t="s">
        <v>1732</v>
      </c>
      <c r="H698" s="33" t="s">
        <v>2383</v>
      </c>
    </row>
    <row r="699" spans="1:8" x14ac:dyDescent="0.25">
      <c r="A699" s="32">
        <v>33060464736</v>
      </c>
      <c r="B699" s="33" t="s">
        <v>1754</v>
      </c>
      <c r="C699" s="33" t="s">
        <v>1701</v>
      </c>
      <c r="D699" s="33" t="s">
        <v>1673</v>
      </c>
      <c r="E699" s="33" t="s">
        <v>1755</v>
      </c>
      <c r="F699" s="33" t="s">
        <v>2403</v>
      </c>
      <c r="G699" s="33" t="s">
        <v>1732</v>
      </c>
      <c r="H699" s="33" t="s">
        <v>2403</v>
      </c>
    </row>
    <row r="700" spans="1:8" x14ac:dyDescent="0.25">
      <c r="A700" s="32">
        <v>33060464737</v>
      </c>
      <c r="B700" s="33" t="s">
        <v>1754</v>
      </c>
      <c r="C700" s="33" t="s">
        <v>1701</v>
      </c>
      <c r="D700" s="33" t="s">
        <v>1673</v>
      </c>
      <c r="E700" s="33" t="s">
        <v>1755</v>
      </c>
      <c r="F700" s="33" t="s">
        <v>2404</v>
      </c>
      <c r="G700" s="33" t="s">
        <v>1732</v>
      </c>
      <c r="H700" s="33" t="s">
        <v>2404</v>
      </c>
    </row>
    <row r="701" spans="1:8" x14ac:dyDescent="0.25">
      <c r="A701" s="32">
        <v>33060464738</v>
      </c>
      <c r="B701" s="33" t="s">
        <v>1754</v>
      </c>
      <c r="C701" s="33" t="s">
        <v>1701</v>
      </c>
      <c r="D701" s="33" t="s">
        <v>1674</v>
      </c>
      <c r="E701" s="33" t="s">
        <v>1755</v>
      </c>
      <c r="F701" s="33" t="s">
        <v>2382</v>
      </c>
      <c r="G701" s="33" t="s">
        <v>1732</v>
      </c>
      <c r="H701" s="33" t="s">
        <v>2382</v>
      </c>
    </row>
    <row r="702" spans="1:8" x14ac:dyDescent="0.25">
      <c r="A702" s="32">
        <v>33060464739</v>
      </c>
      <c r="B702" s="33" t="s">
        <v>1754</v>
      </c>
      <c r="C702" s="33" t="s">
        <v>1701</v>
      </c>
      <c r="D702" s="33" t="s">
        <v>1673</v>
      </c>
      <c r="E702" s="33" t="s">
        <v>1755</v>
      </c>
      <c r="F702" s="33" t="s">
        <v>2397</v>
      </c>
      <c r="G702" s="33" t="s">
        <v>1732</v>
      </c>
      <c r="H702" s="33" t="s">
        <v>2397</v>
      </c>
    </row>
    <row r="703" spans="1:8" x14ac:dyDescent="0.25">
      <c r="A703" s="32">
        <v>33060464740</v>
      </c>
      <c r="B703" s="33" t="s">
        <v>1754</v>
      </c>
      <c r="C703" s="33" t="s">
        <v>1701</v>
      </c>
      <c r="D703" s="33" t="s">
        <v>1683</v>
      </c>
      <c r="E703" s="33" t="s">
        <v>1755</v>
      </c>
      <c r="F703" s="33" t="s">
        <v>2487</v>
      </c>
      <c r="G703" s="33" t="s">
        <v>1732</v>
      </c>
      <c r="H703" s="33" t="s">
        <v>2487</v>
      </c>
    </row>
    <row r="704" spans="1:8" x14ac:dyDescent="0.25">
      <c r="A704" s="32">
        <v>33060464741</v>
      </c>
      <c r="B704" s="33" t="s">
        <v>1754</v>
      </c>
      <c r="C704" s="33" t="s">
        <v>1701</v>
      </c>
      <c r="D704" s="33" t="s">
        <v>1683</v>
      </c>
      <c r="E704" s="33" t="s">
        <v>1755</v>
      </c>
      <c r="F704" s="33" t="s">
        <v>2458</v>
      </c>
      <c r="G704" s="33" t="s">
        <v>1732</v>
      </c>
      <c r="H704" s="33" t="s">
        <v>2458</v>
      </c>
    </row>
    <row r="705" spans="1:8" x14ac:dyDescent="0.25">
      <c r="A705" s="32">
        <v>33060464742</v>
      </c>
      <c r="B705" s="33" t="s">
        <v>1754</v>
      </c>
      <c r="C705" s="33" t="s">
        <v>1701</v>
      </c>
      <c r="D705" s="33" t="s">
        <v>1683</v>
      </c>
      <c r="E705" s="33" t="s">
        <v>1755</v>
      </c>
      <c r="F705" s="33" t="s">
        <v>2478</v>
      </c>
      <c r="G705" s="33" t="s">
        <v>1732</v>
      </c>
      <c r="H705" s="33" t="s">
        <v>2478</v>
      </c>
    </row>
    <row r="706" spans="1:8" x14ac:dyDescent="0.25">
      <c r="A706" s="32">
        <v>33060464743</v>
      </c>
      <c r="B706" s="33" t="s">
        <v>1754</v>
      </c>
      <c r="C706" s="33" t="s">
        <v>1701</v>
      </c>
      <c r="D706" s="33" t="s">
        <v>1683</v>
      </c>
      <c r="E706" s="33" t="s">
        <v>1755</v>
      </c>
      <c r="F706" s="33" t="s">
        <v>2488</v>
      </c>
      <c r="G706" s="33" t="s">
        <v>1732</v>
      </c>
      <c r="H706" s="33" t="s">
        <v>2488</v>
      </c>
    </row>
    <row r="707" spans="1:8" x14ac:dyDescent="0.25">
      <c r="A707" s="32">
        <v>33060464744</v>
      </c>
      <c r="B707" s="33" t="s">
        <v>1754</v>
      </c>
      <c r="C707" s="33" t="s">
        <v>1701</v>
      </c>
      <c r="D707" s="33" t="s">
        <v>1683</v>
      </c>
      <c r="E707" s="33" t="s">
        <v>1755</v>
      </c>
      <c r="F707" s="33" t="s">
        <v>2462</v>
      </c>
      <c r="G707" s="33" t="s">
        <v>1732</v>
      </c>
      <c r="H707" s="33" t="s">
        <v>2462</v>
      </c>
    </row>
    <row r="708" spans="1:8" x14ac:dyDescent="0.25">
      <c r="A708" s="32">
        <v>33060464745</v>
      </c>
      <c r="B708" s="33" t="s">
        <v>1754</v>
      </c>
      <c r="C708" s="33" t="s">
        <v>1701</v>
      </c>
      <c r="D708" s="33" t="s">
        <v>1683</v>
      </c>
      <c r="E708" s="33" t="s">
        <v>1755</v>
      </c>
      <c r="F708" s="33" t="s">
        <v>2463</v>
      </c>
      <c r="G708" s="33" t="s">
        <v>1732</v>
      </c>
      <c r="H708" s="33" t="s">
        <v>2463</v>
      </c>
    </row>
    <row r="709" spans="1:8" x14ac:dyDescent="0.25">
      <c r="A709" s="32">
        <v>33060464746</v>
      </c>
      <c r="B709" s="33" t="s">
        <v>1754</v>
      </c>
      <c r="C709" s="33" t="s">
        <v>1701</v>
      </c>
      <c r="D709" s="33" t="s">
        <v>1683</v>
      </c>
      <c r="E709" s="33" t="s">
        <v>1755</v>
      </c>
      <c r="F709" s="33" t="s">
        <v>2486</v>
      </c>
      <c r="G709" s="33" t="s">
        <v>1732</v>
      </c>
      <c r="H709" s="33" t="s">
        <v>2486</v>
      </c>
    </row>
    <row r="710" spans="1:8" x14ac:dyDescent="0.25">
      <c r="A710" s="32">
        <v>33060464747</v>
      </c>
      <c r="B710" s="33" t="s">
        <v>1754</v>
      </c>
      <c r="C710" s="33" t="s">
        <v>1701</v>
      </c>
      <c r="D710" s="33" t="s">
        <v>1683</v>
      </c>
      <c r="E710" s="33" t="s">
        <v>1755</v>
      </c>
      <c r="F710" s="33" t="s">
        <v>2464</v>
      </c>
      <c r="G710" s="33" t="s">
        <v>1732</v>
      </c>
      <c r="H710" s="33" t="s">
        <v>2464</v>
      </c>
    </row>
    <row r="711" spans="1:8" x14ac:dyDescent="0.25">
      <c r="A711" s="32">
        <v>33060464748</v>
      </c>
      <c r="B711" s="33" t="s">
        <v>1754</v>
      </c>
      <c r="C711" s="33" t="s">
        <v>1701</v>
      </c>
      <c r="D711" s="33" t="s">
        <v>1683</v>
      </c>
      <c r="E711" s="33" t="s">
        <v>1755</v>
      </c>
      <c r="F711" s="33" t="s">
        <v>2455</v>
      </c>
      <c r="G711" s="33" t="s">
        <v>1732</v>
      </c>
      <c r="H711" s="33" t="s">
        <v>2455</v>
      </c>
    </row>
    <row r="712" spans="1:8" x14ac:dyDescent="0.25">
      <c r="A712" s="32">
        <v>33060464749</v>
      </c>
      <c r="B712" s="33" t="s">
        <v>1754</v>
      </c>
      <c r="C712" s="33" t="s">
        <v>1701</v>
      </c>
      <c r="D712" s="33" t="s">
        <v>1683</v>
      </c>
      <c r="E712" s="33" t="s">
        <v>1755</v>
      </c>
      <c r="F712" s="33" t="s">
        <v>2467</v>
      </c>
      <c r="G712" s="33" t="s">
        <v>1732</v>
      </c>
      <c r="H712" s="33" t="s">
        <v>2467</v>
      </c>
    </row>
    <row r="713" spans="1:8" x14ac:dyDescent="0.25">
      <c r="A713" s="32">
        <v>33060464750</v>
      </c>
      <c r="B713" s="33" t="s">
        <v>1754</v>
      </c>
      <c r="C713" s="33" t="s">
        <v>1701</v>
      </c>
      <c r="D713" s="33" t="s">
        <v>1683</v>
      </c>
      <c r="E713" s="33" t="s">
        <v>1755</v>
      </c>
      <c r="F713" s="33" t="s">
        <v>2465</v>
      </c>
      <c r="G713" s="33" t="s">
        <v>1732</v>
      </c>
      <c r="H713" s="33" t="s">
        <v>2465</v>
      </c>
    </row>
    <row r="714" spans="1:8" x14ac:dyDescent="0.25">
      <c r="A714" s="32">
        <v>33060464751</v>
      </c>
      <c r="B714" s="33" t="s">
        <v>1754</v>
      </c>
      <c r="C714" s="33" t="s">
        <v>1701</v>
      </c>
      <c r="D714" s="33" t="s">
        <v>1683</v>
      </c>
      <c r="E714" s="33" t="s">
        <v>1755</v>
      </c>
      <c r="F714" s="33" t="s">
        <v>2459</v>
      </c>
      <c r="G714" s="33" t="s">
        <v>1732</v>
      </c>
      <c r="H714" s="33" t="s">
        <v>2459</v>
      </c>
    </row>
    <row r="715" spans="1:8" x14ac:dyDescent="0.25">
      <c r="A715" s="32">
        <v>33060464752</v>
      </c>
      <c r="B715" s="33" t="s">
        <v>1754</v>
      </c>
      <c r="C715" s="33" t="s">
        <v>1701</v>
      </c>
      <c r="D715" s="33" t="s">
        <v>1683</v>
      </c>
      <c r="E715" s="33" t="s">
        <v>1755</v>
      </c>
      <c r="F715" s="33" t="s">
        <v>2461</v>
      </c>
      <c r="G715" s="33" t="s">
        <v>1732</v>
      </c>
      <c r="H715" s="33" t="s">
        <v>2461</v>
      </c>
    </row>
    <row r="716" spans="1:8" x14ac:dyDescent="0.25">
      <c r="A716" s="32">
        <v>33060464753</v>
      </c>
      <c r="B716" s="33" t="s">
        <v>1754</v>
      </c>
      <c r="C716" s="33" t="s">
        <v>1701</v>
      </c>
      <c r="D716" s="33" t="s">
        <v>1683</v>
      </c>
      <c r="E716" s="33" t="s">
        <v>1755</v>
      </c>
      <c r="F716" s="33" t="s">
        <v>2460</v>
      </c>
      <c r="G716" s="33" t="s">
        <v>1732</v>
      </c>
      <c r="H716" s="33" t="s">
        <v>2460</v>
      </c>
    </row>
    <row r="717" spans="1:8" x14ac:dyDescent="0.25">
      <c r="A717" s="32">
        <v>33060464754</v>
      </c>
      <c r="B717" s="33" t="s">
        <v>1754</v>
      </c>
      <c r="C717" s="33" t="s">
        <v>1701</v>
      </c>
      <c r="D717" s="33" t="s">
        <v>1683</v>
      </c>
      <c r="E717" s="33" t="s">
        <v>1755</v>
      </c>
      <c r="F717" s="33" t="s">
        <v>2456</v>
      </c>
      <c r="G717" s="33" t="s">
        <v>1732</v>
      </c>
      <c r="H717" s="33" t="s">
        <v>2456</v>
      </c>
    </row>
    <row r="718" spans="1:8" x14ac:dyDescent="0.25">
      <c r="A718" s="32">
        <v>33060464755</v>
      </c>
      <c r="B718" s="33" t="s">
        <v>1754</v>
      </c>
      <c r="C718" s="33" t="s">
        <v>1701</v>
      </c>
      <c r="D718" s="33" t="s">
        <v>1683</v>
      </c>
      <c r="E718" s="33" t="s">
        <v>1755</v>
      </c>
      <c r="F718" s="33" t="s">
        <v>2489</v>
      </c>
      <c r="G718" s="33" t="s">
        <v>1732</v>
      </c>
      <c r="H718" s="33" t="s">
        <v>2489</v>
      </c>
    </row>
    <row r="719" spans="1:8" x14ac:dyDescent="0.25">
      <c r="A719" s="32">
        <v>33060464756</v>
      </c>
      <c r="B719" s="33" t="s">
        <v>1754</v>
      </c>
      <c r="C719" s="33" t="s">
        <v>1701</v>
      </c>
      <c r="D719" s="33" t="s">
        <v>1683</v>
      </c>
      <c r="E719" s="33" t="s">
        <v>1755</v>
      </c>
      <c r="F719" s="33" t="s">
        <v>2484</v>
      </c>
      <c r="G719" s="33" t="s">
        <v>1732</v>
      </c>
      <c r="H719" s="33" t="s">
        <v>2484</v>
      </c>
    </row>
    <row r="720" spans="1:8" x14ac:dyDescent="0.25">
      <c r="A720" s="32">
        <v>33060464757</v>
      </c>
      <c r="B720" s="33" t="s">
        <v>1754</v>
      </c>
      <c r="C720" s="33" t="s">
        <v>1701</v>
      </c>
      <c r="D720" s="33" t="s">
        <v>1683</v>
      </c>
      <c r="E720" s="33" t="s">
        <v>1755</v>
      </c>
      <c r="F720" s="33" t="s">
        <v>2468</v>
      </c>
      <c r="G720" s="33" t="s">
        <v>1732</v>
      </c>
      <c r="H720" s="33" t="s">
        <v>2468</v>
      </c>
    </row>
    <row r="721" spans="1:8" x14ac:dyDescent="0.25">
      <c r="A721" s="32">
        <v>33060464758</v>
      </c>
      <c r="B721" s="33" t="s">
        <v>1754</v>
      </c>
      <c r="C721" s="33" t="s">
        <v>1701</v>
      </c>
      <c r="D721" s="33" t="s">
        <v>1683</v>
      </c>
      <c r="E721" s="33" t="s">
        <v>1755</v>
      </c>
      <c r="F721" s="33" t="s">
        <v>2457</v>
      </c>
      <c r="G721" s="33" t="s">
        <v>1732</v>
      </c>
      <c r="H721" s="33" t="s">
        <v>2457</v>
      </c>
    </row>
    <row r="722" spans="1:8" x14ac:dyDescent="0.25">
      <c r="A722" s="32">
        <v>33060464759</v>
      </c>
      <c r="B722" s="33" t="s">
        <v>1754</v>
      </c>
      <c r="C722" s="33" t="s">
        <v>1701</v>
      </c>
      <c r="D722" s="33" t="s">
        <v>1683</v>
      </c>
      <c r="E722" s="33" t="s">
        <v>1755</v>
      </c>
      <c r="F722" s="33" t="s">
        <v>2480</v>
      </c>
      <c r="G722" s="33" t="s">
        <v>1732</v>
      </c>
      <c r="H722" s="33" t="s">
        <v>2480</v>
      </c>
    </row>
    <row r="723" spans="1:8" x14ac:dyDescent="0.25">
      <c r="A723" s="32">
        <v>33060464760</v>
      </c>
      <c r="B723" s="33" t="s">
        <v>1754</v>
      </c>
      <c r="C723" s="33" t="s">
        <v>1701</v>
      </c>
      <c r="D723" s="33" t="s">
        <v>1683</v>
      </c>
      <c r="E723" s="33" t="s">
        <v>1755</v>
      </c>
      <c r="F723" s="33" t="s">
        <v>2481</v>
      </c>
      <c r="G723" s="33" t="s">
        <v>1732</v>
      </c>
      <c r="H723" s="33" t="s">
        <v>2481</v>
      </c>
    </row>
    <row r="724" spans="1:8" x14ac:dyDescent="0.25">
      <c r="A724" s="32">
        <v>33060464761</v>
      </c>
      <c r="B724" s="33" t="s">
        <v>1754</v>
      </c>
      <c r="C724" s="33" t="s">
        <v>1701</v>
      </c>
      <c r="D724" s="33" t="s">
        <v>1683</v>
      </c>
      <c r="E724" s="33" t="s">
        <v>1755</v>
      </c>
      <c r="F724" s="33" t="s">
        <v>2482</v>
      </c>
      <c r="G724" s="33" t="s">
        <v>1732</v>
      </c>
      <c r="H724" s="33" t="s">
        <v>2482</v>
      </c>
    </row>
    <row r="725" spans="1:8" x14ac:dyDescent="0.25">
      <c r="A725" s="32">
        <v>33060464762</v>
      </c>
      <c r="B725" s="33" t="s">
        <v>1754</v>
      </c>
      <c r="C725" s="33" t="s">
        <v>1701</v>
      </c>
      <c r="D725" s="33" t="s">
        <v>1683</v>
      </c>
      <c r="E725" s="33" t="s">
        <v>1755</v>
      </c>
      <c r="F725" s="33" t="s">
        <v>2479</v>
      </c>
      <c r="G725" s="33" t="s">
        <v>1732</v>
      </c>
      <c r="H725" s="33" t="s">
        <v>2479</v>
      </c>
    </row>
    <row r="726" spans="1:8" x14ac:dyDescent="0.25">
      <c r="A726" s="32">
        <v>33060464763</v>
      </c>
      <c r="B726" s="33" t="s">
        <v>1754</v>
      </c>
      <c r="C726" s="33" t="s">
        <v>1701</v>
      </c>
      <c r="D726" s="33" t="s">
        <v>1683</v>
      </c>
      <c r="E726" s="33" t="s">
        <v>1755</v>
      </c>
      <c r="F726" s="33" t="s">
        <v>2466</v>
      </c>
      <c r="G726" s="33" t="s">
        <v>1732</v>
      </c>
      <c r="H726" s="33" t="s">
        <v>2466</v>
      </c>
    </row>
    <row r="727" spans="1:8" x14ac:dyDescent="0.25">
      <c r="A727" s="32">
        <v>33060464764</v>
      </c>
      <c r="B727" s="33" t="s">
        <v>1754</v>
      </c>
      <c r="C727" s="33" t="s">
        <v>1701</v>
      </c>
      <c r="D727" s="33" t="s">
        <v>1673</v>
      </c>
      <c r="E727" s="33" t="s">
        <v>1755</v>
      </c>
      <c r="F727" s="33" t="s">
        <v>2629</v>
      </c>
      <c r="G727" s="33" t="s">
        <v>1732</v>
      </c>
      <c r="H727" s="33" t="s">
        <v>2629</v>
      </c>
    </row>
    <row r="728" spans="1:8" x14ac:dyDescent="0.25">
      <c r="A728" s="32">
        <v>33060464765</v>
      </c>
      <c r="B728" s="33" t="s">
        <v>1754</v>
      </c>
      <c r="C728" s="33" t="s">
        <v>1701</v>
      </c>
      <c r="D728" s="33" t="s">
        <v>1673</v>
      </c>
      <c r="E728" s="33" t="s">
        <v>1755</v>
      </c>
      <c r="F728" s="33" t="s">
        <v>2630</v>
      </c>
      <c r="G728" s="33" t="s">
        <v>1732</v>
      </c>
      <c r="H728" s="33" t="s">
        <v>2630</v>
      </c>
    </row>
    <row r="729" spans="1:8" x14ac:dyDescent="0.25">
      <c r="A729" s="32">
        <v>33060464766</v>
      </c>
      <c r="B729" s="33" t="s">
        <v>1754</v>
      </c>
      <c r="C729" s="33" t="s">
        <v>1701</v>
      </c>
      <c r="D729" s="33" t="s">
        <v>1673</v>
      </c>
      <c r="E729" s="33" t="s">
        <v>1755</v>
      </c>
      <c r="F729" s="33" t="s">
        <v>2627</v>
      </c>
      <c r="G729" s="33" t="s">
        <v>1732</v>
      </c>
      <c r="H729" s="33" t="s">
        <v>2627</v>
      </c>
    </row>
    <row r="730" spans="1:8" x14ac:dyDescent="0.25">
      <c r="A730" s="32">
        <v>33060464767</v>
      </c>
      <c r="B730" s="33" t="s">
        <v>1754</v>
      </c>
      <c r="C730" s="33" t="s">
        <v>1701</v>
      </c>
      <c r="D730" s="33" t="s">
        <v>1673</v>
      </c>
      <c r="E730" s="33" t="s">
        <v>1755</v>
      </c>
      <c r="F730" s="33" t="s">
        <v>2628</v>
      </c>
      <c r="G730" s="33" t="s">
        <v>1732</v>
      </c>
      <c r="H730" s="33" t="s">
        <v>2628</v>
      </c>
    </row>
    <row r="731" spans="1:8" x14ac:dyDescent="0.25">
      <c r="A731" s="32">
        <v>33060464768</v>
      </c>
      <c r="B731" s="33" t="s">
        <v>1754</v>
      </c>
      <c r="C731" s="33" t="s">
        <v>1701</v>
      </c>
      <c r="D731" s="33" t="s">
        <v>1673</v>
      </c>
      <c r="E731" s="33" t="s">
        <v>1755</v>
      </c>
      <c r="F731" s="33" t="s">
        <v>2625</v>
      </c>
      <c r="G731" s="33" t="s">
        <v>1732</v>
      </c>
      <c r="H731" s="33" t="s">
        <v>2625</v>
      </c>
    </row>
    <row r="732" spans="1:8" x14ac:dyDescent="0.25">
      <c r="A732" s="32">
        <v>33060464769</v>
      </c>
      <c r="B732" s="33" t="s">
        <v>1754</v>
      </c>
      <c r="C732" s="33" t="s">
        <v>1701</v>
      </c>
      <c r="D732" s="33" t="s">
        <v>1673</v>
      </c>
      <c r="E732" s="33" t="s">
        <v>1755</v>
      </c>
      <c r="F732" s="33" t="s">
        <v>2624</v>
      </c>
      <c r="G732" s="33" t="s">
        <v>1732</v>
      </c>
      <c r="H732" s="33" t="s">
        <v>2624</v>
      </c>
    </row>
    <row r="733" spans="1:8" x14ac:dyDescent="0.25">
      <c r="A733" s="32">
        <v>33060464770</v>
      </c>
      <c r="B733" s="33" t="s">
        <v>1754</v>
      </c>
      <c r="C733" s="33" t="s">
        <v>1701</v>
      </c>
      <c r="D733" s="33" t="s">
        <v>1673</v>
      </c>
      <c r="E733" s="33" t="s">
        <v>1755</v>
      </c>
      <c r="F733" s="33" t="s">
        <v>2626</v>
      </c>
      <c r="G733" s="33" t="s">
        <v>1732</v>
      </c>
      <c r="H733" s="33" t="s">
        <v>2626</v>
      </c>
    </row>
    <row r="734" spans="1:8" x14ac:dyDescent="0.25">
      <c r="A734" s="32">
        <v>33060464771</v>
      </c>
      <c r="B734" s="33" t="s">
        <v>1754</v>
      </c>
      <c r="C734" s="33" t="s">
        <v>1701</v>
      </c>
      <c r="D734" s="33" t="s">
        <v>1678</v>
      </c>
      <c r="E734" s="33" t="s">
        <v>1755</v>
      </c>
      <c r="F734" s="33" t="s">
        <v>2656</v>
      </c>
      <c r="G734" s="33" t="s">
        <v>1732</v>
      </c>
      <c r="H734" s="33" t="s">
        <v>2656</v>
      </c>
    </row>
    <row r="735" spans="1:8" x14ac:dyDescent="0.25">
      <c r="A735" s="32">
        <v>33060464772</v>
      </c>
      <c r="B735" s="33" t="s">
        <v>1754</v>
      </c>
      <c r="C735" s="33" t="s">
        <v>1701</v>
      </c>
      <c r="D735" s="33" t="s">
        <v>1678</v>
      </c>
      <c r="E735" s="33" t="s">
        <v>1755</v>
      </c>
      <c r="F735" s="33" t="s">
        <v>2664</v>
      </c>
      <c r="G735" s="33" t="s">
        <v>1732</v>
      </c>
      <c r="H735" s="33" t="s">
        <v>2664</v>
      </c>
    </row>
    <row r="736" spans="1:8" x14ac:dyDescent="0.25">
      <c r="A736" s="32">
        <v>33060464773</v>
      </c>
      <c r="B736" s="33" t="s">
        <v>1754</v>
      </c>
      <c r="C736" s="33" t="s">
        <v>1701</v>
      </c>
      <c r="D736" s="33" t="s">
        <v>1678</v>
      </c>
      <c r="E736" s="33" t="s">
        <v>1755</v>
      </c>
      <c r="F736" s="33" t="s">
        <v>2663</v>
      </c>
      <c r="G736" s="33" t="s">
        <v>1732</v>
      </c>
      <c r="H736" s="33" t="s">
        <v>2663</v>
      </c>
    </row>
    <row r="737" spans="1:8" x14ac:dyDescent="0.25">
      <c r="A737" s="32">
        <v>33060464774</v>
      </c>
      <c r="B737" s="33" t="s">
        <v>1754</v>
      </c>
      <c r="C737" s="33" t="s">
        <v>1701</v>
      </c>
      <c r="D737" s="33" t="s">
        <v>1678</v>
      </c>
      <c r="E737" s="33" t="s">
        <v>1755</v>
      </c>
      <c r="F737" s="33" t="s">
        <v>2659</v>
      </c>
      <c r="G737" s="33" t="s">
        <v>1732</v>
      </c>
      <c r="H737" s="33" t="s">
        <v>2659</v>
      </c>
    </row>
    <row r="738" spans="1:8" x14ac:dyDescent="0.25">
      <c r="A738" s="32">
        <v>33060464775</v>
      </c>
      <c r="B738" s="33" t="s">
        <v>1754</v>
      </c>
      <c r="C738" s="33" t="s">
        <v>1701</v>
      </c>
      <c r="D738" s="33" t="s">
        <v>1678</v>
      </c>
      <c r="E738" s="33" t="s">
        <v>1755</v>
      </c>
      <c r="F738" s="33" t="s">
        <v>2660</v>
      </c>
      <c r="G738" s="33" t="s">
        <v>1732</v>
      </c>
      <c r="H738" s="33" t="s">
        <v>2660</v>
      </c>
    </row>
    <row r="739" spans="1:8" x14ac:dyDescent="0.25">
      <c r="A739" s="32">
        <v>33060464776</v>
      </c>
      <c r="B739" s="33" t="s">
        <v>1754</v>
      </c>
      <c r="C739" s="33" t="s">
        <v>1701</v>
      </c>
      <c r="D739" s="33" t="s">
        <v>1678</v>
      </c>
      <c r="E739" s="33" t="s">
        <v>1755</v>
      </c>
      <c r="F739" s="33" t="s">
        <v>2662</v>
      </c>
      <c r="G739" s="33" t="s">
        <v>1732</v>
      </c>
      <c r="H739" s="33" t="s">
        <v>2662</v>
      </c>
    </row>
    <row r="740" spans="1:8" x14ac:dyDescent="0.25">
      <c r="A740" s="32">
        <v>33060464777</v>
      </c>
      <c r="B740" s="33" t="s">
        <v>1754</v>
      </c>
      <c r="C740" s="33" t="s">
        <v>1701</v>
      </c>
      <c r="D740" s="33" t="s">
        <v>1678</v>
      </c>
      <c r="E740" s="33" t="s">
        <v>1755</v>
      </c>
      <c r="F740" s="33" t="s">
        <v>2657</v>
      </c>
      <c r="G740" s="33" t="s">
        <v>1732</v>
      </c>
      <c r="H740" s="33" t="s">
        <v>2657</v>
      </c>
    </row>
    <row r="741" spans="1:8" x14ac:dyDescent="0.25">
      <c r="A741" s="32">
        <v>33060464778</v>
      </c>
      <c r="B741" s="33" t="s">
        <v>1754</v>
      </c>
      <c r="C741" s="33" t="s">
        <v>1701</v>
      </c>
      <c r="D741" s="33" t="s">
        <v>1678</v>
      </c>
      <c r="E741" s="33" t="s">
        <v>1755</v>
      </c>
      <c r="F741" s="33" t="s">
        <v>2658</v>
      </c>
      <c r="G741" s="33" t="s">
        <v>1732</v>
      </c>
      <c r="H741" s="33" t="s">
        <v>2658</v>
      </c>
    </row>
    <row r="742" spans="1:8" x14ac:dyDescent="0.25">
      <c r="A742" s="32">
        <v>33060464779</v>
      </c>
      <c r="B742" s="33" t="s">
        <v>1754</v>
      </c>
      <c r="C742" s="33" t="s">
        <v>1701</v>
      </c>
      <c r="D742" s="33" t="s">
        <v>1678</v>
      </c>
      <c r="E742" s="33" t="s">
        <v>1755</v>
      </c>
      <c r="F742" s="33" t="s">
        <v>2661</v>
      </c>
      <c r="G742" s="33" t="s">
        <v>1732</v>
      </c>
      <c r="H742" s="33" t="s">
        <v>2661</v>
      </c>
    </row>
    <row r="743" spans="1:8" x14ac:dyDescent="0.25">
      <c r="A743" s="32">
        <v>33060464843</v>
      </c>
      <c r="B743" s="33" t="s">
        <v>1754</v>
      </c>
      <c r="C743" s="33" t="s">
        <v>1701</v>
      </c>
      <c r="D743" s="33" t="s">
        <v>1674</v>
      </c>
      <c r="E743" s="33" t="s">
        <v>1755</v>
      </c>
      <c r="F743" s="33" t="s">
        <v>2373</v>
      </c>
      <c r="G743" s="33" t="s">
        <v>1756</v>
      </c>
      <c r="H743" s="33" t="s">
        <v>2374</v>
      </c>
    </row>
    <row r="744" spans="1:8" x14ac:dyDescent="0.25">
      <c r="A744" s="32">
        <v>33060464844</v>
      </c>
      <c r="B744" s="33" t="s">
        <v>1754</v>
      </c>
      <c r="C744" s="33" t="s">
        <v>1701</v>
      </c>
      <c r="D744" s="33" t="s">
        <v>1674</v>
      </c>
      <c r="E744" s="33" t="s">
        <v>1755</v>
      </c>
      <c r="F744" s="33" t="s">
        <v>2371</v>
      </c>
      <c r="G744" s="33" t="s">
        <v>1756</v>
      </c>
      <c r="H744" s="33" t="s">
        <v>2372</v>
      </c>
    </row>
    <row r="745" spans="1:8" x14ac:dyDescent="0.25">
      <c r="A745" s="32">
        <v>33060464898</v>
      </c>
      <c r="B745" s="33" t="s">
        <v>1754</v>
      </c>
      <c r="C745" s="33" t="s">
        <v>1701</v>
      </c>
      <c r="D745" s="33" t="s">
        <v>1683</v>
      </c>
      <c r="E745" s="33" t="s">
        <v>1755</v>
      </c>
      <c r="F745" s="33" t="s">
        <v>303</v>
      </c>
      <c r="G745" s="33" t="s">
        <v>1756</v>
      </c>
      <c r="H745" s="33" t="s">
        <v>303</v>
      </c>
    </row>
    <row r="746" spans="1:8" x14ac:dyDescent="0.25">
      <c r="A746" s="32">
        <v>33060464908</v>
      </c>
      <c r="B746" s="33" t="s">
        <v>1754</v>
      </c>
      <c r="C746" s="33" t="s">
        <v>1701</v>
      </c>
      <c r="D746" s="33" t="s">
        <v>1673</v>
      </c>
      <c r="E746" s="33" t="s">
        <v>1755</v>
      </c>
      <c r="F746" s="33" t="s">
        <v>949</v>
      </c>
      <c r="G746" s="33" t="s">
        <v>1756</v>
      </c>
      <c r="H746" s="33" t="s">
        <v>2294</v>
      </c>
    </row>
    <row r="747" spans="1:8" x14ac:dyDescent="0.25">
      <c r="A747" s="32">
        <v>33060464909</v>
      </c>
      <c r="B747" s="33" t="s">
        <v>1754</v>
      </c>
      <c r="C747" s="33" t="s">
        <v>1701</v>
      </c>
      <c r="D747" s="33" t="s">
        <v>1673</v>
      </c>
      <c r="E747" s="33" t="s">
        <v>1755</v>
      </c>
      <c r="F747" s="33" t="s">
        <v>1397</v>
      </c>
      <c r="G747" s="33" t="s">
        <v>1756</v>
      </c>
      <c r="H747" s="33" t="s">
        <v>2295</v>
      </c>
    </row>
    <row r="748" spans="1:8" x14ac:dyDescent="0.25">
      <c r="A748" s="32">
        <v>33060464910</v>
      </c>
      <c r="B748" s="33" t="s">
        <v>1754</v>
      </c>
      <c r="C748" s="33" t="s">
        <v>1701</v>
      </c>
      <c r="D748" s="33" t="s">
        <v>1673</v>
      </c>
      <c r="E748" s="33" t="s">
        <v>1755</v>
      </c>
      <c r="F748" s="33" t="s">
        <v>1398</v>
      </c>
      <c r="G748" s="33" t="s">
        <v>1756</v>
      </c>
      <c r="H748" s="33" t="s">
        <v>2291</v>
      </c>
    </row>
    <row r="749" spans="1:8" x14ac:dyDescent="0.25">
      <c r="A749" s="32">
        <v>33060464979</v>
      </c>
      <c r="B749" s="33" t="s">
        <v>1754</v>
      </c>
      <c r="C749" s="33" t="s">
        <v>1701</v>
      </c>
      <c r="D749" s="33" t="s">
        <v>1673</v>
      </c>
      <c r="E749" s="33" t="s">
        <v>1755</v>
      </c>
      <c r="F749" s="33" t="s">
        <v>918</v>
      </c>
      <c r="G749" s="33" t="s">
        <v>1756</v>
      </c>
      <c r="H749" s="33" t="s">
        <v>918</v>
      </c>
    </row>
    <row r="750" spans="1:8" x14ac:dyDescent="0.25">
      <c r="A750" s="32">
        <v>33060464982</v>
      </c>
      <c r="B750" s="33" t="s">
        <v>1754</v>
      </c>
      <c r="C750" s="33" t="s">
        <v>1701</v>
      </c>
      <c r="D750" s="33" t="s">
        <v>1673</v>
      </c>
      <c r="E750" s="33" t="s">
        <v>1755</v>
      </c>
      <c r="F750" s="33" t="s">
        <v>1396</v>
      </c>
      <c r="G750" s="33" t="s">
        <v>1756</v>
      </c>
      <c r="H750" s="33" t="s">
        <v>1396</v>
      </c>
    </row>
    <row r="751" spans="1:8" x14ac:dyDescent="0.25">
      <c r="A751" s="32">
        <v>33060465008</v>
      </c>
      <c r="B751" s="33" t="s">
        <v>1754</v>
      </c>
      <c r="C751" s="33" t="s">
        <v>1701</v>
      </c>
      <c r="D751" s="33" t="s">
        <v>1673</v>
      </c>
      <c r="E751" s="33" t="s">
        <v>1755</v>
      </c>
      <c r="F751" s="33" t="s">
        <v>2410</v>
      </c>
      <c r="G751" s="33" t="s">
        <v>1756</v>
      </c>
      <c r="H751" s="33" t="s">
        <v>2410</v>
      </c>
    </row>
    <row r="752" spans="1:8" x14ac:dyDescent="0.25">
      <c r="A752" s="32">
        <v>33060514136</v>
      </c>
      <c r="B752" s="33" t="s">
        <v>1754</v>
      </c>
      <c r="C752" s="33" t="s">
        <v>1677</v>
      </c>
      <c r="D752" s="33" t="s">
        <v>1683</v>
      </c>
      <c r="E752" s="33" t="s">
        <v>1681</v>
      </c>
      <c r="F752" s="33" t="s">
        <v>1501</v>
      </c>
      <c r="G752" s="33" t="s">
        <v>1732</v>
      </c>
      <c r="H752" s="33" t="s">
        <v>1501</v>
      </c>
    </row>
    <row r="753" spans="1:8" x14ac:dyDescent="0.25">
      <c r="A753" s="32">
        <v>33060514137</v>
      </c>
      <c r="B753" s="33" t="s">
        <v>1754</v>
      </c>
      <c r="C753" s="33" t="s">
        <v>1677</v>
      </c>
      <c r="D753" s="33" t="s">
        <v>1683</v>
      </c>
      <c r="E753" s="33" t="s">
        <v>1681</v>
      </c>
      <c r="F753" s="33" t="s">
        <v>307</v>
      </c>
      <c r="G753" s="33" t="s">
        <v>2129</v>
      </c>
      <c r="H753" s="33" t="s">
        <v>2595</v>
      </c>
    </row>
    <row r="754" spans="1:8" x14ac:dyDescent="0.25">
      <c r="A754" s="32">
        <v>33060514672</v>
      </c>
      <c r="B754" s="33" t="s">
        <v>1754</v>
      </c>
      <c r="C754" s="33" t="s">
        <v>1677</v>
      </c>
      <c r="D754" s="33" t="s">
        <v>1673</v>
      </c>
      <c r="E754" s="33" t="s">
        <v>1681</v>
      </c>
      <c r="F754" s="33" t="s">
        <v>308</v>
      </c>
      <c r="G754" s="33" t="s">
        <v>2129</v>
      </c>
      <c r="H754" s="33" t="s">
        <v>2592</v>
      </c>
    </row>
    <row r="755" spans="1:8" x14ac:dyDescent="0.25">
      <c r="A755" s="32">
        <v>33060514699</v>
      </c>
      <c r="B755" s="33" t="s">
        <v>1754</v>
      </c>
      <c r="C755" s="33" t="s">
        <v>1677</v>
      </c>
      <c r="D755" s="33" t="s">
        <v>1683</v>
      </c>
      <c r="E755" s="33" t="s">
        <v>1681</v>
      </c>
      <c r="F755" s="33" t="s">
        <v>309</v>
      </c>
      <c r="G755" s="33" t="s">
        <v>2129</v>
      </c>
      <c r="H755" s="33" t="s">
        <v>2594</v>
      </c>
    </row>
    <row r="756" spans="1:8" x14ac:dyDescent="0.25">
      <c r="A756" s="32">
        <v>33060514713</v>
      </c>
      <c r="B756" s="33" t="s">
        <v>1754</v>
      </c>
      <c r="C756" s="33" t="s">
        <v>1677</v>
      </c>
      <c r="D756" s="33" t="s">
        <v>1676</v>
      </c>
      <c r="E756" s="33" t="s">
        <v>1681</v>
      </c>
      <c r="F756" s="33" t="s">
        <v>320</v>
      </c>
      <c r="G756" s="33" t="s">
        <v>1732</v>
      </c>
      <c r="H756" s="33" t="s">
        <v>2583</v>
      </c>
    </row>
    <row r="757" spans="1:8" x14ac:dyDescent="0.25">
      <c r="A757" s="32">
        <v>33060514811</v>
      </c>
      <c r="B757" s="33" t="s">
        <v>1754</v>
      </c>
      <c r="C757" s="33" t="s">
        <v>1677</v>
      </c>
      <c r="D757" s="33" t="s">
        <v>1673</v>
      </c>
      <c r="E757" s="33" t="s">
        <v>1681</v>
      </c>
      <c r="F757" s="33" t="s">
        <v>310</v>
      </c>
      <c r="G757" s="33" t="s">
        <v>2129</v>
      </c>
      <c r="H757" s="33" t="s">
        <v>2593</v>
      </c>
    </row>
    <row r="758" spans="1:8" x14ac:dyDescent="0.25">
      <c r="A758" s="32">
        <v>33060514870</v>
      </c>
      <c r="B758" s="33" t="s">
        <v>1754</v>
      </c>
      <c r="C758" s="33" t="s">
        <v>1677</v>
      </c>
      <c r="D758" s="33" t="s">
        <v>1676</v>
      </c>
      <c r="E758" s="33" t="s">
        <v>1681</v>
      </c>
      <c r="F758" s="33" t="s">
        <v>311</v>
      </c>
      <c r="G758" s="33" t="s">
        <v>2129</v>
      </c>
      <c r="H758" s="33" t="s">
        <v>2581</v>
      </c>
    </row>
    <row r="759" spans="1:8" x14ac:dyDescent="0.25">
      <c r="A759" s="32">
        <v>33060514905</v>
      </c>
      <c r="B759" s="33" t="s">
        <v>1754</v>
      </c>
      <c r="C759" s="33" t="s">
        <v>1677</v>
      </c>
      <c r="D759" s="33" t="s">
        <v>1676</v>
      </c>
      <c r="E759" s="33" t="s">
        <v>1681</v>
      </c>
      <c r="F759" s="33" t="s">
        <v>1499</v>
      </c>
      <c r="G759" s="33" t="s">
        <v>1732</v>
      </c>
      <c r="H759" s="33" t="s">
        <v>1499</v>
      </c>
    </row>
    <row r="760" spans="1:8" x14ac:dyDescent="0.25">
      <c r="A760" s="32">
        <v>33060514920</v>
      </c>
      <c r="B760" s="33" t="s">
        <v>1754</v>
      </c>
      <c r="C760" s="33" t="s">
        <v>1677</v>
      </c>
      <c r="D760" s="33" t="s">
        <v>1683</v>
      </c>
      <c r="E760" s="33" t="s">
        <v>1681</v>
      </c>
      <c r="F760" s="33" t="s">
        <v>312</v>
      </c>
      <c r="G760" s="33" t="s">
        <v>1742</v>
      </c>
      <c r="H760" s="33" t="s">
        <v>2597</v>
      </c>
    </row>
    <row r="761" spans="1:8" x14ac:dyDescent="0.25">
      <c r="A761" s="32">
        <v>33060514928</v>
      </c>
      <c r="B761" s="33" t="s">
        <v>1754</v>
      </c>
      <c r="C761" s="33" t="s">
        <v>1677</v>
      </c>
      <c r="D761" s="33" t="s">
        <v>1673</v>
      </c>
      <c r="E761" s="33" t="s">
        <v>1681</v>
      </c>
      <c r="F761" s="33" t="s">
        <v>1209</v>
      </c>
      <c r="G761" s="33" t="s">
        <v>2129</v>
      </c>
      <c r="H761" s="33" t="s">
        <v>2451</v>
      </c>
    </row>
    <row r="762" spans="1:8" x14ac:dyDescent="0.25">
      <c r="A762" s="32">
        <v>33060514932</v>
      </c>
      <c r="B762" s="33" t="s">
        <v>1754</v>
      </c>
      <c r="C762" s="33" t="s">
        <v>1677</v>
      </c>
      <c r="D762" s="33"/>
      <c r="E762" s="33" t="s">
        <v>1681</v>
      </c>
      <c r="F762" s="33" t="s">
        <v>1358</v>
      </c>
      <c r="G762" s="33" t="s">
        <v>1732</v>
      </c>
      <c r="H762" s="33" t="s">
        <v>2596</v>
      </c>
    </row>
    <row r="763" spans="1:8" x14ac:dyDescent="0.25">
      <c r="A763" s="32">
        <v>33060514939</v>
      </c>
      <c r="B763" s="33" t="s">
        <v>1754</v>
      </c>
      <c r="C763" s="33" t="s">
        <v>1677</v>
      </c>
      <c r="D763" s="33" t="s">
        <v>1682</v>
      </c>
      <c r="E763" s="33" t="s">
        <v>1681</v>
      </c>
      <c r="F763" s="33" t="s">
        <v>315</v>
      </c>
      <c r="G763" s="33" t="s">
        <v>1732</v>
      </c>
      <c r="H763" s="33" t="s">
        <v>2598</v>
      </c>
    </row>
    <row r="764" spans="1:8" x14ac:dyDescent="0.25">
      <c r="A764" s="32">
        <v>33060514940</v>
      </c>
      <c r="B764" s="33" t="s">
        <v>1754</v>
      </c>
      <c r="C764" s="33" t="s">
        <v>1677</v>
      </c>
      <c r="D764" s="33" t="s">
        <v>1676</v>
      </c>
      <c r="E764" s="33" t="s">
        <v>1681</v>
      </c>
      <c r="F764" s="33" t="s">
        <v>1493</v>
      </c>
      <c r="G764" s="33" t="s">
        <v>1732</v>
      </c>
      <c r="H764" s="33" t="s">
        <v>1493</v>
      </c>
    </row>
    <row r="765" spans="1:8" x14ac:dyDescent="0.25">
      <c r="A765" s="32">
        <v>33060514990</v>
      </c>
      <c r="B765" s="33" t="s">
        <v>1754</v>
      </c>
      <c r="C765" s="33" t="s">
        <v>1677</v>
      </c>
      <c r="D765" s="33" t="s">
        <v>1676</v>
      </c>
      <c r="E765" s="33" t="s">
        <v>1681</v>
      </c>
      <c r="F765" s="33" t="s">
        <v>316</v>
      </c>
      <c r="G765" s="33" t="s">
        <v>2129</v>
      </c>
      <c r="H765" s="33" t="s">
        <v>2582</v>
      </c>
    </row>
    <row r="766" spans="1:8" x14ac:dyDescent="0.25">
      <c r="A766" s="32">
        <v>33060560521</v>
      </c>
      <c r="B766" s="33" t="s">
        <v>1754</v>
      </c>
      <c r="C766" s="33" t="s">
        <v>1677</v>
      </c>
      <c r="D766" s="33" t="s">
        <v>1683</v>
      </c>
      <c r="E766" s="33" t="s">
        <v>1681</v>
      </c>
      <c r="F766" s="33" t="s">
        <v>317</v>
      </c>
      <c r="G766" s="33" t="s">
        <v>1732</v>
      </c>
      <c r="H766" s="33" t="s">
        <v>2580</v>
      </c>
    </row>
    <row r="767" spans="1:8" x14ac:dyDescent="0.25">
      <c r="A767" s="32">
        <v>33060560522</v>
      </c>
      <c r="B767" s="33" t="s">
        <v>1754</v>
      </c>
      <c r="C767" s="33" t="s">
        <v>1677</v>
      </c>
      <c r="D767" s="33" t="s">
        <v>1683</v>
      </c>
      <c r="E767" s="33" t="s">
        <v>1681</v>
      </c>
      <c r="F767" s="33" t="s">
        <v>318</v>
      </c>
      <c r="G767" s="33" t="s">
        <v>2129</v>
      </c>
      <c r="H767" s="33" t="s">
        <v>2578</v>
      </c>
    </row>
    <row r="768" spans="1:8" x14ac:dyDescent="0.25">
      <c r="A768" s="32">
        <v>33060560523</v>
      </c>
      <c r="B768" s="33" t="s">
        <v>1754</v>
      </c>
      <c r="C768" s="33" t="s">
        <v>1677</v>
      </c>
      <c r="D768" s="33" t="s">
        <v>1683</v>
      </c>
      <c r="E768" s="33" t="s">
        <v>1681</v>
      </c>
      <c r="F768" s="33" t="s">
        <v>319</v>
      </c>
      <c r="G768" s="33" t="s">
        <v>2129</v>
      </c>
      <c r="H768" s="33" t="s">
        <v>2579</v>
      </c>
    </row>
    <row r="769" spans="1:8" x14ac:dyDescent="0.25">
      <c r="A769" s="32">
        <v>33060560893</v>
      </c>
      <c r="B769" s="33" t="s">
        <v>1754</v>
      </c>
      <c r="C769" s="33" t="s">
        <v>1677</v>
      </c>
      <c r="D769" s="33" t="s">
        <v>1676</v>
      </c>
      <c r="E769" s="33" t="s">
        <v>1681</v>
      </c>
      <c r="F769" s="33" t="s">
        <v>320</v>
      </c>
      <c r="G769" s="33" t="s">
        <v>2129</v>
      </c>
      <c r="H769" s="33" t="s">
        <v>2583</v>
      </c>
    </row>
    <row r="770" spans="1:8" x14ac:dyDescent="0.25">
      <c r="A770" s="32">
        <v>33060563228</v>
      </c>
      <c r="B770" s="33" t="s">
        <v>1754</v>
      </c>
      <c r="C770" s="33" t="s">
        <v>1677</v>
      </c>
      <c r="D770" s="33" t="s">
        <v>1673</v>
      </c>
      <c r="E770" s="33" t="s">
        <v>1681</v>
      </c>
      <c r="F770" s="33" t="s">
        <v>321</v>
      </c>
      <c r="G770" s="33" t="s">
        <v>2129</v>
      </c>
      <c r="H770" s="33" t="s">
        <v>2450</v>
      </c>
    </row>
    <row r="771" spans="1:8" x14ac:dyDescent="0.25">
      <c r="A771" s="32">
        <v>33060563735</v>
      </c>
      <c r="B771" s="33" t="s">
        <v>1754</v>
      </c>
      <c r="C771" s="33" t="s">
        <v>1677</v>
      </c>
      <c r="D771" s="33" t="s">
        <v>1673</v>
      </c>
      <c r="E771" s="33" t="s">
        <v>1681</v>
      </c>
      <c r="F771" s="33" t="s">
        <v>1512</v>
      </c>
      <c r="G771" s="33" t="s">
        <v>1732</v>
      </c>
      <c r="H771" s="33" t="s">
        <v>2591</v>
      </c>
    </row>
    <row r="772" spans="1:8" x14ac:dyDescent="0.25">
      <c r="A772" s="32">
        <v>33060564380</v>
      </c>
      <c r="B772" s="33" t="s">
        <v>2065</v>
      </c>
      <c r="C772" s="33" t="s">
        <v>1670</v>
      </c>
      <c r="D772" s="33"/>
      <c r="E772" s="33" t="s">
        <v>1730</v>
      </c>
      <c r="F772" s="33" t="s">
        <v>2093</v>
      </c>
      <c r="G772" s="33" t="s">
        <v>1740</v>
      </c>
      <c r="H772" s="33" t="s">
        <v>2093</v>
      </c>
    </row>
    <row r="773" spans="1:8" x14ac:dyDescent="0.25">
      <c r="A773" s="32">
        <v>33060564381</v>
      </c>
      <c r="B773" s="33" t="s">
        <v>2065</v>
      </c>
      <c r="C773" s="33" t="s">
        <v>1670</v>
      </c>
      <c r="D773" s="33"/>
      <c r="E773" s="33" t="s">
        <v>1730</v>
      </c>
      <c r="F773" s="33" t="s">
        <v>2095</v>
      </c>
      <c r="G773" s="33" t="s">
        <v>1740</v>
      </c>
      <c r="H773" s="33" t="s">
        <v>2095</v>
      </c>
    </row>
    <row r="774" spans="1:8" x14ac:dyDescent="0.25">
      <c r="A774" s="32">
        <v>33060564382</v>
      </c>
      <c r="B774" s="33" t="s">
        <v>2065</v>
      </c>
      <c r="C774" s="33" t="s">
        <v>1670</v>
      </c>
      <c r="D774" s="33"/>
      <c r="E774" s="33" t="s">
        <v>1730</v>
      </c>
      <c r="F774" s="33" t="s">
        <v>2097</v>
      </c>
      <c r="G774" s="33" t="s">
        <v>1740</v>
      </c>
      <c r="H774" s="33" t="s">
        <v>2097</v>
      </c>
    </row>
    <row r="775" spans="1:8" x14ac:dyDescent="0.25">
      <c r="A775" s="32">
        <v>33060564383</v>
      </c>
      <c r="B775" s="33" t="s">
        <v>2065</v>
      </c>
      <c r="C775" s="33" t="s">
        <v>1670</v>
      </c>
      <c r="D775" s="33"/>
      <c r="E775" s="33" t="s">
        <v>1730</v>
      </c>
      <c r="F775" s="33" t="s">
        <v>2104</v>
      </c>
      <c r="G775" s="33" t="s">
        <v>2871</v>
      </c>
      <c r="H775" s="33" t="s">
        <v>2104</v>
      </c>
    </row>
    <row r="776" spans="1:8" x14ac:dyDescent="0.25">
      <c r="A776" s="32">
        <v>33060564384</v>
      </c>
      <c r="B776" s="33" t="s">
        <v>2065</v>
      </c>
      <c r="C776" s="33" t="s">
        <v>1670</v>
      </c>
      <c r="D776" s="33"/>
      <c r="E776" s="33" t="s">
        <v>1730</v>
      </c>
      <c r="F776" s="33" t="s">
        <v>2094</v>
      </c>
      <c r="G776" s="33" t="s">
        <v>1740</v>
      </c>
      <c r="H776" s="33" t="s">
        <v>2094</v>
      </c>
    </row>
    <row r="777" spans="1:8" x14ac:dyDescent="0.25">
      <c r="A777" s="32">
        <v>33060564385</v>
      </c>
      <c r="B777" s="33" t="s">
        <v>2065</v>
      </c>
      <c r="C777" s="33" t="s">
        <v>1670</v>
      </c>
      <c r="D777" s="33"/>
      <c r="E777" s="33" t="s">
        <v>1730</v>
      </c>
      <c r="F777" s="33" t="s">
        <v>2096</v>
      </c>
      <c r="G777" s="33" t="s">
        <v>1740</v>
      </c>
      <c r="H777" s="33" t="s">
        <v>2096</v>
      </c>
    </row>
    <row r="778" spans="1:8" x14ac:dyDescent="0.25">
      <c r="A778" s="32">
        <v>33060564386</v>
      </c>
      <c r="B778" s="33" t="s">
        <v>2065</v>
      </c>
      <c r="C778" s="33" t="s">
        <v>1670</v>
      </c>
      <c r="D778" s="33"/>
      <c r="E778" s="33" t="s">
        <v>1730</v>
      </c>
      <c r="F778" s="33" t="s">
        <v>2098</v>
      </c>
      <c r="G778" s="33" t="s">
        <v>1740</v>
      </c>
      <c r="H778" s="33" t="s">
        <v>2098</v>
      </c>
    </row>
    <row r="779" spans="1:8" x14ac:dyDescent="0.25">
      <c r="A779" s="32">
        <v>33060564387</v>
      </c>
      <c r="B779" s="33" t="s">
        <v>2065</v>
      </c>
      <c r="C779" s="33" t="s">
        <v>1670</v>
      </c>
      <c r="D779" s="33"/>
      <c r="E779" s="33" t="s">
        <v>1730</v>
      </c>
      <c r="F779" s="33" t="s">
        <v>2092</v>
      </c>
      <c r="G779" s="33" t="s">
        <v>2871</v>
      </c>
      <c r="H779" s="33" t="s">
        <v>2092</v>
      </c>
    </row>
    <row r="780" spans="1:8" x14ac:dyDescent="0.25">
      <c r="A780" s="32">
        <v>33060564388</v>
      </c>
      <c r="B780" s="33" t="s">
        <v>2065</v>
      </c>
      <c r="C780" s="33" t="s">
        <v>1670</v>
      </c>
      <c r="D780" s="33"/>
      <c r="E780" s="33" t="s">
        <v>1730</v>
      </c>
      <c r="F780" s="33" t="s">
        <v>2099</v>
      </c>
      <c r="G780" s="33" t="s">
        <v>2871</v>
      </c>
      <c r="H780" s="33" t="s">
        <v>2099</v>
      </c>
    </row>
    <row r="781" spans="1:8" x14ac:dyDescent="0.25">
      <c r="A781" s="32">
        <v>33060564389</v>
      </c>
      <c r="B781" s="33" t="s">
        <v>2065</v>
      </c>
      <c r="C781" s="33" t="s">
        <v>2068</v>
      </c>
      <c r="D781" s="33"/>
      <c r="E781" s="33" t="s">
        <v>1730</v>
      </c>
      <c r="F781" s="33" t="s">
        <v>2100</v>
      </c>
      <c r="G781" s="33" t="s">
        <v>1740</v>
      </c>
      <c r="H781" s="33" t="s">
        <v>2100</v>
      </c>
    </row>
    <row r="782" spans="1:8" x14ac:dyDescent="0.25">
      <c r="A782" s="32">
        <v>33060564390</v>
      </c>
      <c r="B782" s="33" t="s">
        <v>2065</v>
      </c>
      <c r="C782" s="33" t="s">
        <v>2068</v>
      </c>
      <c r="D782" s="33"/>
      <c r="E782" s="33" t="s">
        <v>1730</v>
      </c>
      <c r="F782" s="33" t="s">
        <v>2069</v>
      </c>
      <c r="G782" s="33" t="s">
        <v>2871</v>
      </c>
      <c r="H782" s="33" t="s">
        <v>2069</v>
      </c>
    </row>
    <row r="783" spans="1:8" x14ac:dyDescent="0.25">
      <c r="A783" s="32">
        <v>33060564391</v>
      </c>
      <c r="B783" s="33" t="s">
        <v>2065</v>
      </c>
      <c r="C783" s="33" t="s">
        <v>2068</v>
      </c>
      <c r="D783" s="33"/>
      <c r="E783" s="33" t="s">
        <v>1730</v>
      </c>
      <c r="F783" s="33" t="s">
        <v>2070</v>
      </c>
      <c r="G783" s="33" t="s">
        <v>2871</v>
      </c>
      <c r="H783" s="33" t="s">
        <v>2070</v>
      </c>
    </row>
    <row r="784" spans="1:8" x14ac:dyDescent="0.25">
      <c r="A784" s="32">
        <v>33060564392</v>
      </c>
      <c r="B784" s="33" t="s">
        <v>2065</v>
      </c>
      <c r="C784" s="33" t="s">
        <v>2071</v>
      </c>
      <c r="D784" s="33"/>
      <c r="E784" s="33" t="s">
        <v>1730</v>
      </c>
      <c r="F784" s="33" t="s">
        <v>2077</v>
      </c>
      <c r="G784" s="33" t="s">
        <v>2871</v>
      </c>
      <c r="H784" s="33" t="s">
        <v>2077</v>
      </c>
    </row>
    <row r="785" spans="1:8" x14ac:dyDescent="0.25">
      <c r="A785" s="32">
        <v>33060564393</v>
      </c>
      <c r="B785" s="33" t="s">
        <v>2065</v>
      </c>
      <c r="C785" s="33" t="s">
        <v>2071</v>
      </c>
      <c r="D785" s="33"/>
      <c r="E785" s="33" t="s">
        <v>1730</v>
      </c>
      <c r="F785" s="33" t="s">
        <v>2079</v>
      </c>
      <c r="G785" s="33" t="s">
        <v>2871</v>
      </c>
      <c r="H785" s="33" t="s">
        <v>2079</v>
      </c>
    </row>
    <row r="786" spans="1:8" x14ac:dyDescent="0.25">
      <c r="A786" s="32">
        <v>33060564394</v>
      </c>
      <c r="B786" s="33" t="s">
        <v>2065</v>
      </c>
      <c r="C786" s="33" t="s">
        <v>2071</v>
      </c>
      <c r="D786" s="33"/>
      <c r="E786" s="33" t="s">
        <v>1730</v>
      </c>
      <c r="F786" s="33" t="s">
        <v>2078</v>
      </c>
      <c r="G786" s="33" t="s">
        <v>2871</v>
      </c>
      <c r="H786" s="33" t="s">
        <v>2078</v>
      </c>
    </row>
    <row r="787" spans="1:8" x14ac:dyDescent="0.25">
      <c r="A787" s="32">
        <v>33060564395</v>
      </c>
      <c r="B787" s="33" t="s">
        <v>2065</v>
      </c>
      <c r="C787" s="33" t="s">
        <v>2071</v>
      </c>
      <c r="D787" s="33"/>
      <c r="E787" s="33" t="s">
        <v>1730</v>
      </c>
      <c r="F787" s="33" t="s">
        <v>2080</v>
      </c>
      <c r="G787" s="33" t="s">
        <v>2871</v>
      </c>
      <c r="H787" s="33" t="s">
        <v>2080</v>
      </c>
    </row>
    <row r="788" spans="1:8" x14ac:dyDescent="0.25">
      <c r="A788" s="32">
        <v>33060564396</v>
      </c>
      <c r="B788" s="33" t="s">
        <v>2065</v>
      </c>
      <c r="C788" s="33" t="s">
        <v>2071</v>
      </c>
      <c r="D788" s="33"/>
      <c r="E788" s="33" t="s">
        <v>1730</v>
      </c>
      <c r="F788" s="33" t="s">
        <v>2081</v>
      </c>
      <c r="G788" s="33" t="s">
        <v>2871</v>
      </c>
      <c r="H788" s="33" t="s">
        <v>2081</v>
      </c>
    </row>
    <row r="789" spans="1:8" x14ac:dyDescent="0.25">
      <c r="A789" s="32">
        <v>33060564397</v>
      </c>
      <c r="B789" s="33" t="s">
        <v>2065</v>
      </c>
      <c r="C789" s="33" t="s">
        <v>2071</v>
      </c>
      <c r="D789" s="33"/>
      <c r="E789" s="33" t="s">
        <v>1730</v>
      </c>
      <c r="F789" s="33" t="s">
        <v>2083</v>
      </c>
      <c r="G789" s="33" t="s">
        <v>2871</v>
      </c>
      <c r="H789" s="33" t="s">
        <v>2083</v>
      </c>
    </row>
    <row r="790" spans="1:8" x14ac:dyDescent="0.25">
      <c r="A790" s="32">
        <v>33060564398</v>
      </c>
      <c r="B790" s="33" t="s">
        <v>2065</v>
      </c>
      <c r="C790" s="33" t="s">
        <v>2071</v>
      </c>
      <c r="D790" s="33"/>
      <c r="E790" s="33" t="s">
        <v>1730</v>
      </c>
      <c r="F790" s="33" t="s">
        <v>2082</v>
      </c>
      <c r="G790" s="33" t="s">
        <v>2871</v>
      </c>
      <c r="H790" s="33" t="s">
        <v>2082</v>
      </c>
    </row>
    <row r="791" spans="1:8" x14ac:dyDescent="0.25">
      <c r="A791" s="32">
        <v>33060564399</v>
      </c>
      <c r="B791" s="33" t="s">
        <v>2065</v>
      </c>
      <c r="C791" s="33" t="s">
        <v>2071</v>
      </c>
      <c r="D791" s="33"/>
      <c r="E791" s="33" t="s">
        <v>1730</v>
      </c>
      <c r="F791" s="33" t="s">
        <v>2084</v>
      </c>
      <c r="G791" s="33" t="s">
        <v>2871</v>
      </c>
      <c r="H791" s="33" t="s">
        <v>2084</v>
      </c>
    </row>
    <row r="792" spans="1:8" x14ac:dyDescent="0.25">
      <c r="A792" s="32">
        <v>33060564400</v>
      </c>
      <c r="B792" s="33" t="s">
        <v>2065</v>
      </c>
      <c r="C792" s="33" t="s">
        <v>2071</v>
      </c>
      <c r="D792" s="33"/>
      <c r="E792" s="33" t="s">
        <v>1730</v>
      </c>
      <c r="F792" s="33" t="s">
        <v>2085</v>
      </c>
      <c r="G792" s="33" t="s">
        <v>2871</v>
      </c>
      <c r="H792" s="33" t="s">
        <v>2085</v>
      </c>
    </row>
    <row r="793" spans="1:8" x14ac:dyDescent="0.25">
      <c r="A793" s="32">
        <v>33060564401</v>
      </c>
      <c r="B793" s="33" t="s">
        <v>2065</v>
      </c>
      <c r="C793" s="33" t="s">
        <v>2071</v>
      </c>
      <c r="D793" s="33"/>
      <c r="E793" s="33" t="s">
        <v>1730</v>
      </c>
      <c r="F793" s="33" t="s">
        <v>2073</v>
      </c>
      <c r="G793" s="33" t="s">
        <v>1740</v>
      </c>
      <c r="H793" s="33" t="s">
        <v>2073</v>
      </c>
    </row>
    <row r="794" spans="1:8" x14ac:dyDescent="0.25">
      <c r="A794" s="32">
        <v>33060564402</v>
      </c>
      <c r="B794" s="33" t="s">
        <v>2065</v>
      </c>
      <c r="C794" s="33" t="s">
        <v>2071</v>
      </c>
      <c r="D794" s="33"/>
      <c r="E794" s="33" t="s">
        <v>1730</v>
      </c>
      <c r="F794" s="33" t="s">
        <v>2076</v>
      </c>
      <c r="G794" s="33" t="s">
        <v>1740</v>
      </c>
      <c r="H794" s="33" t="s">
        <v>2076</v>
      </c>
    </row>
    <row r="795" spans="1:8" x14ac:dyDescent="0.25">
      <c r="A795" s="32">
        <v>33060564403</v>
      </c>
      <c r="B795" s="33" t="s">
        <v>2065</v>
      </c>
      <c r="C795" s="33" t="s">
        <v>2071</v>
      </c>
      <c r="D795" s="33"/>
      <c r="E795" s="33" t="s">
        <v>1730</v>
      </c>
      <c r="F795" s="33" t="s">
        <v>2075</v>
      </c>
      <c r="G795" s="33" t="s">
        <v>1740</v>
      </c>
      <c r="H795" s="33" t="s">
        <v>2075</v>
      </c>
    </row>
    <row r="796" spans="1:8" x14ac:dyDescent="0.25">
      <c r="A796" s="32">
        <v>33060564404</v>
      </c>
      <c r="B796" s="33" t="s">
        <v>2065</v>
      </c>
      <c r="C796" s="33" t="s">
        <v>2071</v>
      </c>
      <c r="D796" s="33"/>
      <c r="E796" s="33" t="s">
        <v>1730</v>
      </c>
      <c r="F796" s="33" t="s">
        <v>2072</v>
      </c>
      <c r="G796" s="33" t="s">
        <v>1740</v>
      </c>
      <c r="H796" s="33" t="s">
        <v>2072</v>
      </c>
    </row>
    <row r="797" spans="1:8" x14ac:dyDescent="0.25">
      <c r="A797" s="32">
        <v>33060564405</v>
      </c>
      <c r="B797" s="33" t="s">
        <v>2065</v>
      </c>
      <c r="C797" s="33" t="s">
        <v>2071</v>
      </c>
      <c r="D797" s="33"/>
      <c r="E797" s="33" t="s">
        <v>1730</v>
      </c>
      <c r="F797" s="33" t="s">
        <v>2074</v>
      </c>
      <c r="G797" s="33" t="s">
        <v>1740</v>
      </c>
      <c r="H797" s="33" t="s">
        <v>2074</v>
      </c>
    </row>
    <row r="798" spans="1:8" x14ac:dyDescent="0.25">
      <c r="A798" s="32">
        <v>33060564406</v>
      </c>
      <c r="B798" s="33" t="s">
        <v>2065</v>
      </c>
      <c r="C798" s="33" t="s">
        <v>2086</v>
      </c>
      <c r="D798" s="33"/>
      <c r="E798" s="33" t="s">
        <v>1730</v>
      </c>
      <c r="F798" s="33" t="s">
        <v>2089</v>
      </c>
      <c r="G798" s="33" t="s">
        <v>1740</v>
      </c>
      <c r="H798" s="33" t="s">
        <v>2089</v>
      </c>
    </row>
    <row r="799" spans="1:8" x14ac:dyDescent="0.25">
      <c r="A799" s="32">
        <v>33060564407</v>
      </c>
      <c r="B799" s="33" t="s">
        <v>2065</v>
      </c>
      <c r="C799" s="33" t="s">
        <v>2086</v>
      </c>
      <c r="D799" s="33"/>
      <c r="E799" s="33" t="s">
        <v>1730</v>
      </c>
      <c r="F799" s="33" t="s">
        <v>2091</v>
      </c>
      <c r="G799" s="33" t="s">
        <v>1740</v>
      </c>
      <c r="H799" s="33" t="s">
        <v>2091</v>
      </c>
    </row>
    <row r="800" spans="1:8" x14ac:dyDescent="0.25">
      <c r="A800" s="32">
        <v>33060564408</v>
      </c>
      <c r="B800" s="33" t="s">
        <v>2065</v>
      </c>
      <c r="C800" s="33" t="s">
        <v>2086</v>
      </c>
      <c r="D800" s="33"/>
      <c r="E800" s="33" t="s">
        <v>1730</v>
      </c>
      <c r="F800" s="33" t="s">
        <v>2087</v>
      </c>
      <c r="G800" s="33" t="s">
        <v>1740</v>
      </c>
      <c r="H800" s="33" t="s">
        <v>2087</v>
      </c>
    </row>
    <row r="801" spans="1:8" x14ac:dyDescent="0.25">
      <c r="A801" s="32">
        <v>33060564409</v>
      </c>
      <c r="B801" s="33" t="s">
        <v>2065</v>
      </c>
      <c r="C801" s="33" t="s">
        <v>2086</v>
      </c>
      <c r="D801" s="33"/>
      <c r="E801" s="33" t="s">
        <v>1730</v>
      </c>
      <c r="F801" s="33" t="s">
        <v>2090</v>
      </c>
      <c r="G801" s="33" t="s">
        <v>1740</v>
      </c>
      <c r="H801" s="33" t="s">
        <v>2090</v>
      </c>
    </row>
    <row r="802" spans="1:8" x14ac:dyDescent="0.25">
      <c r="A802" s="32">
        <v>33060564410</v>
      </c>
      <c r="B802" s="33" t="s">
        <v>2065</v>
      </c>
      <c r="C802" s="33" t="s">
        <v>2086</v>
      </c>
      <c r="D802" s="33"/>
      <c r="E802" s="33" t="s">
        <v>1730</v>
      </c>
      <c r="F802" s="33" t="s">
        <v>2088</v>
      </c>
      <c r="G802" s="33" t="s">
        <v>1740</v>
      </c>
      <c r="H802" s="33" t="s">
        <v>2088</v>
      </c>
    </row>
    <row r="803" spans="1:8" x14ac:dyDescent="0.25">
      <c r="A803" s="32">
        <v>33060564411</v>
      </c>
      <c r="B803" s="33" t="s">
        <v>2065</v>
      </c>
      <c r="C803" s="33" t="s">
        <v>2066</v>
      </c>
      <c r="D803" s="33"/>
      <c r="E803" s="33" t="s">
        <v>1730</v>
      </c>
      <c r="F803" s="33" t="s">
        <v>2113</v>
      </c>
      <c r="G803" s="33" t="s">
        <v>1740</v>
      </c>
      <c r="H803" s="33" t="s">
        <v>2113</v>
      </c>
    </row>
    <row r="804" spans="1:8" x14ac:dyDescent="0.25">
      <c r="A804" s="32">
        <v>33060564412</v>
      </c>
      <c r="B804" s="33" t="s">
        <v>2065</v>
      </c>
      <c r="C804" s="33" t="s">
        <v>2066</v>
      </c>
      <c r="D804" s="33"/>
      <c r="E804" s="33" t="s">
        <v>1730</v>
      </c>
      <c r="F804" s="33" t="s">
        <v>2114</v>
      </c>
      <c r="G804" s="33" t="s">
        <v>1740</v>
      </c>
      <c r="H804" s="33" t="s">
        <v>2114</v>
      </c>
    </row>
    <row r="805" spans="1:8" x14ac:dyDescent="0.25">
      <c r="A805" s="32">
        <v>33060564413</v>
      </c>
      <c r="B805" s="33" t="s">
        <v>2065</v>
      </c>
      <c r="C805" s="33" t="s">
        <v>2066</v>
      </c>
      <c r="D805" s="33"/>
      <c r="E805" s="33" t="s">
        <v>1730</v>
      </c>
      <c r="F805" s="33" t="s">
        <v>2115</v>
      </c>
      <c r="G805" s="33" t="s">
        <v>1740</v>
      </c>
      <c r="H805" s="33" t="s">
        <v>2115</v>
      </c>
    </row>
    <row r="806" spans="1:8" x14ac:dyDescent="0.25">
      <c r="A806" s="32">
        <v>33060564414</v>
      </c>
      <c r="B806" s="33" t="s">
        <v>2065</v>
      </c>
      <c r="C806" s="33" t="s">
        <v>2066</v>
      </c>
      <c r="D806" s="33"/>
      <c r="E806" s="33" t="s">
        <v>1730</v>
      </c>
      <c r="F806" s="33" t="s">
        <v>2109</v>
      </c>
      <c r="G806" s="33" t="s">
        <v>1740</v>
      </c>
      <c r="H806" s="33" t="s">
        <v>2109</v>
      </c>
    </row>
    <row r="807" spans="1:8" x14ac:dyDescent="0.25">
      <c r="A807" s="32">
        <v>33060564415</v>
      </c>
      <c r="B807" s="33" t="s">
        <v>2065</v>
      </c>
      <c r="C807" s="33" t="s">
        <v>2066</v>
      </c>
      <c r="D807" s="33"/>
      <c r="E807" s="33" t="s">
        <v>1730</v>
      </c>
      <c r="F807" s="33" t="s">
        <v>2108</v>
      </c>
      <c r="G807" s="33" t="s">
        <v>1740</v>
      </c>
      <c r="H807" s="33" t="s">
        <v>2108</v>
      </c>
    </row>
    <row r="808" spans="1:8" x14ac:dyDescent="0.25">
      <c r="A808" s="32">
        <v>33060564416</v>
      </c>
      <c r="B808" s="33" t="s">
        <v>2065</v>
      </c>
      <c r="C808" s="33" t="s">
        <v>2066</v>
      </c>
      <c r="D808" s="33"/>
      <c r="E808" s="33" t="s">
        <v>1730</v>
      </c>
      <c r="F808" s="33" t="s">
        <v>2067</v>
      </c>
      <c r="G808" s="33" t="s">
        <v>1740</v>
      </c>
      <c r="H808" s="33" t="s">
        <v>2067</v>
      </c>
    </row>
    <row r="809" spans="1:8" x14ac:dyDescent="0.25">
      <c r="A809" s="32">
        <v>33060564417</v>
      </c>
      <c r="B809" s="33" t="s">
        <v>2065</v>
      </c>
      <c r="C809" s="33" t="s">
        <v>2066</v>
      </c>
      <c r="D809" s="33"/>
      <c r="E809" s="33" t="s">
        <v>1730</v>
      </c>
      <c r="F809" s="33" t="s">
        <v>2110</v>
      </c>
      <c r="G809" s="33" t="s">
        <v>1740</v>
      </c>
      <c r="H809" s="33" t="s">
        <v>2110</v>
      </c>
    </row>
    <row r="810" spans="1:8" x14ac:dyDescent="0.25">
      <c r="A810" s="32">
        <v>33060564418</v>
      </c>
      <c r="B810" s="33" t="s">
        <v>2065</v>
      </c>
      <c r="C810" s="33" t="s">
        <v>2066</v>
      </c>
      <c r="D810" s="33"/>
      <c r="E810" s="33" t="s">
        <v>1730</v>
      </c>
      <c r="F810" s="33" t="s">
        <v>2111</v>
      </c>
      <c r="G810" s="33" t="s">
        <v>1740</v>
      </c>
      <c r="H810" s="33" t="s">
        <v>2111</v>
      </c>
    </row>
    <row r="811" spans="1:8" x14ac:dyDescent="0.25">
      <c r="A811" s="32">
        <v>33060564419</v>
      </c>
      <c r="B811" s="33" t="s">
        <v>2065</v>
      </c>
      <c r="C811" s="33" t="s">
        <v>2066</v>
      </c>
      <c r="D811" s="33"/>
      <c r="E811" s="33" t="s">
        <v>1730</v>
      </c>
      <c r="F811" s="33" t="s">
        <v>2105</v>
      </c>
      <c r="G811" s="33" t="s">
        <v>1740</v>
      </c>
      <c r="H811" s="33" t="s">
        <v>2105</v>
      </c>
    </row>
    <row r="812" spans="1:8" x14ac:dyDescent="0.25">
      <c r="A812" s="32">
        <v>33060564420</v>
      </c>
      <c r="B812" s="33" t="s">
        <v>2065</v>
      </c>
      <c r="C812" s="33" t="s">
        <v>2066</v>
      </c>
      <c r="D812" s="33"/>
      <c r="E812" s="33" t="s">
        <v>1730</v>
      </c>
      <c r="F812" s="33" t="s">
        <v>2106</v>
      </c>
      <c r="G812" s="33" t="s">
        <v>1740</v>
      </c>
      <c r="H812" s="33" t="s">
        <v>2106</v>
      </c>
    </row>
    <row r="813" spans="1:8" x14ac:dyDescent="0.25">
      <c r="A813" s="32">
        <v>33060564421</v>
      </c>
      <c r="B813" s="33" t="s">
        <v>2065</v>
      </c>
      <c r="C813" s="33" t="s">
        <v>2066</v>
      </c>
      <c r="D813" s="33"/>
      <c r="E813" s="33" t="s">
        <v>1730</v>
      </c>
      <c r="F813" s="33" t="s">
        <v>2107</v>
      </c>
      <c r="G813" s="33" t="s">
        <v>1740</v>
      </c>
      <c r="H813" s="33" t="s">
        <v>2107</v>
      </c>
    </row>
    <row r="814" spans="1:8" x14ac:dyDescent="0.25">
      <c r="A814" s="32">
        <v>33060564501</v>
      </c>
      <c r="B814" s="33" t="s">
        <v>2065</v>
      </c>
      <c r="C814" s="33" t="s">
        <v>2068</v>
      </c>
      <c r="D814" s="33"/>
      <c r="E814" s="33" t="s">
        <v>1730</v>
      </c>
      <c r="F814" s="33" t="s">
        <v>2103</v>
      </c>
      <c r="G814" s="33" t="s">
        <v>2871</v>
      </c>
      <c r="H814" s="33" t="s">
        <v>2103</v>
      </c>
    </row>
    <row r="815" spans="1:8" x14ac:dyDescent="0.25">
      <c r="A815" s="32">
        <v>33060564502</v>
      </c>
      <c r="B815" s="33" t="s">
        <v>2065</v>
      </c>
      <c r="C815" s="33" t="s">
        <v>2068</v>
      </c>
      <c r="D815" s="33"/>
      <c r="E815" s="33" t="s">
        <v>1730</v>
      </c>
      <c r="F815" s="33" t="s">
        <v>2102</v>
      </c>
      <c r="G815" s="33" t="s">
        <v>2871</v>
      </c>
      <c r="H815" s="33" t="s">
        <v>2102</v>
      </c>
    </row>
    <row r="816" spans="1:8" x14ac:dyDescent="0.25">
      <c r="A816" s="32">
        <v>33060564503</v>
      </c>
      <c r="B816" s="33" t="s">
        <v>2065</v>
      </c>
      <c r="C816" s="33" t="s">
        <v>2068</v>
      </c>
      <c r="D816" s="33"/>
      <c r="E816" s="33" t="s">
        <v>1730</v>
      </c>
      <c r="F816" s="33" t="s">
        <v>2101</v>
      </c>
      <c r="G816" s="33" t="s">
        <v>1740</v>
      </c>
      <c r="H816" s="33" t="s">
        <v>2101</v>
      </c>
    </row>
    <row r="817" spans="1:8" x14ac:dyDescent="0.25">
      <c r="A817" s="32">
        <v>33060564509</v>
      </c>
      <c r="B817" s="33" t="s">
        <v>2065</v>
      </c>
      <c r="C817" s="33" t="s">
        <v>2066</v>
      </c>
      <c r="D817" s="33"/>
      <c r="E817" s="33" t="s">
        <v>1730</v>
      </c>
      <c r="F817" s="33" t="s">
        <v>2112</v>
      </c>
      <c r="G817" s="33" t="s">
        <v>1740</v>
      </c>
      <c r="H817" s="33" t="s">
        <v>2112</v>
      </c>
    </row>
    <row r="818" spans="1:8" x14ac:dyDescent="0.25">
      <c r="A818" s="32">
        <v>33060564510</v>
      </c>
      <c r="B818" s="33" t="s">
        <v>2065</v>
      </c>
      <c r="C818" s="33" t="s">
        <v>2066</v>
      </c>
      <c r="D818" s="33"/>
      <c r="E818" s="33" t="s">
        <v>1730</v>
      </c>
      <c r="F818" s="33" t="s">
        <v>2119</v>
      </c>
      <c r="G818" s="33" t="s">
        <v>1740</v>
      </c>
      <c r="H818" s="33" t="s">
        <v>2119</v>
      </c>
    </row>
    <row r="819" spans="1:8" x14ac:dyDescent="0.25">
      <c r="A819" s="32">
        <v>33060564511</v>
      </c>
      <c r="B819" s="33" t="s">
        <v>2065</v>
      </c>
      <c r="C819" s="33" t="s">
        <v>2066</v>
      </c>
      <c r="D819" s="33"/>
      <c r="E819" s="33" t="s">
        <v>1730</v>
      </c>
      <c r="F819" s="33" t="s">
        <v>2122</v>
      </c>
      <c r="G819" s="33" t="s">
        <v>1740</v>
      </c>
      <c r="H819" s="33" t="s">
        <v>2122</v>
      </c>
    </row>
    <row r="820" spans="1:8" x14ac:dyDescent="0.25">
      <c r="A820" s="32">
        <v>33060564512</v>
      </c>
      <c r="B820" s="33" t="s">
        <v>2065</v>
      </c>
      <c r="C820" s="33" t="s">
        <v>2116</v>
      </c>
      <c r="D820" s="33"/>
      <c r="E820" s="33" t="s">
        <v>1730</v>
      </c>
      <c r="F820" s="33" t="s">
        <v>2117</v>
      </c>
      <c r="G820" s="33" t="s">
        <v>2871</v>
      </c>
      <c r="H820" s="33" t="s">
        <v>2117</v>
      </c>
    </row>
    <row r="821" spans="1:8" x14ac:dyDescent="0.25">
      <c r="A821" s="32">
        <v>33060564513</v>
      </c>
      <c r="B821" s="33" t="s">
        <v>2065</v>
      </c>
      <c r="C821" s="33" t="s">
        <v>2116</v>
      </c>
      <c r="D821" s="33"/>
      <c r="E821" s="33" t="s">
        <v>1730</v>
      </c>
      <c r="F821" s="33" t="s">
        <v>2118</v>
      </c>
      <c r="G821" s="33" t="s">
        <v>2871</v>
      </c>
      <c r="H821" s="33" t="s">
        <v>2118</v>
      </c>
    </row>
    <row r="822" spans="1:8" x14ac:dyDescent="0.25">
      <c r="A822" s="32">
        <v>33060714636</v>
      </c>
      <c r="B822" s="33" t="s">
        <v>1754</v>
      </c>
      <c r="C822" s="33" t="s">
        <v>1678</v>
      </c>
      <c r="D822" s="33" t="s">
        <v>1678</v>
      </c>
      <c r="E822" s="33" t="s">
        <v>1730</v>
      </c>
      <c r="F822" s="33" t="s">
        <v>889</v>
      </c>
      <c r="G822" s="33" t="s">
        <v>1732</v>
      </c>
      <c r="H822" s="33" t="s">
        <v>322</v>
      </c>
    </row>
    <row r="823" spans="1:8" x14ac:dyDescent="0.25">
      <c r="A823" s="32">
        <v>33060714637</v>
      </c>
      <c r="B823" s="33" t="s">
        <v>1754</v>
      </c>
      <c r="C823" s="33" t="s">
        <v>1678</v>
      </c>
      <c r="D823" s="33" t="s">
        <v>1678</v>
      </c>
      <c r="E823" s="33" t="s">
        <v>1730</v>
      </c>
      <c r="F823" s="33" t="s">
        <v>1502</v>
      </c>
      <c r="G823" s="33" t="s">
        <v>1732</v>
      </c>
      <c r="H823" s="33" t="s">
        <v>2265</v>
      </c>
    </row>
    <row r="824" spans="1:8" x14ac:dyDescent="0.25">
      <c r="A824" s="32">
        <v>33060714638</v>
      </c>
      <c r="B824" s="33" t="s">
        <v>1754</v>
      </c>
      <c r="C824" s="33" t="s">
        <v>1678</v>
      </c>
      <c r="D824" s="33" t="s">
        <v>1678</v>
      </c>
      <c r="E824" s="33" t="s">
        <v>1730</v>
      </c>
      <c r="F824" s="33" t="s">
        <v>1503</v>
      </c>
      <c r="G824" s="33" t="s">
        <v>1732</v>
      </c>
      <c r="H824" s="33" t="s">
        <v>2266</v>
      </c>
    </row>
    <row r="825" spans="1:8" x14ac:dyDescent="0.25">
      <c r="A825" s="32">
        <v>33060714790</v>
      </c>
      <c r="B825" s="33" t="s">
        <v>1754</v>
      </c>
      <c r="C825" s="33" t="s">
        <v>1678</v>
      </c>
      <c r="D825" s="33" t="s">
        <v>1678</v>
      </c>
      <c r="E825" s="33" t="s">
        <v>1730</v>
      </c>
      <c r="F825" s="33" t="s">
        <v>1048</v>
      </c>
      <c r="G825" s="33" t="s">
        <v>1732</v>
      </c>
      <c r="H825" s="33" t="s">
        <v>2264</v>
      </c>
    </row>
    <row r="826" spans="1:8" x14ac:dyDescent="0.25">
      <c r="A826" s="32">
        <v>33060714890</v>
      </c>
      <c r="B826" s="33" t="s">
        <v>1754</v>
      </c>
      <c r="C826" s="33" t="s">
        <v>1678</v>
      </c>
      <c r="D826" s="33" t="s">
        <v>1678</v>
      </c>
      <c r="E826" s="33" t="s">
        <v>1730</v>
      </c>
      <c r="F826" s="33" t="s">
        <v>1355</v>
      </c>
      <c r="G826" s="33" t="s">
        <v>1732</v>
      </c>
      <c r="H826" s="33" t="s">
        <v>323</v>
      </c>
    </row>
    <row r="827" spans="1:8" x14ac:dyDescent="0.25">
      <c r="A827" s="32">
        <v>33060714900</v>
      </c>
      <c r="B827" s="33" t="s">
        <v>1754</v>
      </c>
      <c r="C827" s="33" t="s">
        <v>1678</v>
      </c>
      <c r="D827" s="33" t="s">
        <v>1678</v>
      </c>
      <c r="E827" s="33" t="s">
        <v>1730</v>
      </c>
      <c r="F827" s="33" t="s">
        <v>973</v>
      </c>
      <c r="G827" s="33" t="s">
        <v>1732</v>
      </c>
      <c r="H827" s="33" t="s">
        <v>324</v>
      </c>
    </row>
    <row r="828" spans="1:8" x14ac:dyDescent="0.25">
      <c r="A828" s="32">
        <v>33060714901</v>
      </c>
      <c r="B828" s="33" t="s">
        <v>1754</v>
      </c>
      <c r="C828" s="33" t="s">
        <v>1678</v>
      </c>
      <c r="D828" s="33" t="s">
        <v>1678</v>
      </c>
      <c r="E828" s="33" t="s">
        <v>1730</v>
      </c>
      <c r="F828" s="33" t="s">
        <v>893</v>
      </c>
      <c r="G828" s="33" t="s">
        <v>1732</v>
      </c>
      <c r="H828" s="33" t="s">
        <v>325</v>
      </c>
    </row>
    <row r="829" spans="1:8" x14ac:dyDescent="0.25">
      <c r="A829" s="32">
        <v>33060714916</v>
      </c>
      <c r="B829" s="33" t="s">
        <v>1754</v>
      </c>
      <c r="C829" s="33" t="s">
        <v>1678</v>
      </c>
      <c r="D829" s="33" t="s">
        <v>1678</v>
      </c>
      <c r="E829" s="33" t="s">
        <v>1730</v>
      </c>
      <c r="F829" s="33" t="s">
        <v>326</v>
      </c>
      <c r="G829" s="33" t="s">
        <v>1732</v>
      </c>
      <c r="H829" s="33" t="s">
        <v>2604</v>
      </c>
    </row>
    <row r="830" spans="1:8" x14ac:dyDescent="0.25">
      <c r="A830" s="32">
        <v>33060714917</v>
      </c>
      <c r="B830" s="33" t="s">
        <v>1754</v>
      </c>
      <c r="C830" s="33" t="s">
        <v>1678</v>
      </c>
      <c r="D830" s="33" t="s">
        <v>1678</v>
      </c>
      <c r="E830" s="33" t="s">
        <v>1730</v>
      </c>
      <c r="F830" s="33" t="s">
        <v>327</v>
      </c>
      <c r="G830" s="33" t="s">
        <v>1732</v>
      </c>
      <c r="H830" s="33" t="s">
        <v>2605</v>
      </c>
    </row>
    <row r="831" spans="1:8" x14ac:dyDescent="0.25">
      <c r="A831" s="32">
        <v>33060714918</v>
      </c>
      <c r="B831" s="33" t="s">
        <v>1754</v>
      </c>
      <c r="C831" s="33" t="s">
        <v>1678</v>
      </c>
      <c r="D831" s="33" t="s">
        <v>1678</v>
      </c>
      <c r="E831" s="33" t="s">
        <v>1730</v>
      </c>
      <c r="F831" s="33" t="s">
        <v>1112</v>
      </c>
      <c r="G831" s="33" t="s">
        <v>1732</v>
      </c>
      <c r="H831" s="33" t="s">
        <v>2267</v>
      </c>
    </row>
    <row r="832" spans="1:8" x14ac:dyDescent="0.25">
      <c r="A832" s="32">
        <v>33060714919</v>
      </c>
      <c r="B832" s="33" t="s">
        <v>1754</v>
      </c>
      <c r="C832" s="33" t="s">
        <v>1678</v>
      </c>
      <c r="D832" s="33" t="s">
        <v>1678</v>
      </c>
      <c r="E832" s="33" t="s">
        <v>1730</v>
      </c>
      <c r="F832" s="33" t="s">
        <v>328</v>
      </c>
      <c r="G832" s="33" t="s">
        <v>1732</v>
      </c>
      <c r="H832" s="33" t="s">
        <v>2606</v>
      </c>
    </row>
    <row r="833" spans="1:8" x14ac:dyDescent="0.25">
      <c r="A833" s="32">
        <v>33060714942</v>
      </c>
      <c r="B833" s="33" t="s">
        <v>1754</v>
      </c>
      <c r="C833" s="33" t="s">
        <v>1678</v>
      </c>
      <c r="D833" s="33" t="s">
        <v>1678</v>
      </c>
      <c r="E833" s="33" t="s">
        <v>1730</v>
      </c>
      <c r="F833" s="33" t="s">
        <v>329</v>
      </c>
      <c r="G833" s="33" t="s">
        <v>1732</v>
      </c>
      <c r="H833" s="33" t="s">
        <v>2602</v>
      </c>
    </row>
    <row r="834" spans="1:8" x14ac:dyDescent="0.25">
      <c r="A834" s="32">
        <v>33060714945</v>
      </c>
      <c r="B834" s="33" t="s">
        <v>1754</v>
      </c>
      <c r="C834" s="33" t="s">
        <v>1678</v>
      </c>
      <c r="D834" s="33" t="s">
        <v>1678</v>
      </c>
      <c r="E834" s="33" t="s">
        <v>1730</v>
      </c>
      <c r="F834" s="33" t="s">
        <v>1020</v>
      </c>
      <c r="G834" s="33" t="s">
        <v>1732</v>
      </c>
      <c r="H834" s="33" t="s">
        <v>2269</v>
      </c>
    </row>
    <row r="835" spans="1:8" x14ac:dyDescent="0.25">
      <c r="A835" s="32">
        <v>33060754032</v>
      </c>
      <c r="B835" s="33" t="s">
        <v>1754</v>
      </c>
      <c r="C835" s="33" t="s">
        <v>1678</v>
      </c>
      <c r="D835" s="33" t="s">
        <v>1678</v>
      </c>
      <c r="E835" s="33" t="s">
        <v>1730</v>
      </c>
      <c r="F835" s="33" t="s">
        <v>1235</v>
      </c>
      <c r="G835" s="33" t="s">
        <v>1732</v>
      </c>
      <c r="H835" s="33" t="s">
        <v>2602</v>
      </c>
    </row>
    <row r="836" spans="1:8" x14ac:dyDescent="0.25">
      <c r="A836" s="32">
        <v>33060761115</v>
      </c>
      <c r="B836" s="33" t="s">
        <v>1754</v>
      </c>
      <c r="C836" s="33" t="s">
        <v>1678</v>
      </c>
      <c r="D836" s="33" t="s">
        <v>1678</v>
      </c>
      <c r="E836" s="33" t="s">
        <v>1730</v>
      </c>
      <c r="F836" s="33" t="s">
        <v>331</v>
      </c>
      <c r="G836" s="33" t="s">
        <v>1732</v>
      </c>
      <c r="H836" s="33" t="s">
        <v>2611</v>
      </c>
    </row>
    <row r="837" spans="1:8" x14ac:dyDescent="0.25">
      <c r="A837" s="32">
        <v>33060761591</v>
      </c>
      <c r="B837" s="33" t="s">
        <v>1754</v>
      </c>
      <c r="C837" s="33" t="s">
        <v>1678</v>
      </c>
      <c r="D837" s="33" t="s">
        <v>1678</v>
      </c>
      <c r="E837" s="33" t="s">
        <v>1730</v>
      </c>
      <c r="F837" s="33" t="s">
        <v>332</v>
      </c>
      <c r="G837" s="33" t="s">
        <v>1732</v>
      </c>
      <c r="H837" s="33" t="s">
        <v>2607</v>
      </c>
    </row>
    <row r="838" spans="1:8" x14ac:dyDescent="0.25">
      <c r="A838" s="32">
        <v>33060761825</v>
      </c>
      <c r="B838" s="33" t="s">
        <v>1754</v>
      </c>
      <c r="C838" s="33" t="s">
        <v>1678</v>
      </c>
      <c r="D838" s="33" t="s">
        <v>1678</v>
      </c>
      <c r="E838" s="33" t="s">
        <v>1730</v>
      </c>
      <c r="F838" s="33" t="s">
        <v>333</v>
      </c>
      <c r="G838" s="33" t="s">
        <v>1732</v>
      </c>
      <c r="H838" s="33" t="s">
        <v>2603</v>
      </c>
    </row>
    <row r="839" spans="1:8" x14ac:dyDescent="0.25">
      <c r="A839" s="32">
        <v>33060761838</v>
      </c>
      <c r="B839" s="33" t="s">
        <v>1754</v>
      </c>
      <c r="C839" s="33" t="s">
        <v>1678</v>
      </c>
      <c r="D839" s="33" t="s">
        <v>1678</v>
      </c>
      <c r="E839" s="33" t="s">
        <v>1730</v>
      </c>
      <c r="F839" s="33" t="s">
        <v>1504</v>
      </c>
      <c r="G839" s="33" t="s">
        <v>1732</v>
      </c>
      <c r="H839" s="33" t="s">
        <v>2268</v>
      </c>
    </row>
    <row r="840" spans="1:8" x14ac:dyDescent="0.25">
      <c r="A840" s="32">
        <v>33060763223</v>
      </c>
      <c r="B840" s="33" t="s">
        <v>1754</v>
      </c>
      <c r="C840" s="33" t="s">
        <v>1678</v>
      </c>
      <c r="D840" s="33" t="s">
        <v>1678</v>
      </c>
      <c r="E840" s="33" t="s">
        <v>1730</v>
      </c>
      <c r="F840" s="33" t="s">
        <v>334</v>
      </c>
      <c r="G840" s="33" t="s">
        <v>1732</v>
      </c>
      <c r="H840" s="33" t="s">
        <v>2608</v>
      </c>
    </row>
    <row r="841" spans="1:8" x14ac:dyDescent="0.25">
      <c r="A841" s="32">
        <v>33060763224</v>
      </c>
      <c r="B841" s="33" t="s">
        <v>1754</v>
      </c>
      <c r="C841" s="33" t="s">
        <v>1678</v>
      </c>
      <c r="D841" s="33" t="s">
        <v>1678</v>
      </c>
      <c r="E841" s="33" t="s">
        <v>1730</v>
      </c>
      <c r="F841" s="33" t="s">
        <v>335</v>
      </c>
      <c r="G841" s="33" t="s">
        <v>1732</v>
      </c>
      <c r="H841" s="33" t="s">
        <v>2609</v>
      </c>
    </row>
    <row r="842" spans="1:8" x14ac:dyDescent="0.25">
      <c r="A842" s="32">
        <v>33060763225</v>
      </c>
      <c r="B842" s="33" t="s">
        <v>1754</v>
      </c>
      <c r="C842" s="33" t="s">
        <v>1678</v>
      </c>
      <c r="D842" s="33" t="s">
        <v>1678</v>
      </c>
      <c r="E842" s="33" t="s">
        <v>1730</v>
      </c>
      <c r="F842" s="33" t="s">
        <v>336</v>
      </c>
      <c r="G842" s="33" t="s">
        <v>1732</v>
      </c>
      <c r="H842" s="33" t="s">
        <v>2610</v>
      </c>
    </row>
    <row r="843" spans="1:8" x14ac:dyDescent="0.25">
      <c r="A843" s="32">
        <v>33060763742</v>
      </c>
      <c r="B843" s="33" t="s">
        <v>1739</v>
      </c>
      <c r="C843" s="33"/>
      <c r="D843" s="33"/>
      <c r="E843" s="33" t="s">
        <v>1730</v>
      </c>
      <c r="F843" s="33" t="s">
        <v>1635</v>
      </c>
      <c r="G843" s="33" t="s">
        <v>2871</v>
      </c>
      <c r="H843" s="33" t="s">
        <v>1635</v>
      </c>
    </row>
    <row r="844" spans="1:8" x14ac:dyDescent="0.25">
      <c r="A844" s="32">
        <v>33060763744</v>
      </c>
      <c r="B844" s="33" t="s">
        <v>1739</v>
      </c>
      <c r="C844" s="33"/>
      <c r="D844" s="33"/>
      <c r="E844" s="33" t="s">
        <v>1730</v>
      </c>
      <c r="F844" s="33" t="s">
        <v>1637</v>
      </c>
      <c r="G844" s="33" t="s">
        <v>2871</v>
      </c>
      <c r="H844" s="33" t="s">
        <v>1637</v>
      </c>
    </row>
    <row r="845" spans="1:8" x14ac:dyDescent="0.25">
      <c r="A845" s="32">
        <v>33062062027</v>
      </c>
      <c r="B845" s="33" t="s">
        <v>1729</v>
      </c>
      <c r="C845" s="33" t="s">
        <v>1708</v>
      </c>
      <c r="D845" s="33" t="s">
        <v>1708</v>
      </c>
      <c r="E845" s="33" t="s">
        <v>1730</v>
      </c>
      <c r="F845" s="33" t="s">
        <v>2003</v>
      </c>
      <c r="G845" s="33" t="s">
        <v>2871</v>
      </c>
      <c r="H845" s="33" t="s">
        <v>2003</v>
      </c>
    </row>
    <row r="846" spans="1:8" x14ac:dyDescent="0.25">
      <c r="A846" s="32">
        <v>33062062028</v>
      </c>
      <c r="B846" s="33" t="s">
        <v>1729</v>
      </c>
      <c r="C846" s="33" t="s">
        <v>1708</v>
      </c>
      <c r="D846" s="33" t="s">
        <v>1708</v>
      </c>
      <c r="E846" s="33" t="s">
        <v>1730</v>
      </c>
      <c r="F846" s="33" t="s">
        <v>2018</v>
      </c>
      <c r="G846" s="33" t="s">
        <v>2871</v>
      </c>
      <c r="H846" s="33" t="s">
        <v>2018</v>
      </c>
    </row>
    <row r="847" spans="1:8" x14ac:dyDescent="0.25">
      <c r="A847" s="32">
        <v>33062062029</v>
      </c>
      <c r="B847" s="33" t="s">
        <v>1729</v>
      </c>
      <c r="C847" s="33" t="s">
        <v>1708</v>
      </c>
      <c r="D847" s="33" t="s">
        <v>1708</v>
      </c>
      <c r="E847" s="33" t="s">
        <v>1730</v>
      </c>
      <c r="F847" s="33" t="s">
        <v>2019</v>
      </c>
      <c r="G847" s="33" t="s">
        <v>2871</v>
      </c>
      <c r="H847" s="33" t="s">
        <v>2019</v>
      </c>
    </row>
    <row r="848" spans="1:8" x14ac:dyDescent="0.25">
      <c r="A848" s="32">
        <v>33062062030</v>
      </c>
      <c r="B848" s="33" t="s">
        <v>1729</v>
      </c>
      <c r="C848" s="33" t="s">
        <v>1708</v>
      </c>
      <c r="D848" s="33" t="s">
        <v>1708</v>
      </c>
      <c r="E848" s="33" t="s">
        <v>1730</v>
      </c>
      <c r="F848" s="33" t="s">
        <v>2022</v>
      </c>
      <c r="G848" s="33" t="s">
        <v>2871</v>
      </c>
      <c r="H848" s="33" t="s">
        <v>2022</v>
      </c>
    </row>
    <row r="849" spans="1:8" x14ac:dyDescent="0.25">
      <c r="A849" s="32">
        <v>33062062031</v>
      </c>
      <c r="B849" s="33" t="s">
        <v>1729</v>
      </c>
      <c r="C849" s="33" t="s">
        <v>1708</v>
      </c>
      <c r="D849" s="33" t="s">
        <v>1708</v>
      </c>
      <c r="E849" s="33" t="s">
        <v>1730</v>
      </c>
      <c r="F849" s="33" t="s">
        <v>1999</v>
      </c>
      <c r="G849" s="33" t="s">
        <v>2871</v>
      </c>
      <c r="H849" s="33" t="s">
        <v>1999</v>
      </c>
    </row>
    <row r="850" spans="1:8" x14ac:dyDescent="0.25">
      <c r="A850" s="32">
        <v>33062062032</v>
      </c>
      <c r="B850" s="33" t="s">
        <v>1729</v>
      </c>
      <c r="C850" s="33" t="s">
        <v>1708</v>
      </c>
      <c r="D850" s="33" t="s">
        <v>1708</v>
      </c>
      <c r="E850" s="33" t="s">
        <v>1730</v>
      </c>
      <c r="F850" s="33" t="s">
        <v>1990</v>
      </c>
      <c r="G850" s="33" t="s">
        <v>2871</v>
      </c>
      <c r="H850" s="33" t="s">
        <v>1990</v>
      </c>
    </row>
    <row r="851" spans="1:8" x14ac:dyDescent="0.25">
      <c r="A851" s="32">
        <v>33062062033</v>
      </c>
      <c r="B851" s="33" t="s">
        <v>1729</v>
      </c>
      <c r="C851" s="33" t="s">
        <v>1708</v>
      </c>
      <c r="D851" s="33" t="s">
        <v>1708</v>
      </c>
      <c r="E851" s="33" t="s">
        <v>1730</v>
      </c>
      <c r="F851" s="33" t="s">
        <v>1991</v>
      </c>
      <c r="G851" s="33" t="s">
        <v>2871</v>
      </c>
      <c r="H851" s="33" t="s">
        <v>1991</v>
      </c>
    </row>
    <row r="852" spans="1:8" x14ac:dyDescent="0.25">
      <c r="A852" s="32">
        <v>33062062034</v>
      </c>
      <c r="B852" s="33" t="s">
        <v>1729</v>
      </c>
      <c r="C852" s="33" t="s">
        <v>1708</v>
      </c>
      <c r="D852" s="33" t="s">
        <v>1708</v>
      </c>
      <c r="E852" s="33" t="s">
        <v>1730</v>
      </c>
      <c r="F852" s="33" t="s">
        <v>1994</v>
      </c>
      <c r="G852" s="33" t="s">
        <v>2871</v>
      </c>
      <c r="H852" s="33" t="s">
        <v>1994</v>
      </c>
    </row>
    <row r="853" spans="1:8" x14ac:dyDescent="0.25">
      <c r="A853" s="32">
        <v>33062062035</v>
      </c>
      <c r="B853" s="33" t="s">
        <v>1729</v>
      </c>
      <c r="C853" s="33" t="s">
        <v>1708</v>
      </c>
      <c r="D853" s="33" t="s">
        <v>1708</v>
      </c>
      <c r="E853" s="33" t="s">
        <v>1730</v>
      </c>
      <c r="F853" s="33" t="s">
        <v>2021</v>
      </c>
      <c r="G853" s="33" t="s">
        <v>2871</v>
      </c>
      <c r="H853" s="33" t="s">
        <v>2021</v>
      </c>
    </row>
    <row r="854" spans="1:8" x14ac:dyDescent="0.25">
      <c r="A854" s="32">
        <v>33062062041</v>
      </c>
      <c r="B854" s="33" t="s">
        <v>1729</v>
      </c>
      <c r="C854" s="33" t="s">
        <v>1708</v>
      </c>
      <c r="D854" s="33" t="s">
        <v>1708</v>
      </c>
      <c r="E854" s="33" t="s">
        <v>1730</v>
      </c>
      <c r="F854" s="33" t="s">
        <v>950</v>
      </c>
      <c r="G854" s="33" t="s">
        <v>1732</v>
      </c>
      <c r="H854" s="33" t="s">
        <v>2005</v>
      </c>
    </row>
    <row r="855" spans="1:8" x14ac:dyDescent="0.25">
      <c r="A855" s="32">
        <v>33062062042</v>
      </c>
      <c r="B855" s="33" t="s">
        <v>1729</v>
      </c>
      <c r="C855" s="33" t="s">
        <v>1708</v>
      </c>
      <c r="D855" s="33" t="s">
        <v>1708</v>
      </c>
      <c r="E855" s="33" t="s">
        <v>1730</v>
      </c>
      <c r="F855" s="33" t="s">
        <v>1017</v>
      </c>
      <c r="G855" s="33" t="s">
        <v>1732</v>
      </c>
      <c r="H855" s="33" t="s">
        <v>2016</v>
      </c>
    </row>
    <row r="856" spans="1:8" x14ac:dyDescent="0.25">
      <c r="A856" s="32">
        <v>33062062061</v>
      </c>
      <c r="B856" s="33" t="s">
        <v>1729</v>
      </c>
      <c r="C856" s="33" t="s">
        <v>1708</v>
      </c>
      <c r="D856" s="33" t="s">
        <v>1708</v>
      </c>
      <c r="E856" s="33" t="s">
        <v>1730</v>
      </c>
      <c r="F856" s="33" t="s">
        <v>2020</v>
      </c>
      <c r="G856" s="33" t="s">
        <v>2871</v>
      </c>
      <c r="H856" s="33" t="s">
        <v>2020</v>
      </c>
    </row>
    <row r="857" spans="1:8" x14ac:dyDescent="0.25">
      <c r="A857" s="32">
        <v>33062062062</v>
      </c>
      <c r="B857" s="33" t="s">
        <v>1729</v>
      </c>
      <c r="C857" s="33" t="s">
        <v>1708</v>
      </c>
      <c r="D857" s="33" t="s">
        <v>1708</v>
      </c>
      <c r="E857" s="33" t="s">
        <v>1730</v>
      </c>
      <c r="F857" s="33" t="s">
        <v>1989</v>
      </c>
      <c r="G857" s="33" t="s">
        <v>2871</v>
      </c>
      <c r="H857" s="33" t="s">
        <v>1989</v>
      </c>
    </row>
    <row r="858" spans="1:8" x14ac:dyDescent="0.25">
      <c r="A858" s="32">
        <v>33062062063</v>
      </c>
      <c r="B858" s="33" t="s">
        <v>1729</v>
      </c>
      <c r="C858" s="33" t="s">
        <v>1708</v>
      </c>
      <c r="D858" s="33" t="s">
        <v>1708</v>
      </c>
      <c r="E858" s="33" t="s">
        <v>1730</v>
      </c>
      <c r="F858" s="33" t="s">
        <v>1992</v>
      </c>
      <c r="G858" s="33" t="s">
        <v>2871</v>
      </c>
      <c r="H858" s="33" t="s">
        <v>1992</v>
      </c>
    </row>
    <row r="859" spans="1:8" x14ac:dyDescent="0.25">
      <c r="A859" s="32">
        <v>33062062064</v>
      </c>
      <c r="B859" s="33" t="s">
        <v>1729</v>
      </c>
      <c r="C859" s="33" t="s">
        <v>1708</v>
      </c>
      <c r="D859" s="33" t="s">
        <v>1708</v>
      </c>
      <c r="E859" s="33" t="s">
        <v>1730</v>
      </c>
      <c r="F859" s="33" t="s">
        <v>1993</v>
      </c>
      <c r="G859" s="33" t="s">
        <v>2871</v>
      </c>
      <c r="H859" s="33" t="s">
        <v>1993</v>
      </c>
    </row>
    <row r="860" spans="1:8" x14ac:dyDescent="0.25">
      <c r="A860" s="32">
        <v>33062062495</v>
      </c>
      <c r="B860" s="33" t="s">
        <v>1729</v>
      </c>
      <c r="C860" s="33" t="s">
        <v>1708</v>
      </c>
      <c r="D860" s="33" t="s">
        <v>1708</v>
      </c>
      <c r="E860" s="33" t="s">
        <v>1730</v>
      </c>
      <c r="F860" s="33" t="s">
        <v>2012</v>
      </c>
      <c r="G860" s="33" t="s">
        <v>2871</v>
      </c>
      <c r="H860" s="33" t="s">
        <v>2013</v>
      </c>
    </row>
    <row r="861" spans="1:8" x14ac:dyDescent="0.25">
      <c r="A861" s="32">
        <v>33062062496</v>
      </c>
      <c r="B861" s="33" t="s">
        <v>1729</v>
      </c>
      <c r="C861" s="33" t="s">
        <v>1708</v>
      </c>
      <c r="D861" s="33" t="s">
        <v>1708</v>
      </c>
      <c r="E861" s="33" t="s">
        <v>1730</v>
      </c>
      <c r="F861" s="33" t="s">
        <v>2000</v>
      </c>
      <c r="G861" s="33" t="s">
        <v>2871</v>
      </c>
      <c r="H861" s="33" t="s">
        <v>2000</v>
      </c>
    </row>
    <row r="862" spans="1:8" x14ac:dyDescent="0.25">
      <c r="A862" s="32">
        <v>33062062497</v>
      </c>
      <c r="B862" s="33" t="s">
        <v>1729</v>
      </c>
      <c r="C862" s="33" t="s">
        <v>1708</v>
      </c>
      <c r="D862" s="33" t="s">
        <v>1708</v>
      </c>
      <c r="E862" s="33" t="s">
        <v>1730</v>
      </c>
      <c r="F862" s="33" t="s">
        <v>2007</v>
      </c>
      <c r="G862" s="33" t="s">
        <v>2871</v>
      </c>
      <c r="H862" s="33" t="s">
        <v>2008</v>
      </c>
    </row>
    <row r="863" spans="1:8" x14ac:dyDescent="0.25">
      <c r="A863" s="32">
        <v>33062062712</v>
      </c>
      <c r="B863" s="33" t="s">
        <v>1729</v>
      </c>
      <c r="C863" s="33" t="s">
        <v>1708</v>
      </c>
      <c r="D863" s="33" t="s">
        <v>1708</v>
      </c>
      <c r="E863" s="33" t="s">
        <v>1730</v>
      </c>
      <c r="F863" s="33" t="s">
        <v>1162</v>
      </c>
      <c r="G863" s="33" t="s">
        <v>1742</v>
      </c>
      <c r="H863" s="33" t="s">
        <v>2005</v>
      </c>
    </row>
    <row r="864" spans="1:8" x14ac:dyDescent="0.25">
      <c r="A864" s="32">
        <v>33062062713</v>
      </c>
      <c r="B864" s="33" t="s">
        <v>1729</v>
      </c>
      <c r="C864" s="33" t="s">
        <v>1708</v>
      </c>
      <c r="D864" s="33" t="s">
        <v>1708</v>
      </c>
      <c r="E864" s="33" t="s">
        <v>1730</v>
      </c>
      <c r="F864" s="33" t="s">
        <v>950</v>
      </c>
      <c r="G864" s="33" t="s">
        <v>1742</v>
      </c>
      <c r="H864" s="33" t="s">
        <v>2005</v>
      </c>
    </row>
    <row r="865" spans="1:8" x14ac:dyDescent="0.25">
      <c r="A865" s="32">
        <v>33062062714</v>
      </c>
      <c r="B865" s="33" t="s">
        <v>1729</v>
      </c>
      <c r="C865" s="33" t="s">
        <v>1708</v>
      </c>
      <c r="D865" s="33" t="s">
        <v>1708</v>
      </c>
      <c r="E865" s="33" t="s">
        <v>1730</v>
      </c>
      <c r="F865" s="33" t="s">
        <v>1157</v>
      </c>
      <c r="G865" s="33" t="s">
        <v>1742</v>
      </c>
      <c r="H865" s="33" t="s">
        <v>2016</v>
      </c>
    </row>
    <row r="866" spans="1:8" x14ac:dyDescent="0.25">
      <c r="A866" s="32">
        <v>33062062715</v>
      </c>
      <c r="B866" s="33" t="s">
        <v>1729</v>
      </c>
      <c r="C866" s="33" t="s">
        <v>1708</v>
      </c>
      <c r="D866" s="33" t="s">
        <v>1708</v>
      </c>
      <c r="E866" s="33" t="s">
        <v>1730</v>
      </c>
      <c r="F866" s="33" t="s">
        <v>1017</v>
      </c>
      <c r="G866" s="33" t="s">
        <v>1742</v>
      </c>
      <c r="H866" s="33" t="s">
        <v>2016</v>
      </c>
    </row>
    <row r="867" spans="1:8" x14ac:dyDescent="0.25">
      <c r="A867" s="32">
        <v>33062062716</v>
      </c>
      <c r="B867" s="33" t="s">
        <v>1729</v>
      </c>
      <c r="C867" s="33" t="s">
        <v>1708</v>
      </c>
      <c r="D867" s="33" t="s">
        <v>1708</v>
      </c>
      <c r="E867" s="33" t="s">
        <v>1730</v>
      </c>
      <c r="F867" s="33" t="s">
        <v>1189</v>
      </c>
      <c r="G867" s="33" t="s">
        <v>1732</v>
      </c>
      <c r="H867" s="33" t="s">
        <v>2010</v>
      </c>
    </row>
    <row r="868" spans="1:8" x14ac:dyDescent="0.25">
      <c r="A868" s="32">
        <v>33062062717</v>
      </c>
      <c r="B868" s="33" t="s">
        <v>1729</v>
      </c>
      <c r="C868" s="33" t="s">
        <v>1708</v>
      </c>
      <c r="D868" s="33" t="s">
        <v>1708</v>
      </c>
      <c r="E868" s="33" t="s">
        <v>1730</v>
      </c>
      <c r="F868" s="33" t="s">
        <v>1223</v>
      </c>
      <c r="G868" s="33" t="s">
        <v>1732</v>
      </c>
      <c r="H868" s="33" t="s">
        <v>2010</v>
      </c>
    </row>
    <row r="869" spans="1:8" x14ac:dyDescent="0.25">
      <c r="A869" s="32">
        <v>33062062718</v>
      </c>
      <c r="B869" s="33" t="s">
        <v>1729</v>
      </c>
      <c r="C869" s="33" t="s">
        <v>1708</v>
      </c>
      <c r="D869" s="33" t="s">
        <v>1708</v>
      </c>
      <c r="E869" s="33" t="s">
        <v>1730</v>
      </c>
      <c r="F869" s="33" t="s">
        <v>1172</v>
      </c>
      <c r="G869" s="33" t="s">
        <v>1732</v>
      </c>
      <c r="H869" s="33" t="s">
        <v>2014</v>
      </c>
    </row>
    <row r="870" spans="1:8" x14ac:dyDescent="0.25">
      <c r="A870" s="32">
        <v>33062062719</v>
      </c>
      <c r="B870" s="33" t="s">
        <v>1729</v>
      </c>
      <c r="C870" s="33" t="s">
        <v>1708</v>
      </c>
      <c r="D870" s="33" t="s">
        <v>1708</v>
      </c>
      <c r="E870" s="33" t="s">
        <v>1730</v>
      </c>
      <c r="F870" s="33" t="s">
        <v>1218</v>
      </c>
      <c r="G870" s="33" t="s">
        <v>1732</v>
      </c>
      <c r="H870" s="33" t="s">
        <v>2014</v>
      </c>
    </row>
    <row r="871" spans="1:8" x14ac:dyDescent="0.25">
      <c r="A871" s="32">
        <v>33062062720</v>
      </c>
      <c r="B871" s="33" t="s">
        <v>1729</v>
      </c>
      <c r="C871" s="33" t="s">
        <v>1708</v>
      </c>
      <c r="D871" s="33" t="s">
        <v>1708</v>
      </c>
      <c r="E871" s="33" t="s">
        <v>1730</v>
      </c>
      <c r="F871" s="33" t="s">
        <v>1122</v>
      </c>
      <c r="G871" s="33" t="s">
        <v>1732</v>
      </c>
      <c r="H871" s="33" t="s">
        <v>1995</v>
      </c>
    </row>
    <row r="872" spans="1:8" x14ac:dyDescent="0.25">
      <c r="A872" s="32">
        <v>33062062721</v>
      </c>
      <c r="B872" s="33" t="s">
        <v>1729</v>
      </c>
      <c r="C872" s="33" t="s">
        <v>1708</v>
      </c>
      <c r="D872" s="33" t="s">
        <v>1708</v>
      </c>
      <c r="E872" s="33" t="s">
        <v>1730</v>
      </c>
      <c r="F872" s="33" t="s">
        <v>871</v>
      </c>
      <c r="G872" s="33" t="s">
        <v>1732</v>
      </c>
      <c r="H872" s="33" t="s">
        <v>2001</v>
      </c>
    </row>
    <row r="873" spans="1:8" x14ac:dyDescent="0.25">
      <c r="A873" s="32">
        <v>33062062722</v>
      </c>
      <c r="B873" s="33" t="s">
        <v>1729</v>
      </c>
      <c r="C873" s="33" t="s">
        <v>1708</v>
      </c>
      <c r="D873" s="33" t="s">
        <v>1708</v>
      </c>
      <c r="E873" s="33" t="s">
        <v>1730</v>
      </c>
      <c r="F873" s="33" t="s">
        <v>1194</v>
      </c>
      <c r="G873" s="33" t="s">
        <v>1732</v>
      </c>
      <c r="H873" s="33" t="s">
        <v>2001</v>
      </c>
    </row>
    <row r="874" spans="1:8" x14ac:dyDescent="0.25">
      <c r="A874" s="32">
        <v>33062062731</v>
      </c>
      <c r="B874" s="33" t="s">
        <v>1729</v>
      </c>
      <c r="C874" s="33" t="s">
        <v>1708</v>
      </c>
      <c r="D874" s="33" t="s">
        <v>1708</v>
      </c>
      <c r="E874" s="33" t="s">
        <v>1730</v>
      </c>
      <c r="F874" s="33" t="s">
        <v>1522</v>
      </c>
      <c r="G874" s="33" t="s">
        <v>2871</v>
      </c>
      <c r="H874" s="33" t="s">
        <v>1997</v>
      </c>
    </row>
    <row r="875" spans="1:8" x14ac:dyDescent="0.25">
      <c r="A875" s="32">
        <v>33062062732</v>
      </c>
      <c r="B875" s="33" t="s">
        <v>1729</v>
      </c>
      <c r="C875" s="33" t="s">
        <v>1708</v>
      </c>
      <c r="D875" s="33" t="s">
        <v>1708</v>
      </c>
      <c r="E875" s="33" t="s">
        <v>1730</v>
      </c>
      <c r="F875" s="33" t="s">
        <v>1523</v>
      </c>
      <c r="G875" s="33" t="s">
        <v>2871</v>
      </c>
      <c r="H875" s="33" t="s">
        <v>1998</v>
      </c>
    </row>
    <row r="876" spans="1:8" x14ac:dyDescent="0.25">
      <c r="A876" s="32">
        <v>33062062733</v>
      </c>
      <c r="B876" s="33" t="s">
        <v>1729</v>
      </c>
      <c r="C876" s="33" t="s">
        <v>1708</v>
      </c>
      <c r="D876" s="33" t="s">
        <v>1708</v>
      </c>
      <c r="E876" s="33" t="s">
        <v>1730</v>
      </c>
      <c r="F876" s="33" t="s">
        <v>1524</v>
      </c>
      <c r="G876" s="33" t="s">
        <v>2871</v>
      </c>
      <c r="H876" s="33" t="s">
        <v>1996</v>
      </c>
    </row>
    <row r="877" spans="1:8" x14ac:dyDescent="0.25">
      <c r="A877" s="32">
        <v>33062062734</v>
      </c>
      <c r="B877" s="33" t="s">
        <v>1729</v>
      </c>
      <c r="C877" s="33" t="s">
        <v>1708</v>
      </c>
      <c r="D877" s="33" t="s">
        <v>1708</v>
      </c>
      <c r="E877" s="33" t="s">
        <v>1730</v>
      </c>
      <c r="F877" s="33" t="s">
        <v>1527</v>
      </c>
      <c r="G877" s="33" t="s">
        <v>2871</v>
      </c>
      <c r="H877" s="33" t="s">
        <v>2002</v>
      </c>
    </row>
    <row r="878" spans="1:8" x14ac:dyDescent="0.25">
      <c r="A878" s="32">
        <v>33062062735</v>
      </c>
      <c r="B878" s="33" t="s">
        <v>1729</v>
      </c>
      <c r="C878" s="33" t="s">
        <v>1708</v>
      </c>
      <c r="D878" s="33" t="s">
        <v>1708</v>
      </c>
      <c r="E878" s="33" t="s">
        <v>1730</v>
      </c>
      <c r="F878" s="33" t="s">
        <v>1120</v>
      </c>
      <c r="G878" s="33" t="s">
        <v>1732</v>
      </c>
      <c r="H878" s="33" t="s">
        <v>1998</v>
      </c>
    </row>
    <row r="879" spans="1:8" x14ac:dyDescent="0.25">
      <c r="A879" s="32">
        <v>33062062736</v>
      </c>
      <c r="B879" s="33" t="s">
        <v>1729</v>
      </c>
      <c r="C879" s="33" t="s">
        <v>1708</v>
      </c>
      <c r="D879" s="33" t="s">
        <v>1708</v>
      </c>
      <c r="E879" s="33" t="s">
        <v>1730</v>
      </c>
      <c r="F879" s="33" t="s">
        <v>1169</v>
      </c>
      <c r="G879" s="33" t="s">
        <v>1732</v>
      </c>
      <c r="H879" s="33" t="s">
        <v>1996</v>
      </c>
    </row>
    <row r="880" spans="1:8" x14ac:dyDescent="0.25">
      <c r="A880" s="32">
        <v>33062062737</v>
      </c>
      <c r="B880" s="33" t="s">
        <v>1729</v>
      </c>
      <c r="C880" s="33" t="s">
        <v>1708</v>
      </c>
      <c r="D880" s="33" t="s">
        <v>1708</v>
      </c>
      <c r="E880" s="33" t="s">
        <v>1730</v>
      </c>
      <c r="F880" s="33" t="s">
        <v>1139</v>
      </c>
      <c r="G880" s="33" t="s">
        <v>1732</v>
      </c>
      <c r="H880" s="33" t="s">
        <v>1997</v>
      </c>
    </row>
    <row r="881" spans="1:8" x14ac:dyDescent="0.25">
      <c r="A881" s="32">
        <v>33062062738</v>
      </c>
      <c r="B881" s="33" t="s">
        <v>1729</v>
      </c>
      <c r="C881" s="33" t="s">
        <v>1708</v>
      </c>
      <c r="D881" s="33" t="s">
        <v>1708</v>
      </c>
      <c r="E881" s="33" t="s">
        <v>1730</v>
      </c>
      <c r="F881" s="33" t="s">
        <v>1046</v>
      </c>
      <c r="G881" s="33" t="s">
        <v>1732</v>
      </c>
      <c r="H881" s="33" t="s">
        <v>2002</v>
      </c>
    </row>
    <row r="882" spans="1:8" x14ac:dyDescent="0.25">
      <c r="A882" s="32">
        <v>33062062739</v>
      </c>
      <c r="B882" s="33" t="s">
        <v>1729</v>
      </c>
      <c r="C882" s="33" t="s">
        <v>1708</v>
      </c>
      <c r="D882" s="33" t="s">
        <v>1708</v>
      </c>
      <c r="E882" s="33" t="s">
        <v>1730</v>
      </c>
      <c r="F882" s="33" t="s">
        <v>1525</v>
      </c>
      <c r="G882" s="33" t="s">
        <v>2871</v>
      </c>
      <c r="H882" s="33" t="s">
        <v>1995</v>
      </c>
    </row>
    <row r="883" spans="1:8" x14ac:dyDescent="0.25">
      <c r="A883" s="32">
        <v>33062063018</v>
      </c>
      <c r="B883" s="33" t="s">
        <v>1729</v>
      </c>
      <c r="C883" s="33" t="s">
        <v>1708</v>
      </c>
      <c r="D883" s="33" t="s">
        <v>1708</v>
      </c>
      <c r="E883" s="33" t="s">
        <v>1730</v>
      </c>
      <c r="F883" s="33" t="s">
        <v>2004</v>
      </c>
      <c r="G883" s="33" t="s">
        <v>2871</v>
      </c>
      <c r="H883" s="33" t="s">
        <v>2005</v>
      </c>
    </row>
    <row r="884" spans="1:8" x14ac:dyDescent="0.25">
      <c r="A884" s="32">
        <v>33062063019</v>
      </c>
      <c r="B884" s="33" t="s">
        <v>1729</v>
      </c>
      <c r="C884" s="33" t="s">
        <v>1708</v>
      </c>
      <c r="D884" s="33" t="s">
        <v>1708</v>
      </c>
      <c r="E884" s="33" t="s">
        <v>1730</v>
      </c>
      <c r="F884" s="33" t="s">
        <v>2006</v>
      </c>
      <c r="G884" s="33" t="s">
        <v>2871</v>
      </c>
      <c r="H884" s="33" t="s">
        <v>2005</v>
      </c>
    </row>
    <row r="885" spans="1:8" x14ac:dyDescent="0.25">
      <c r="A885" s="32">
        <v>33062063020</v>
      </c>
      <c r="B885" s="33" t="s">
        <v>1729</v>
      </c>
      <c r="C885" s="33" t="s">
        <v>1708</v>
      </c>
      <c r="D885" s="33" t="s">
        <v>1708</v>
      </c>
      <c r="E885" s="33" t="s">
        <v>1730</v>
      </c>
      <c r="F885" s="33" t="s">
        <v>2015</v>
      </c>
      <c r="G885" s="33" t="s">
        <v>2871</v>
      </c>
      <c r="H885" s="33" t="s">
        <v>2016</v>
      </c>
    </row>
    <row r="886" spans="1:8" x14ac:dyDescent="0.25">
      <c r="A886" s="32">
        <v>33062063021</v>
      </c>
      <c r="B886" s="33" t="s">
        <v>1729</v>
      </c>
      <c r="C886" s="33" t="s">
        <v>1708</v>
      </c>
      <c r="D886" s="33" t="s">
        <v>1708</v>
      </c>
      <c r="E886" s="33" t="s">
        <v>1730</v>
      </c>
      <c r="F886" s="33" t="s">
        <v>2017</v>
      </c>
      <c r="G886" s="33" t="s">
        <v>2871</v>
      </c>
      <c r="H886" s="33" t="s">
        <v>2016</v>
      </c>
    </row>
    <row r="887" spans="1:8" x14ac:dyDescent="0.25">
      <c r="A887" s="32">
        <v>33062063022</v>
      </c>
      <c r="B887" s="33" t="s">
        <v>1729</v>
      </c>
      <c r="C887" s="33" t="s">
        <v>1708</v>
      </c>
      <c r="D887" s="33" t="s">
        <v>1708</v>
      </c>
      <c r="E887" s="33" t="s">
        <v>1730</v>
      </c>
      <c r="F887" s="33" t="s">
        <v>2009</v>
      </c>
      <c r="G887" s="33" t="s">
        <v>2871</v>
      </c>
      <c r="H887" s="33" t="s">
        <v>2010</v>
      </c>
    </row>
    <row r="888" spans="1:8" x14ac:dyDescent="0.25">
      <c r="A888" s="32">
        <v>33062063023</v>
      </c>
      <c r="B888" s="33" t="s">
        <v>1729</v>
      </c>
      <c r="C888" s="33" t="s">
        <v>1708</v>
      </c>
      <c r="D888" s="33" t="s">
        <v>1708</v>
      </c>
      <c r="E888" s="33" t="s">
        <v>1730</v>
      </c>
      <c r="F888" s="33" t="s">
        <v>2011</v>
      </c>
      <c r="G888" s="33" t="s">
        <v>2871</v>
      </c>
      <c r="H888" s="33" t="s">
        <v>2010</v>
      </c>
    </row>
    <row r="889" spans="1:8" x14ac:dyDescent="0.25">
      <c r="A889" s="32">
        <v>33062063024</v>
      </c>
      <c r="B889" s="33" t="s">
        <v>1729</v>
      </c>
      <c r="C889" s="33" t="s">
        <v>1708</v>
      </c>
      <c r="D889" s="33" t="s">
        <v>1708</v>
      </c>
      <c r="E889" s="33" t="s">
        <v>1730</v>
      </c>
      <c r="F889" s="33" t="s">
        <v>1115</v>
      </c>
      <c r="G889" s="33" t="s">
        <v>1732</v>
      </c>
      <c r="H889" s="33" t="s">
        <v>1977</v>
      </c>
    </row>
    <row r="890" spans="1:8" x14ac:dyDescent="0.25">
      <c r="A890" s="32">
        <v>33062063025</v>
      </c>
      <c r="B890" s="33" t="s">
        <v>1729</v>
      </c>
      <c r="C890" s="33" t="s">
        <v>1708</v>
      </c>
      <c r="D890" s="33" t="s">
        <v>1708</v>
      </c>
      <c r="E890" s="33" t="s">
        <v>1730</v>
      </c>
      <c r="F890" s="33" t="s">
        <v>1073</v>
      </c>
      <c r="G890" s="33" t="s">
        <v>1732</v>
      </c>
      <c r="H890" s="33" t="s">
        <v>1977</v>
      </c>
    </row>
    <row r="891" spans="1:8" x14ac:dyDescent="0.25">
      <c r="A891" s="32">
        <v>33062063026</v>
      </c>
      <c r="B891" s="33" t="s">
        <v>1729</v>
      </c>
      <c r="C891" s="33" t="s">
        <v>1708</v>
      </c>
      <c r="D891" s="33" t="s">
        <v>1708</v>
      </c>
      <c r="E891" s="33" t="s">
        <v>1730</v>
      </c>
      <c r="F891" s="33" t="s">
        <v>1022</v>
      </c>
      <c r="G891" s="33" t="s">
        <v>1742</v>
      </c>
      <c r="H891" s="33" t="s">
        <v>1980</v>
      </c>
    </row>
    <row r="892" spans="1:8" x14ac:dyDescent="0.25">
      <c r="A892" s="32">
        <v>33062063027</v>
      </c>
      <c r="B892" s="33" t="s">
        <v>1729</v>
      </c>
      <c r="C892" s="33" t="s">
        <v>1708</v>
      </c>
      <c r="D892" s="33" t="s">
        <v>1708</v>
      </c>
      <c r="E892" s="33" t="s">
        <v>1730</v>
      </c>
      <c r="F892" s="33" t="s">
        <v>1526</v>
      </c>
      <c r="G892" s="33" t="s">
        <v>2871</v>
      </c>
      <c r="H892" s="33" t="s">
        <v>1980</v>
      </c>
    </row>
    <row r="893" spans="1:8" x14ac:dyDescent="0.25">
      <c r="A893" s="32">
        <v>33062063028</v>
      </c>
      <c r="B893" s="33" t="s">
        <v>1729</v>
      </c>
      <c r="C893" s="33" t="s">
        <v>1708</v>
      </c>
      <c r="D893" s="33" t="s">
        <v>1708</v>
      </c>
      <c r="E893" s="33" t="s">
        <v>1730</v>
      </c>
      <c r="F893" s="33" t="s">
        <v>1201</v>
      </c>
      <c r="G893" s="33" t="s">
        <v>1742</v>
      </c>
      <c r="H893" s="33" t="s">
        <v>1981</v>
      </c>
    </row>
    <row r="894" spans="1:8" x14ac:dyDescent="0.25">
      <c r="A894" s="32">
        <v>33062063029</v>
      </c>
      <c r="B894" s="33" t="s">
        <v>1729</v>
      </c>
      <c r="C894" s="33" t="s">
        <v>1708</v>
      </c>
      <c r="D894" s="33" t="s">
        <v>1708</v>
      </c>
      <c r="E894" s="33" t="s">
        <v>1730</v>
      </c>
      <c r="F894" s="33" t="s">
        <v>1164</v>
      </c>
      <c r="G894" s="33" t="s">
        <v>1742</v>
      </c>
      <c r="H894" s="33" t="s">
        <v>1981</v>
      </c>
    </row>
    <row r="895" spans="1:8" x14ac:dyDescent="0.25">
      <c r="A895" s="32">
        <v>33062063030</v>
      </c>
      <c r="B895" s="33" t="s">
        <v>1729</v>
      </c>
      <c r="C895" s="33" t="s">
        <v>1708</v>
      </c>
      <c r="D895" s="33" t="s">
        <v>1708</v>
      </c>
      <c r="E895" s="33" t="s">
        <v>1730</v>
      </c>
      <c r="F895" s="33" t="s">
        <v>888</v>
      </c>
      <c r="G895" s="33" t="s">
        <v>1742</v>
      </c>
      <c r="H895" s="33" t="s">
        <v>1982</v>
      </c>
    </row>
    <row r="896" spans="1:8" x14ac:dyDescent="0.25">
      <c r="A896" s="32">
        <v>33062063031</v>
      </c>
      <c r="B896" s="33" t="s">
        <v>1729</v>
      </c>
      <c r="C896" s="33" t="s">
        <v>1708</v>
      </c>
      <c r="D896" s="33" t="s">
        <v>1708</v>
      </c>
      <c r="E896" s="33" t="s">
        <v>1730</v>
      </c>
      <c r="F896" s="33" t="s">
        <v>1529</v>
      </c>
      <c r="G896" s="33" t="s">
        <v>2871</v>
      </c>
      <c r="H896" s="33" t="s">
        <v>1982</v>
      </c>
    </row>
    <row r="897" spans="1:8" x14ac:dyDescent="0.25">
      <c r="A897" s="32">
        <v>33062063139</v>
      </c>
      <c r="B897" s="33" t="s">
        <v>1729</v>
      </c>
      <c r="C897" s="33" t="s">
        <v>1708</v>
      </c>
      <c r="D897" s="33" t="s">
        <v>1708</v>
      </c>
      <c r="E897" s="33" t="s">
        <v>1730</v>
      </c>
      <c r="F897" s="33" t="s">
        <v>1165</v>
      </c>
      <c r="G897" s="33" t="s">
        <v>1732</v>
      </c>
      <c r="H897" s="33" t="s">
        <v>1976</v>
      </c>
    </row>
    <row r="898" spans="1:8" x14ac:dyDescent="0.25">
      <c r="A898" s="32">
        <v>33062063140</v>
      </c>
      <c r="B898" s="33" t="s">
        <v>1729</v>
      </c>
      <c r="C898" s="33" t="s">
        <v>1708</v>
      </c>
      <c r="D898" s="33" t="s">
        <v>1708</v>
      </c>
      <c r="E898" s="33" t="s">
        <v>1730</v>
      </c>
      <c r="F898" s="33" t="s">
        <v>1183</v>
      </c>
      <c r="G898" s="33" t="s">
        <v>1732</v>
      </c>
      <c r="H898" s="33" t="s">
        <v>1976</v>
      </c>
    </row>
    <row r="899" spans="1:8" x14ac:dyDescent="0.25">
      <c r="A899" s="32">
        <v>33062063149</v>
      </c>
      <c r="B899" s="33" t="s">
        <v>1729</v>
      </c>
      <c r="C899" s="33" t="s">
        <v>1708</v>
      </c>
      <c r="D899" s="33" t="s">
        <v>1708</v>
      </c>
      <c r="E899" s="33" t="s">
        <v>1730</v>
      </c>
      <c r="F899" s="33" t="s">
        <v>892</v>
      </c>
      <c r="G899" s="33" t="s">
        <v>1742</v>
      </c>
      <c r="H899" s="33" t="s">
        <v>1970</v>
      </c>
    </row>
    <row r="900" spans="1:8" x14ac:dyDescent="0.25">
      <c r="A900" s="32">
        <v>33062063150</v>
      </c>
      <c r="B900" s="33" t="s">
        <v>1729</v>
      </c>
      <c r="C900" s="33" t="s">
        <v>1708</v>
      </c>
      <c r="D900" s="33" t="s">
        <v>1708</v>
      </c>
      <c r="E900" s="33" t="s">
        <v>1730</v>
      </c>
      <c r="F900" s="33" t="s">
        <v>362</v>
      </c>
      <c r="G900" s="33" t="s">
        <v>1742</v>
      </c>
      <c r="H900" s="33" t="s">
        <v>1970</v>
      </c>
    </row>
    <row r="901" spans="1:8" x14ac:dyDescent="0.25">
      <c r="A901" s="32">
        <v>33062063151</v>
      </c>
      <c r="B901" s="33" t="s">
        <v>1729</v>
      </c>
      <c r="C901" s="33" t="s">
        <v>1708</v>
      </c>
      <c r="D901" s="33" t="s">
        <v>1708</v>
      </c>
      <c r="E901" s="33" t="s">
        <v>1730</v>
      </c>
      <c r="F901" s="33" t="s">
        <v>1173</v>
      </c>
      <c r="G901" s="33" t="s">
        <v>1742</v>
      </c>
      <c r="H901" s="33" t="s">
        <v>1969</v>
      </c>
    </row>
    <row r="902" spans="1:8" x14ac:dyDescent="0.25">
      <c r="A902" s="32">
        <v>33062063152</v>
      </c>
      <c r="B902" s="33" t="s">
        <v>1729</v>
      </c>
      <c r="C902" s="33" t="s">
        <v>1708</v>
      </c>
      <c r="D902" s="33" t="s">
        <v>1708</v>
      </c>
      <c r="E902" s="33" t="s">
        <v>1730</v>
      </c>
      <c r="F902" s="33" t="s">
        <v>886</v>
      </c>
      <c r="G902" s="33" t="s">
        <v>1742</v>
      </c>
      <c r="H902" s="33" t="s">
        <v>1969</v>
      </c>
    </row>
    <row r="903" spans="1:8" x14ac:dyDescent="0.25">
      <c r="A903" s="32">
        <v>33062063153</v>
      </c>
      <c r="B903" s="33" t="s">
        <v>1729</v>
      </c>
      <c r="C903" s="33" t="s">
        <v>1708</v>
      </c>
      <c r="D903" s="33" t="s">
        <v>1708</v>
      </c>
      <c r="E903" s="33" t="s">
        <v>1730</v>
      </c>
      <c r="F903" s="33" t="s">
        <v>1388</v>
      </c>
      <c r="G903" s="33" t="s">
        <v>1742</v>
      </c>
      <c r="H903" s="33" t="s">
        <v>1972</v>
      </c>
    </row>
    <row r="904" spans="1:8" x14ac:dyDescent="0.25">
      <c r="A904" s="32">
        <v>33062063154</v>
      </c>
      <c r="B904" s="33" t="s">
        <v>1729</v>
      </c>
      <c r="C904" s="33" t="s">
        <v>1708</v>
      </c>
      <c r="D904" s="33" t="s">
        <v>1708</v>
      </c>
      <c r="E904" s="33" t="s">
        <v>1730</v>
      </c>
      <c r="F904" s="33" t="s">
        <v>1530</v>
      </c>
      <c r="G904" s="33" t="s">
        <v>2871</v>
      </c>
      <c r="H904" s="33" t="s">
        <v>1972</v>
      </c>
    </row>
    <row r="905" spans="1:8" x14ac:dyDescent="0.25">
      <c r="A905" s="32">
        <v>33062063155</v>
      </c>
      <c r="B905" s="33" t="s">
        <v>1729</v>
      </c>
      <c r="C905" s="33" t="s">
        <v>1708</v>
      </c>
      <c r="D905" s="33" t="s">
        <v>1708</v>
      </c>
      <c r="E905" s="33" t="s">
        <v>1730</v>
      </c>
      <c r="F905" s="33" t="s">
        <v>1387</v>
      </c>
      <c r="G905" s="33" t="s">
        <v>1742</v>
      </c>
      <c r="H905" s="33" t="s">
        <v>1971</v>
      </c>
    </row>
    <row r="906" spans="1:8" x14ac:dyDescent="0.25">
      <c r="A906" s="32">
        <v>33062063156</v>
      </c>
      <c r="B906" s="33" t="s">
        <v>1729</v>
      </c>
      <c r="C906" s="33" t="s">
        <v>1708</v>
      </c>
      <c r="D906" s="33" t="s">
        <v>1708</v>
      </c>
      <c r="E906" s="33" t="s">
        <v>1730</v>
      </c>
      <c r="F906" s="33" t="s">
        <v>1531</v>
      </c>
      <c r="G906" s="33" t="s">
        <v>2871</v>
      </c>
      <c r="H906" s="33" t="s">
        <v>1971</v>
      </c>
    </row>
    <row r="907" spans="1:8" x14ac:dyDescent="0.25">
      <c r="A907" s="32">
        <v>33062063157</v>
      </c>
      <c r="B907" s="33" t="s">
        <v>1729</v>
      </c>
      <c r="C907" s="33" t="s">
        <v>1708</v>
      </c>
      <c r="D907" s="33" t="s">
        <v>1708</v>
      </c>
      <c r="E907" s="33" t="s">
        <v>1730</v>
      </c>
      <c r="F907" s="33" t="s">
        <v>1389</v>
      </c>
      <c r="G907" s="33" t="s">
        <v>1742</v>
      </c>
      <c r="H907" s="33" t="s">
        <v>1974</v>
      </c>
    </row>
    <row r="908" spans="1:8" x14ac:dyDescent="0.25">
      <c r="A908" s="32">
        <v>33062063158</v>
      </c>
      <c r="B908" s="33" t="s">
        <v>1729</v>
      </c>
      <c r="C908" s="33" t="s">
        <v>1708</v>
      </c>
      <c r="D908" s="33" t="s">
        <v>1708</v>
      </c>
      <c r="E908" s="33" t="s">
        <v>1730</v>
      </c>
      <c r="F908" s="33" t="s">
        <v>1532</v>
      </c>
      <c r="G908" s="33" t="s">
        <v>2871</v>
      </c>
      <c r="H908" s="33" t="s">
        <v>1974</v>
      </c>
    </row>
    <row r="909" spans="1:8" x14ac:dyDescent="0.25">
      <c r="A909" s="32">
        <v>33062063159</v>
      </c>
      <c r="B909" s="33" t="s">
        <v>1729</v>
      </c>
      <c r="C909" s="33" t="s">
        <v>1708</v>
      </c>
      <c r="D909" s="33" t="s">
        <v>1708</v>
      </c>
      <c r="E909" s="33" t="s">
        <v>1730</v>
      </c>
      <c r="F909" s="33" t="s">
        <v>1392</v>
      </c>
      <c r="G909" s="33" t="s">
        <v>1742</v>
      </c>
      <c r="H909" s="33" t="s">
        <v>1973</v>
      </c>
    </row>
    <row r="910" spans="1:8" x14ac:dyDescent="0.25">
      <c r="A910" s="32">
        <v>33062063160</v>
      </c>
      <c r="B910" s="33" t="s">
        <v>1729</v>
      </c>
      <c r="C910" s="33" t="s">
        <v>1708</v>
      </c>
      <c r="D910" s="33" t="s">
        <v>1708</v>
      </c>
      <c r="E910" s="33" t="s">
        <v>1730</v>
      </c>
      <c r="F910" s="33" t="s">
        <v>1533</v>
      </c>
      <c r="G910" s="33" t="s">
        <v>2871</v>
      </c>
      <c r="H910" s="33" t="s">
        <v>1973</v>
      </c>
    </row>
    <row r="911" spans="1:8" x14ac:dyDescent="0.25">
      <c r="A911" s="32">
        <v>33062064069</v>
      </c>
      <c r="B911" s="33" t="s">
        <v>1729</v>
      </c>
      <c r="C911" s="33" t="s">
        <v>1708</v>
      </c>
      <c r="D911" s="33" t="s">
        <v>1708</v>
      </c>
      <c r="E911" s="33" t="s">
        <v>1730</v>
      </c>
      <c r="F911" s="33" t="s">
        <v>1528</v>
      </c>
      <c r="G911" s="33" t="s">
        <v>2871</v>
      </c>
      <c r="H911" s="33" t="s">
        <v>1975</v>
      </c>
    </row>
    <row r="912" spans="1:8" x14ac:dyDescent="0.25">
      <c r="A912" s="32">
        <v>33062064070</v>
      </c>
      <c r="B912" s="33" t="s">
        <v>1729</v>
      </c>
      <c r="C912" s="33" t="s">
        <v>1708</v>
      </c>
      <c r="D912" s="33" t="s">
        <v>1708</v>
      </c>
      <c r="E912" s="33" t="s">
        <v>1730</v>
      </c>
      <c r="F912" s="33" t="s">
        <v>992</v>
      </c>
      <c r="G912" s="33" t="s">
        <v>1742</v>
      </c>
      <c r="H912" s="33" t="s">
        <v>1979</v>
      </c>
    </row>
    <row r="913" spans="1:8" x14ac:dyDescent="0.25">
      <c r="A913" s="32">
        <v>33062064071</v>
      </c>
      <c r="B913" s="33" t="s">
        <v>1729</v>
      </c>
      <c r="C913" s="33" t="s">
        <v>1708</v>
      </c>
      <c r="D913" s="33" t="s">
        <v>1708</v>
      </c>
      <c r="E913" s="33" t="s">
        <v>1730</v>
      </c>
      <c r="F913" s="33" t="s">
        <v>1137</v>
      </c>
      <c r="G913" s="33" t="s">
        <v>1742</v>
      </c>
      <c r="H913" s="33" t="s">
        <v>1979</v>
      </c>
    </row>
    <row r="914" spans="1:8" x14ac:dyDescent="0.25">
      <c r="A914" s="32">
        <v>33062064072</v>
      </c>
      <c r="B914" s="33" t="s">
        <v>1729</v>
      </c>
      <c r="C914" s="33" t="s">
        <v>1708</v>
      </c>
      <c r="D914" s="33" t="s">
        <v>1708</v>
      </c>
      <c r="E914" s="33" t="s">
        <v>1730</v>
      </c>
      <c r="F914" s="33" t="s">
        <v>1047</v>
      </c>
      <c r="G914" s="33" t="s">
        <v>1742</v>
      </c>
      <c r="H914" s="33" t="s">
        <v>1978</v>
      </c>
    </row>
    <row r="915" spans="1:8" x14ac:dyDescent="0.25">
      <c r="A915" s="32">
        <v>33062064073</v>
      </c>
      <c r="B915" s="33" t="s">
        <v>1729</v>
      </c>
      <c r="C915" s="33" t="s">
        <v>1708</v>
      </c>
      <c r="D915" s="33" t="s">
        <v>1708</v>
      </c>
      <c r="E915" s="33" t="s">
        <v>1730</v>
      </c>
      <c r="F915" s="33" t="s">
        <v>925</v>
      </c>
      <c r="G915" s="33" t="s">
        <v>1742</v>
      </c>
      <c r="H915" s="33" t="s">
        <v>1978</v>
      </c>
    </row>
    <row r="916" spans="1:8" x14ac:dyDescent="0.25">
      <c r="A916" s="32">
        <v>33062064356</v>
      </c>
      <c r="B916" s="33" t="s">
        <v>1729</v>
      </c>
      <c r="C916" s="33" t="s">
        <v>1708</v>
      </c>
      <c r="D916" s="33" t="s">
        <v>1708</v>
      </c>
      <c r="E916" s="33" t="s">
        <v>1730</v>
      </c>
      <c r="F916" s="33" t="s">
        <v>885</v>
      </c>
      <c r="G916" s="33" t="s">
        <v>1742</v>
      </c>
      <c r="H916" s="33" t="s">
        <v>1987</v>
      </c>
    </row>
    <row r="917" spans="1:8" x14ac:dyDescent="0.25">
      <c r="A917" s="32">
        <v>33062064357</v>
      </c>
      <c r="B917" s="33" t="s">
        <v>1729</v>
      </c>
      <c r="C917" s="33" t="s">
        <v>1708</v>
      </c>
      <c r="D917" s="33" t="s">
        <v>1708</v>
      </c>
      <c r="E917" s="33" t="s">
        <v>1730</v>
      </c>
      <c r="F917" s="33" t="s">
        <v>884</v>
      </c>
      <c r="G917" s="33" t="s">
        <v>1742</v>
      </c>
      <c r="H917" s="33" t="s">
        <v>1987</v>
      </c>
    </row>
    <row r="918" spans="1:8" x14ac:dyDescent="0.25">
      <c r="A918" s="32">
        <v>33062064358</v>
      </c>
      <c r="B918" s="33" t="s">
        <v>1729</v>
      </c>
      <c r="C918" s="33" t="s">
        <v>1708</v>
      </c>
      <c r="D918" s="33" t="s">
        <v>1708</v>
      </c>
      <c r="E918" s="33" t="s">
        <v>1730</v>
      </c>
      <c r="F918" s="33" t="s">
        <v>1390</v>
      </c>
      <c r="G918" s="33" t="s">
        <v>1742</v>
      </c>
      <c r="H918" s="33" t="s">
        <v>1988</v>
      </c>
    </row>
    <row r="919" spans="1:8" x14ac:dyDescent="0.25">
      <c r="A919" s="32">
        <v>33062064359</v>
      </c>
      <c r="B919" s="33" t="s">
        <v>1729</v>
      </c>
      <c r="C919" s="33" t="s">
        <v>1708</v>
      </c>
      <c r="D919" s="33" t="s">
        <v>1708</v>
      </c>
      <c r="E919" s="33" t="s">
        <v>1730</v>
      </c>
      <c r="F919" s="33" t="s">
        <v>1384</v>
      </c>
      <c r="G919" s="33" t="s">
        <v>1742</v>
      </c>
      <c r="H919" s="33" t="s">
        <v>1988</v>
      </c>
    </row>
    <row r="920" spans="1:8" x14ac:dyDescent="0.25">
      <c r="A920" s="32">
        <v>33062064862</v>
      </c>
      <c r="B920" s="33" t="s">
        <v>1729</v>
      </c>
      <c r="C920" s="33" t="s">
        <v>1701</v>
      </c>
      <c r="D920" s="33" t="s">
        <v>1708</v>
      </c>
      <c r="E920" s="33" t="s">
        <v>1755</v>
      </c>
      <c r="F920" s="33" t="s">
        <v>1800</v>
      </c>
      <c r="G920" s="33" t="s">
        <v>1756</v>
      </c>
      <c r="H920" s="33" t="s">
        <v>1801</v>
      </c>
    </row>
    <row r="921" spans="1:8" x14ac:dyDescent="0.25">
      <c r="A921" s="32">
        <v>33062064863</v>
      </c>
      <c r="B921" s="33" t="s">
        <v>1729</v>
      </c>
      <c r="C921" s="33" t="s">
        <v>1701</v>
      </c>
      <c r="D921" s="33" t="s">
        <v>1708</v>
      </c>
      <c r="E921" s="33" t="s">
        <v>1755</v>
      </c>
      <c r="F921" s="33" t="s">
        <v>1802</v>
      </c>
      <c r="G921" s="33" t="s">
        <v>1756</v>
      </c>
      <c r="H921" s="33" t="s">
        <v>1803</v>
      </c>
    </row>
    <row r="922" spans="1:8" x14ac:dyDescent="0.25">
      <c r="A922" s="32">
        <v>33062064864</v>
      </c>
      <c r="B922" s="33" t="s">
        <v>1729</v>
      </c>
      <c r="C922" s="33" t="s">
        <v>1701</v>
      </c>
      <c r="D922" s="33" t="s">
        <v>1708</v>
      </c>
      <c r="E922" s="33" t="s">
        <v>1755</v>
      </c>
      <c r="F922" s="33" t="s">
        <v>1804</v>
      </c>
      <c r="G922" s="33" t="s">
        <v>1756</v>
      </c>
      <c r="H922" s="33" t="s">
        <v>1805</v>
      </c>
    </row>
    <row r="923" spans="1:8" x14ac:dyDescent="0.25">
      <c r="A923" s="32">
        <v>33062064865</v>
      </c>
      <c r="B923" s="33" t="s">
        <v>1729</v>
      </c>
      <c r="C923" s="33" t="s">
        <v>1701</v>
      </c>
      <c r="D923" s="33" t="s">
        <v>1708</v>
      </c>
      <c r="E923" s="33" t="s">
        <v>1755</v>
      </c>
      <c r="F923" s="33" t="s">
        <v>1806</v>
      </c>
      <c r="G923" s="33" t="s">
        <v>1756</v>
      </c>
      <c r="H923" s="33" t="s">
        <v>1807</v>
      </c>
    </row>
    <row r="924" spans="1:8" x14ac:dyDescent="0.25">
      <c r="A924" s="32">
        <v>33062064866</v>
      </c>
      <c r="B924" s="33" t="s">
        <v>1729</v>
      </c>
      <c r="C924" s="33" t="s">
        <v>1701</v>
      </c>
      <c r="D924" s="33" t="s">
        <v>1708</v>
      </c>
      <c r="E924" s="33" t="s">
        <v>1755</v>
      </c>
      <c r="F924" s="33" t="s">
        <v>1808</v>
      </c>
      <c r="G924" s="33" t="s">
        <v>1756</v>
      </c>
      <c r="H924" s="33" t="s">
        <v>1809</v>
      </c>
    </row>
    <row r="925" spans="1:8" x14ac:dyDescent="0.25">
      <c r="A925" s="32">
        <v>33062064867</v>
      </c>
      <c r="B925" s="33" t="s">
        <v>1729</v>
      </c>
      <c r="C925" s="33" t="s">
        <v>1701</v>
      </c>
      <c r="D925" s="33" t="s">
        <v>1708</v>
      </c>
      <c r="E925" s="33" t="s">
        <v>1755</v>
      </c>
      <c r="F925" s="33" t="s">
        <v>1810</v>
      </c>
      <c r="G925" s="33" t="s">
        <v>1756</v>
      </c>
      <c r="H925" s="33" t="s">
        <v>1811</v>
      </c>
    </row>
    <row r="926" spans="1:8" x14ac:dyDescent="0.25">
      <c r="A926" s="32">
        <v>33062064868</v>
      </c>
      <c r="B926" s="33" t="s">
        <v>1729</v>
      </c>
      <c r="C926" s="33" t="s">
        <v>1701</v>
      </c>
      <c r="D926" s="33" t="s">
        <v>1708</v>
      </c>
      <c r="E926" s="33" t="s">
        <v>1755</v>
      </c>
      <c r="F926" s="33" t="s">
        <v>1814</v>
      </c>
      <c r="G926" s="33" t="s">
        <v>1756</v>
      </c>
      <c r="H926" s="33" t="s">
        <v>1815</v>
      </c>
    </row>
    <row r="927" spans="1:8" x14ac:dyDescent="0.25">
      <c r="A927" s="32">
        <v>33062064869</v>
      </c>
      <c r="B927" s="33" t="s">
        <v>1729</v>
      </c>
      <c r="C927" s="33" t="s">
        <v>1701</v>
      </c>
      <c r="D927" s="33" t="s">
        <v>1708</v>
      </c>
      <c r="E927" s="33" t="s">
        <v>1755</v>
      </c>
      <c r="F927" s="33" t="s">
        <v>1818</v>
      </c>
      <c r="G927" s="33" t="s">
        <v>1756</v>
      </c>
      <c r="H927" s="33" t="s">
        <v>1819</v>
      </c>
    </row>
    <row r="928" spans="1:8" x14ac:dyDescent="0.25">
      <c r="A928" s="32">
        <v>33062064870</v>
      </c>
      <c r="B928" s="33" t="s">
        <v>1729</v>
      </c>
      <c r="C928" s="33" t="s">
        <v>1701</v>
      </c>
      <c r="D928" s="33" t="s">
        <v>1708</v>
      </c>
      <c r="E928" s="33" t="s">
        <v>1755</v>
      </c>
      <c r="F928" s="33" t="s">
        <v>1820</v>
      </c>
      <c r="G928" s="33" t="s">
        <v>1756</v>
      </c>
      <c r="H928" s="33" t="s">
        <v>1821</v>
      </c>
    </row>
    <row r="929" spans="1:8" x14ac:dyDescent="0.25">
      <c r="A929" s="32">
        <v>33062064871</v>
      </c>
      <c r="B929" s="33" t="s">
        <v>1729</v>
      </c>
      <c r="C929" s="33" t="s">
        <v>1701</v>
      </c>
      <c r="D929" s="33" t="s">
        <v>1708</v>
      </c>
      <c r="E929" s="33" t="s">
        <v>1755</v>
      </c>
      <c r="F929" s="33" t="s">
        <v>1822</v>
      </c>
      <c r="G929" s="33" t="s">
        <v>1756</v>
      </c>
      <c r="H929" s="33" t="s">
        <v>1823</v>
      </c>
    </row>
    <row r="930" spans="1:8" x14ac:dyDescent="0.25">
      <c r="A930" s="32">
        <v>33062064872</v>
      </c>
      <c r="B930" s="33" t="s">
        <v>1729</v>
      </c>
      <c r="C930" s="33" t="s">
        <v>1701</v>
      </c>
      <c r="D930" s="33" t="s">
        <v>1708</v>
      </c>
      <c r="E930" s="33" t="s">
        <v>1755</v>
      </c>
      <c r="F930" s="33" t="s">
        <v>1824</v>
      </c>
      <c r="G930" s="33" t="s">
        <v>1756</v>
      </c>
      <c r="H930" s="33" t="s">
        <v>1825</v>
      </c>
    </row>
    <row r="931" spans="1:8" x14ac:dyDescent="0.25">
      <c r="A931" s="32">
        <v>33062064873</v>
      </c>
      <c r="B931" s="33" t="s">
        <v>1729</v>
      </c>
      <c r="C931" s="33" t="s">
        <v>1701</v>
      </c>
      <c r="D931" s="33" t="s">
        <v>1708</v>
      </c>
      <c r="E931" s="33" t="s">
        <v>1755</v>
      </c>
      <c r="F931" s="33" t="s">
        <v>1826</v>
      </c>
      <c r="G931" s="33" t="s">
        <v>1756</v>
      </c>
      <c r="H931" s="33" t="s">
        <v>1827</v>
      </c>
    </row>
    <row r="932" spans="1:8" x14ac:dyDescent="0.25">
      <c r="A932" s="32">
        <v>33062064874</v>
      </c>
      <c r="B932" s="33" t="s">
        <v>1729</v>
      </c>
      <c r="C932" s="33" t="s">
        <v>1701</v>
      </c>
      <c r="D932" s="33" t="s">
        <v>1708</v>
      </c>
      <c r="E932" s="33" t="s">
        <v>1755</v>
      </c>
      <c r="F932" s="33" t="s">
        <v>1828</v>
      </c>
      <c r="G932" s="33" t="s">
        <v>1756</v>
      </c>
      <c r="H932" s="33" t="s">
        <v>1829</v>
      </c>
    </row>
    <row r="933" spans="1:8" x14ac:dyDescent="0.25">
      <c r="A933" s="32">
        <v>33062064875</v>
      </c>
      <c r="B933" s="33" t="s">
        <v>1729</v>
      </c>
      <c r="C933" s="33" t="s">
        <v>1701</v>
      </c>
      <c r="D933" s="33" t="s">
        <v>1708</v>
      </c>
      <c r="E933" s="33" t="s">
        <v>1755</v>
      </c>
      <c r="F933" s="33" t="s">
        <v>1830</v>
      </c>
      <c r="G933" s="33" t="s">
        <v>1756</v>
      </c>
      <c r="H933" s="33" t="s">
        <v>1831</v>
      </c>
    </row>
    <row r="934" spans="1:8" x14ac:dyDescent="0.25">
      <c r="A934" s="32">
        <v>33062064876</v>
      </c>
      <c r="B934" s="33" t="s">
        <v>1729</v>
      </c>
      <c r="C934" s="33" t="s">
        <v>1701</v>
      </c>
      <c r="D934" s="33" t="s">
        <v>1708</v>
      </c>
      <c r="E934" s="33" t="s">
        <v>1755</v>
      </c>
      <c r="F934" s="33" t="s">
        <v>1912</v>
      </c>
      <c r="G934" s="33" t="s">
        <v>1756</v>
      </c>
      <c r="H934" s="33" t="s">
        <v>1913</v>
      </c>
    </row>
    <row r="935" spans="1:8" x14ac:dyDescent="0.25">
      <c r="A935" s="32">
        <v>33062064877</v>
      </c>
      <c r="B935" s="33" t="s">
        <v>1729</v>
      </c>
      <c r="C935" s="33" t="s">
        <v>1701</v>
      </c>
      <c r="D935" s="33" t="s">
        <v>1708</v>
      </c>
      <c r="E935" s="33" t="s">
        <v>1755</v>
      </c>
      <c r="F935" s="33" t="s">
        <v>1914</v>
      </c>
      <c r="G935" s="33" t="s">
        <v>1756</v>
      </c>
      <c r="H935" s="33" t="s">
        <v>1915</v>
      </c>
    </row>
    <row r="936" spans="1:8" x14ac:dyDescent="0.25">
      <c r="A936" s="32">
        <v>33062064878</v>
      </c>
      <c r="B936" s="33" t="s">
        <v>1729</v>
      </c>
      <c r="C936" s="33" t="s">
        <v>1701</v>
      </c>
      <c r="D936" s="33" t="s">
        <v>1708</v>
      </c>
      <c r="E936" s="33" t="s">
        <v>1755</v>
      </c>
      <c r="F936" s="33" t="s">
        <v>1916</v>
      </c>
      <c r="G936" s="33" t="s">
        <v>1756</v>
      </c>
      <c r="H936" s="33" t="s">
        <v>1917</v>
      </c>
    </row>
    <row r="937" spans="1:8" x14ac:dyDescent="0.25">
      <c r="A937" s="32">
        <v>33062064879</v>
      </c>
      <c r="B937" s="33" t="s">
        <v>1729</v>
      </c>
      <c r="C937" s="33" t="s">
        <v>1701</v>
      </c>
      <c r="D937" s="33" t="s">
        <v>1708</v>
      </c>
      <c r="E937" s="33" t="s">
        <v>1755</v>
      </c>
      <c r="F937" s="33" t="s">
        <v>1918</v>
      </c>
      <c r="G937" s="33" t="s">
        <v>1756</v>
      </c>
      <c r="H937" s="33" t="s">
        <v>1919</v>
      </c>
    </row>
    <row r="938" spans="1:8" x14ac:dyDescent="0.25">
      <c r="A938" s="32">
        <v>33062064880</v>
      </c>
      <c r="B938" s="33" t="s">
        <v>1729</v>
      </c>
      <c r="C938" s="33" t="s">
        <v>1701</v>
      </c>
      <c r="D938" s="33" t="s">
        <v>1708</v>
      </c>
      <c r="E938" s="33" t="s">
        <v>1755</v>
      </c>
      <c r="F938" s="33" t="s">
        <v>1920</v>
      </c>
      <c r="G938" s="33" t="s">
        <v>1756</v>
      </c>
      <c r="H938" s="33" t="s">
        <v>1921</v>
      </c>
    </row>
    <row r="939" spans="1:8" x14ac:dyDescent="0.25">
      <c r="A939" s="32">
        <v>33062064881</v>
      </c>
      <c r="B939" s="33" t="s">
        <v>1729</v>
      </c>
      <c r="C939" s="33" t="s">
        <v>1701</v>
      </c>
      <c r="D939" s="33" t="s">
        <v>1708</v>
      </c>
      <c r="E939" s="33" t="s">
        <v>1755</v>
      </c>
      <c r="F939" s="33" t="s">
        <v>1922</v>
      </c>
      <c r="G939" s="33" t="s">
        <v>1756</v>
      </c>
      <c r="H939" s="33" t="s">
        <v>1923</v>
      </c>
    </row>
    <row r="940" spans="1:8" x14ac:dyDescent="0.25">
      <c r="A940" s="32">
        <v>33062064882</v>
      </c>
      <c r="B940" s="33" t="s">
        <v>1729</v>
      </c>
      <c r="C940" s="33" t="s">
        <v>1701</v>
      </c>
      <c r="D940" s="33" t="s">
        <v>1708</v>
      </c>
      <c r="E940" s="33" t="s">
        <v>1755</v>
      </c>
      <c r="F940" s="33" t="s">
        <v>1924</v>
      </c>
      <c r="G940" s="33" t="s">
        <v>1756</v>
      </c>
      <c r="H940" s="33" t="s">
        <v>1925</v>
      </c>
    </row>
    <row r="941" spans="1:8" x14ac:dyDescent="0.25">
      <c r="A941" s="32">
        <v>33062064883</v>
      </c>
      <c r="B941" s="33" t="s">
        <v>1729</v>
      </c>
      <c r="C941" s="33" t="s">
        <v>1701</v>
      </c>
      <c r="D941" s="33" t="s">
        <v>1708</v>
      </c>
      <c r="E941" s="33" t="s">
        <v>1755</v>
      </c>
      <c r="F941" s="33" t="s">
        <v>1926</v>
      </c>
      <c r="G941" s="33" t="s">
        <v>1756</v>
      </c>
      <c r="H941" s="33" t="s">
        <v>1927</v>
      </c>
    </row>
    <row r="942" spans="1:8" x14ac:dyDescent="0.25">
      <c r="A942" s="32">
        <v>33062064884</v>
      </c>
      <c r="B942" s="33" t="s">
        <v>1729</v>
      </c>
      <c r="C942" s="33" t="s">
        <v>1701</v>
      </c>
      <c r="D942" s="33" t="s">
        <v>1708</v>
      </c>
      <c r="E942" s="33" t="s">
        <v>1755</v>
      </c>
      <c r="F942" s="33" t="s">
        <v>1909</v>
      </c>
      <c r="G942" s="33" t="s">
        <v>1756</v>
      </c>
      <c r="H942" s="33" t="s">
        <v>377</v>
      </c>
    </row>
    <row r="943" spans="1:8" x14ac:dyDescent="0.25">
      <c r="A943" s="32">
        <v>33062064885</v>
      </c>
      <c r="B943" s="33" t="s">
        <v>1729</v>
      </c>
      <c r="C943" s="33" t="s">
        <v>1701</v>
      </c>
      <c r="D943" s="33" t="s">
        <v>1708</v>
      </c>
      <c r="E943" s="33" t="s">
        <v>1755</v>
      </c>
      <c r="F943" s="33" t="s">
        <v>1910</v>
      </c>
      <c r="G943" s="33" t="s">
        <v>1756</v>
      </c>
      <c r="H943" s="33" t="s">
        <v>378</v>
      </c>
    </row>
    <row r="944" spans="1:8" x14ac:dyDescent="0.25">
      <c r="A944" s="32">
        <v>33062064886</v>
      </c>
      <c r="B944" s="33" t="s">
        <v>1729</v>
      </c>
      <c r="C944" s="33" t="s">
        <v>1701</v>
      </c>
      <c r="D944" s="33" t="s">
        <v>1708</v>
      </c>
      <c r="E944" s="33" t="s">
        <v>1755</v>
      </c>
      <c r="F944" s="33" t="s">
        <v>1911</v>
      </c>
      <c r="G944" s="33" t="s">
        <v>1756</v>
      </c>
      <c r="H944" s="33" t="s">
        <v>379</v>
      </c>
    </row>
    <row r="945" spans="1:8" x14ac:dyDescent="0.25">
      <c r="A945" s="32">
        <v>33062064993</v>
      </c>
      <c r="B945" s="33" t="s">
        <v>1729</v>
      </c>
      <c r="C945" s="33" t="s">
        <v>1708</v>
      </c>
      <c r="D945" s="33" t="s">
        <v>1708</v>
      </c>
      <c r="E945" s="33" t="s">
        <v>1730</v>
      </c>
      <c r="F945" s="33" t="s">
        <v>1967</v>
      </c>
      <c r="G945" s="33" t="s">
        <v>2871</v>
      </c>
      <c r="H945" s="33" t="s">
        <v>1968</v>
      </c>
    </row>
    <row r="946" spans="1:8" x14ac:dyDescent="0.25">
      <c r="A946" s="32">
        <v>33062064994</v>
      </c>
      <c r="B946" s="33" t="s">
        <v>1729</v>
      </c>
      <c r="C946" s="33" t="s">
        <v>1708</v>
      </c>
      <c r="D946" s="33" t="s">
        <v>1708</v>
      </c>
      <c r="E946" s="33" t="s">
        <v>1730</v>
      </c>
      <c r="F946" s="33" t="s">
        <v>1983</v>
      </c>
      <c r="G946" s="33" t="s">
        <v>2871</v>
      </c>
      <c r="H946" s="33" t="s">
        <v>1984</v>
      </c>
    </row>
    <row r="947" spans="1:8" x14ac:dyDescent="0.25">
      <c r="A947" s="32">
        <v>33062064995</v>
      </c>
      <c r="B947" s="33" t="s">
        <v>1729</v>
      </c>
      <c r="C947" s="33" t="s">
        <v>1708</v>
      </c>
      <c r="D947" s="33" t="s">
        <v>1708</v>
      </c>
      <c r="E947" s="33" t="s">
        <v>1730</v>
      </c>
      <c r="F947" s="33" t="s">
        <v>1985</v>
      </c>
      <c r="G947" s="33" t="s">
        <v>2871</v>
      </c>
      <c r="H947" s="33" t="s">
        <v>1986</v>
      </c>
    </row>
    <row r="948" spans="1:8" x14ac:dyDescent="0.25">
      <c r="A948" s="32">
        <v>33062065018</v>
      </c>
      <c r="B948" s="33" t="s">
        <v>1729</v>
      </c>
      <c r="C948" s="33" t="s">
        <v>1701</v>
      </c>
      <c r="D948" s="33" t="s">
        <v>1708</v>
      </c>
      <c r="E948" s="33" t="s">
        <v>1755</v>
      </c>
      <c r="F948" s="33" t="s">
        <v>1798</v>
      </c>
      <c r="G948" s="33" t="s">
        <v>1756</v>
      </c>
      <c r="H948" s="33" t="s">
        <v>1799</v>
      </c>
    </row>
    <row r="949" spans="1:8" x14ac:dyDescent="0.25">
      <c r="A949" s="32">
        <v>33062065019</v>
      </c>
      <c r="B949" s="33" t="s">
        <v>1729</v>
      </c>
      <c r="C949" s="33" t="s">
        <v>1701</v>
      </c>
      <c r="D949" s="33" t="s">
        <v>1708</v>
      </c>
      <c r="E949" s="33" t="s">
        <v>1755</v>
      </c>
      <c r="F949" s="33" t="s">
        <v>1816</v>
      </c>
      <c r="G949" s="33" t="s">
        <v>1756</v>
      </c>
      <c r="H949" s="33" t="s">
        <v>1817</v>
      </c>
    </row>
    <row r="950" spans="1:8" x14ac:dyDescent="0.25">
      <c r="A950" s="32">
        <v>33062065020</v>
      </c>
      <c r="B950" s="33" t="s">
        <v>1729</v>
      </c>
      <c r="C950" s="33" t="s">
        <v>1701</v>
      </c>
      <c r="D950" s="33" t="s">
        <v>1708</v>
      </c>
      <c r="E950" s="33" t="s">
        <v>1755</v>
      </c>
      <c r="F950" s="33" t="s">
        <v>1812</v>
      </c>
      <c r="G950" s="33" t="s">
        <v>1756</v>
      </c>
      <c r="H950" s="33" t="s">
        <v>1813</v>
      </c>
    </row>
    <row r="951" spans="1:8" x14ac:dyDescent="0.25">
      <c r="A951" s="32">
        <v>33062065021</v>
      </c>
      <c r="B951" s="33" t="s">
        <v>1729</v>
      </c>
      <c r="C951" s="33" t="s">
        <v>1701</v>
      </c>
      <c r="D951" s="33" t="s">
        <v>1708</v>
      </c>
      <c r="E951" s="33" t="s">
        <v>1755</v>
      </c>
      <c r="F951" s="33" t="s">
        <v>1903</v>
      </c>
      <c r="G951" s="33" t="s">
        <v>1756</v>
      </c>
      <c r="H951" s="33" t="s">
        <v>1904</v>
      </c>
    </row>
    <row r="952" spans="1:8" x14ac:dyDescent="0.25">
      <c r="A952" s="32">
        <v>33062065022</v>
      </c>
      <c r="B952" s="33" t="s">
        <v>1729</v>
      </c>
      <c r="C952" s="33" t="s">
        <v>1701</v>
      </c>
      <c r="D952" s="33" t="s">
        <v>1708</v>
      </c>
      <c r="E952" s="33" t="s">
        <v>1755</v>
      </c>
      <c r="F952" s="33" t="s">
        <v>1907</v>
      </c>
      <c r="G952" s="33" t="s">
        <v>1756</v>
      </c>
      <c r="H952" s="33" t="s">
        <v>1908</v>
      </c>
    </row>
    <row r="953" spans="1:8" x14ac:dyDescent="0.25">
      <c r="A953" s="32">
        <v>33062065023</v>
      </c>
      <c r="B953" s="33" t="s">
        <v>1729</v>
      </c>
      <c r="C953" s="33" t="s">
        <v>1701</v>
      </c>
      <c r="D953" s="33" t="s">
        <v>1708</v>
      </c>
      <c r="E953" s="33" t="s">
        <v>1755</v>
      </c>
      <c r="F953" s="33" t="s">
        <v>1905</v>
      </c>
      <c r="G953" s="33" t="s">
        <v>1756</v>
      </c>
      <c r="H953" s="33" t="s">
        <v>1906</v>
      </c>
    </row>
    <row r="954" spans="1:8" x14ac:dyDescent="0.25">
      <c r="A954" s="32">
        <v>33062065024</v>
      </c>
      <c r="B954" s="33" t="s">
        <v>1729</v>
      </c>
      <c r="C954" s="33" t="s">
        <v>1701</v>
      </c>
      <c r="D954" s="33" t="s">
        <v>1708</v>
      </c>
      <c r="E954" s="33" t="s">
        <v>1755</v>
      </c>
      <c r="F954" s="33" t="s">
        <v>1840</v>
      </c>
      <c r="G954" s="33" t="s">
        <v>1756</v>
      </c>
      <c r="H954" s="33" t="s">
        <v>1841</v>
      </c>
    </row>
    <row r="955" spans="1:8" x14ac:dyDescent="0.25">
      <c r="A955" s="32">
        <v>33062065025</v>
      </c>
      <c r="B955" s="33" t="s">
        <v>1729</v>
      </c>
      <c r="C955" s="33" t="s">
        <v>1701</v>
      </c>
      <c r="D955" s="33" t="s">
        <v>1708</v>
      </c>
      <c r="E955" s="33" t="s">
        <v>1755</v>
      </c>
      <c r="F955" s="33" t="s">
        <v>1842</v>
      </c>
      <c r="G955" s="33" t="s">
        <v>1756</v>
      </c>
      <c r="H955" s="33" t="s">
        <v>1843</v>
      </c>
    </row>
    <row r="956" spans="1:8" x14ac:dyDescent="0.25">
      <c r="A956" s="32">
        <v>33062065026</v>
      </c>
      <c r="B956" s="33" t="s">
        <v>1729</v>
      </c>
      <c r="C956" s="33" t="s">
        <v>1701</v>
      </c>
      <c r="D956" s="33" t="s">
        <v>1708</v>
      </c>
      <c r="E956" s="33" t="s">
        <v>1755</v>
      </c>
      <c r="F956" s="33" t="s">
        <v>1844</v>
      </c>
      <c r="G956" s="33" t="s">
        <v>1756</v>
      </c>
      <c r="H956" s="33" t="s">
        <v>1845</v>
      </c>
    </row>
    <row r="957" spans="1:8" x14ac:dyDescent="0.25">
      <c r="A957" s="32">
        <v>33062065027</v>
      </c>
      <c r="B957" s="33" t="s">
        <v>1729</v>
      </c>
      <c r="C957" s="33" t="s">
        <v>1701</v>
      </c>
      <c r="D957" s="33" t="s">
        <v>1708</v>
      </c>
      <c r="E957" s="33" t="s">
        <v>1755</v>
      </c>
      <c r="F957" s="33" t="s">
        <v>1838</v>
      </c>
      <c r="G957" s="33" t="s">
        <v>1756</v>
      </c>
      <c r="H957" s="33" t="s">
        <v>1839</v>
      </c>
    </row>
    <row r="958" spans="1:8" x14ac:dyDescent="0.25">
      <c r="A958" s="32">
        <v>33062065028</v>
      </c>
      <c r="B958" s="33" t="s">
        <v>1729</v>
      </c>
      <c r="C958" s="33" t="s">
        <v>1701</v>
      </c>
      <c r="D958" s="33" t="s">
        <v>1708</v>
      </c>
      <c r="E958" s="33" t="s">
        <v>1755</v>
      </c>
      <c r="F958" s="33" t="s">
        <v>1836</v>
      </c>
      <c r="G958" s="33" t="s">
        <v>1756</v>
      </c>
      <c r="H958" s="33" t="s">
        <v>1837</v>
      </c>
    </row>
    <row r="959" spans="1:8" x14ac:dyDescent="0.25">
      <c r="A959" s="32">
        <v>33062065029</v>
      </c>
      <c r="B959" s="33" t="s">
        <v>1729</v>
      </c>
      <c r="C959" s="33" t="s">
        <v>1701</v>
      </c>
      <c r="D959" s="33" t="s">
        <v>1708</v>
      </c>
      <c r="E959" s="33" t="s">
        <v>1755</v>
      </c>
      <c r="F959" s="33" t="s">
        <v>1854</v>
      </c>
      <c r="G959" s="33" t="s">
        <v>1756</v>
      </c>
      <c r="H959" s="33" t="s">
        <v>1855</v>
      </c>
    </row>
    <row r="960" spans="1:8" x14ac:dyDescent="0.25">
      <c r="A960" s="32">
        <v>33062065030</v>
      </c>
      <c r="B960" s="33" t="s">
        <v>1729</v>
      </c>
      <c r="C960" s="33" t="s">
        <v>1701</v>
      </c>
      <c r="D960" s="33" t="s">
        <v>1708</v>
      </c>
      <c r="E960" s="33" t="s">
        <v>1755</v>
      </c>
      <c r="F960" s="33" t="s">
        <v>1846</v>
      </c>
      <c r="G960" s="33" t="s">
        <v>1756</v>
      </c>
      <c r="H960" s="33" t="s">
        <v>1847</v>
      </c>
    </row>
    <row r="961" spans="1:8" x14ac:dyDescent="0.25">
      <c r="A961" s="32">
        <v>33062065031</v>
      </c>
      <c r="B961" s="33" t="s">
        <v>1729</v>
      </c>
      <c r="C961" s="33" t="s">
        <v>1701</v>
      </c>
      <c r="D961" s="33" t="s">
        <v>1708</v>
      </c>
      <c r="E961" s="33" t="s">
        <v>1755</v>
      </c>
      <c r="F961" s="33" t="s">
        <v>1848</v>
      </c>
      <c r="G961" s="33" t="s">
        <v>1756</v>
      </c>
      <c r="H961" s="33" t="s">
        <v>1849</v>
      </c>
    </row>
    <row r="962" spans="1:8" x14ac:dyDescent="0.25">
      <c r="A962" s="32">
        <v>33062065032</v>
      </c>
      <c r="B962" s="33" t="s">
        <v>1729</v>
      </c>
      <c r="C962" s="33" t="s">
        <v>1701</v>
      </c>
      <c r="D962" s="33" t="s">
        <v>1708</v>
      </c>
      <c r="E962" s="33" t="s">
        <v>1755</v>
      </c>
      <c r="F962" s="33" t="s">
        <v>1850</v>
      </c>
      <c r="G962" s="33" t="s">
        <v>1756</v>
      </c>
      <c r="H962" s="33" t="s">
        <v>1851</v>
      </c>
    </row>
    <row r="963" spans="1:8" x14ac:dyDescent="0.25">
      <c r="A963" s="32">
        <v>33062065033</v>
      </c>
      <c r="B963" s="33" t="s">
        <v>1729</v>
      </c>
      <c r="C963" s="33" t="s">
        <v>1701</v>
      </c>
      <c r="D963" s="33" t="s">
        <v>1708</v>
      </c>
      <c r="E963" s="33" t="s">
        <v>1755</v>
      </c>
      <c r="F963" s="33" t="s">
        <v>1852</v>
      </c>
      <c r="G963" s="33" t="s">
        <v>1756</v>
      </c>
      <c r="H963" s="33" t="s">
        <v>1853</v>
      </c>
    </row>
    <row r="964" spans="1:8" x14ac:dyDescent="0.25">
      <c r="A964" s="32">
        <v>33062065034</v>
      </c>
      <c r="B964" s="33" t="s">
        <v>1729</v>
      </c>
      <c r="C964" s="33" t="s">
        <v>1701</v>
      </c>
      <c r="D964" s="33" t="s">
        <v>1708</v>
      </c>
      <c r="E964" s="33" t="s">
        <v>1755</v>
      </c>
      <c r="F964" s="33" t="s">
        <v>1832</v>
      </c>
      <c r="G964" s="33" t="s">
        <v>1756</v>
      </c>
      <c r="H964" s="33" t="s">
        <v>1833</v>
      </c>
    </row>
    <row r="965" spans="1:8" x14ac:dyDescent="0.25">
      <c r="A965" s="32">
        <v>33062065035</v>
      </c>
      <c r="B965" s="33" t="s">
        <v>1729</v>
      </c>
      <c r="C965" s="33" t="s">
        <v>1701</v>
      </c>
      <c r="D965" s="33" t="s">
        <v>1708</v>
      </c>
      <c r="E965" s="33" t="s">
        <v>1755</v>
      </c>
      <c r="F965" s="33" t="s">
        <v>1834</v>
      </c>
      <c r="G965" s="33" t="s">
        <v>1756</v>
      </c>
      <c r="H965" s="33" t="s">
        <v>1835</v>
      </c>
    </row>
    <row r="966" spans="1:8" x14ac:dyDescent="0.25">
      <c r="A966" s="32">
        <v>33062065036</v>
      </c>
      <c r="B966" s="33" t="s">
        <v>1729</v>
      </c>
      <c r="C966" s="33" t="s">
        <v>1701</v>
      </c>
      <c r="D966" s="33" t="s">
        <v>1708</v>
      </c>
      <c r="E966" s="33" t="s">
        <v>1755</v>
      </c>
      <c r="F966" s="33" t="s">
        <v>383</v>
      </c>
      <c r="G966" s="33" t="s">
        <v>1756</v>
      </c>
      <c r="H966" s="33" t="s">
        <v>1856</v>
      </c>
    </row>
    <row r="967" spans="1:8" x14ac:dyDescent="0.25">
      <c r="A967" s="32">
        <v>33062065037</v>
      </c>
      <c r="B967" s="33" t="s">
        <v>1729</v>
      </c>
      <c r="C967" s="33" t="s">
        <v>1701</v>
      </c>
      <c r="D967" s="33" t="s">
        <v>1708</v>
      </c>
      <c r="E967" s="33" t="s">
        <v>1755</v>
      </c>
      <c r="F967" s="33" t="s">
        <v>384</v>
      </c>
      <c r="G967" s="33" t="s">
        <v>1756</v>
      </c>
      <c r="H967" s="33" t="s">
        <v>1857</v>
      </c>
    </row>
    <row r="968" spans="1:8" x14ac:dyDescent="0.25">
      <c r="A968" s="32">
        <v>33062065038</v>
      </c>
      <c r="B968" s="33" t="s">
        <v>1729</v>
      </c>
      <c r="C968" s="33" t="s">
        <v>1701</v>
      </c>
      <c r="D968" s="33" t="s">
        <v>1708</v>
      </c>
      <c r="E968" s="33" t="s">
        <v>1755</v>
      </c>
      <c r="F968" s="33" t="s">
        <v>1858</v>
      </c>
      <c r="G968" s="33" t="s">
        <v>1756</v>
      </c>
      <c r="H968" s="33" t="s">
        <v>1859</v>
      </c>
    </row>
    <row r="969" spans="1:8" x14ac:dyDescent="0.25">
      <c r="A969" s="32">
        <v>33062065039</v>
      </c>
      <c r="B969" s="33" t="s">
        <v>1729</v>
      </c>
      <c r="C969" s="33" t="s">
        <v>1701</v>
      </c>
      <c r="D969" s="33" t="s">
        <v>1708</v>
      </c>
      <c r="E969" s="33" t="s">
        <v>1755</v>
      </c>
      <c r="F969" s="33" t="s">
        <v>1899</v>
      </c>
      <c r="G969" s="33" t="s">
        <v>1756</v>
      </c>
      <c r="H969" s="33" t="s">
        <v>1900</v>
      </c>
    </row>
    <row r="970" spans="1:8" x14ac:dyDescent="0.25">
      <c r="A970" s="32">
        <v>33062065040</v>
      </c>
      <c r="B970" s="33" t="s">
        <v>1729</v>
      </c>
      <c r="C970" s="33" t="s">
        <v>1701</v>
      </c>
      <c r="D970" s="33" t="s">
        <v>1708</v>
      </c>
      <c r="E970" s="33" t="s">
        <v>1755</v>
      </c>
      <c r="F970" s="33" t="s">
        <v>1897</v>
      </c>
      <c r="G970" s="33" t="s">
        <v>1756</v>
      </c>
      <c r="H970" s="33" t="s">
        <v>1898</v>
      </c>
    </row>
    <row r="971" spans="1:8" x14ac:dyDescent="0.25">
      <c r="A971" s="32">
        <v>33062065041</v>
      </c>
      <c r="B971" s="33" t="s">
        <v>1729</v>
      </c>
      <c r="C971" s="33" t="s">
        <v>1701</v>
      </c>
      <c r="D971" s="33" t="s">
        <v>1708</v>
      </c>
      <c r="E971" s="33" t="s">
        <v>1755</v>
      </c>
      <c r="F971" s="33" t="s">
        <v>1860</v>
      </c>
      <c r="G971" s="33" t="s">
        <v>1756</v>
      </c>
      <c r="H971" s="33" t="s">
        <v>1861</v>
      </c>
    </row>
    <row r="972" spans="1:8" x14ac:dyDescent="0.25">
      <c r="A972" s="32">
        <v>33062065042</v>
      </c>
      <c r="B972" s="33" t="s">
        <v>1729</v>
      </c>
      <c r="C972" s="33" t="s">
        <v>1701</v>
      </c>
      <c r="D972" s="33" t="s">
        <v>1708</v>
      </c>
      <c r="E972" s="33" t="s">
        <v>1755</v>
      </c>
      <c r="F972" s="33" t="s">
        <v>386</v>
      </c>
      <c r="G972" s="33" t="s">
        <v>1756</v>
      </c>
      <c r="H972" s="33" t="s">
        <v>1867</v>
      </c>
    </row>
    <row r="973" spans="1:8" x14ac:dyDescent="0.25">
      <c r="A973" s="32">
        <v>33062065043</v>
      </c>
      <c r="B973" s="33" t="s">
        <v>1729</v>
      </c>
      <c r="C973" s="33" t="s">
        <v>1701</v>
      </c>
      <c r="D973" s="33" t="s">
        <v>1708</v>
      </c>
      <c r="E973" s="33" t="s">
        <v>1755</v>
      </c>
      <c r="F973" s="33" t="s">
        <v>1868</v>
      </c>
      <c r="G973" s="33" t="s">
        <v>1756</v>
      </c>
      <c r="H973" s="33" t="s">
        <v>1869</v>
      </c>
    </row>
    <row r="974" spans="1:8" x14ac:dyDescent="0.25">
      <c r="A974" s="32">
        <v>33062065044</v>
      </c>
      <c r="B974" s="33" t="s">
        <v>1729</v>
      </c>
      <c r="C974" s="33" t="s">
        <v>1701</v>
      </c>
      <c r="D974" s="33" t="s">
        <v>1708</v>
      </c>
      <c r="E974" s="33" t="s">
        <v>1755</v>
      </c>
      <c r="F974" s="33" t="s">
        <v>1870</v>
      </c>
      <c r="G974" s="33" t="s">
        <v>1756</v>
      </c>
      <c r="H974" s="33" t="s">
        <v>1871</v>
      </c>
    </row>
    <row r="975" spans="1:8" x14ac:dyDescent="0.25">
      <c r="A975" s="32">
        <v>33062065045</v>
      </c>
      <c r="B975" s="33" t="s">
        <v>1729</v>
      </c>
      <c r="C975" s="33" t="s">
        <v>1701</v>
      </c>
      <c r="D975" s="33" t="s">
        <v>1708</v>
      </c>
      <c r="E975" s="33" t="s">
        <v>1755</v>
      </c>
      <c r="F975" s="33" t="s">
        <v>1901</v>
      </c>
      <c r="G975" s="33" t="s">
        <v>1756</v>
      </c>
      <c r="H975" s="33" t="s">
        <v>1902</v>
      </c>
    </row>
    <row r="976" spans="1:8" x14ac:dyDescent="0.25">
      <c r="A976" s="32">
        <v>33062065046</v>
      </c>
      <c r="B976" s="33" t="s">
        <v>1729</v>
      </c>
      <c r="C976" s="33" t="s">
        <v>1701</v>
      </c>
      <c r="D976" s="33" t="s">
        <v>1708</v>
      </c>
      <c r="E976" s="33" t="s">
        <v>1755</v>
      </c>
      <c r="F976" s="33" t="s">
        <v>1872</v>
      </c>
      <c r="G976" s="33" t="s">
        <v>1756</v>
      </c>
      <c r="H976" s="33" t="s">
        <v>1873</v>
      </c>
    </row>
    <row r="977" spans="1:8" x14ac:dyDescent="0.25">
      <c r="A977" s="32">
        <v>33062065047</v>
      </c>
      <c r="B977" s="33" t="s">
        <v>1729</v>
      </c>
      <c r="C977" s="33" t="s">
        <v>1701</v>
      </c>
      <c r="D977" s="33" t="s">
        <v>1708</v>
      </c>
      <c r="E977" s="33" t="s">
        <v>1755</v>
      </c>
      <c r="F977" s="33" t="s">
        <v>387</v>
      </c>
      <c r="G977" s="33" t="s">
        <v>1756</v>
      </c>
      <c r="H977" s="33" t="s">
        <v>1862</v>
      </c>
    </row>
    <row r="978" spans="1:8" x14ac:dyDescent="0.25">
      <c r="A978" s="32">
        <v>33062065048</v>
      </c>
      <c r="B978" s="33" t="s">
        <v>1729</v>
      </c>
      <c r="C978" s="33" t="s">
        <v>1701</v>
      </c>
      <c r="D978" s="33" t="s">
        <v>1708</v>
      </c>
      <c r="E978" s="33" t="s">
        <v>1755</v>
      </c>
      <c r="F978" s="33" t="s">
        <v>1865</v>
      </c>
      <c r="G978" s="33" t="s">
        <v>1756</v>
      </c>
      <c r="H978" s="33" t="s">
        <v>1866</v>
      </c>
    </row>
    <row r="979" spans="1:8" x14ac:dyDescent="0.25">
      <c r="A979" s="32">
        <v>33062065049</v>
      </c>
      <c r="B979" s="33" t="s">
        <v>1729</v>
      </c>
      <c r="C979" s="33" t="s">
        <v>1701</v>
      </c>
      <c r="D979" s="33" t="s">
        <v>1708</v>
      </c>
      <c r="E979" s="33" t="s">
        <v>1755</v>
      </c>
      <c r="F979" s="33" t="s">
        <v>1863</v>
      </c>
      <c r="G979" s="33" t="s">
        <v>1756</v>
      </c>
      <c r="H979" s="33" t="s">
        <v>1864</v>
      </c>
    </row>
    <row r="980" spans="1:8" x14ac:dyDescent="0.25">
      <c r="A980" s="32">
        <v>33062065050</v>
      </c>
      <c r="B980" s="33" t="s">
        <v>1729</v>
      </c>
      <c r="C980" s="33" t="s">
        <v>1701</v>
      </c>
      <c r="D980" s="33" t="s">
        <v>1708</v>
      </c>
      <c r="E980" s="33" t="s">
        <v>1755</v>
      </c>
      <c r="F980" s="33" t="s">
        <v>1888</v>
      </c>
      <c r="G980" s="33" t="s">
        <v>1756</v>
      </c>
      <c r="H980" s="33" t="s">
        <v>1889</v>
      </c>
    </row>
    <row r="981" spans="1:8" x14ac:dyDescent="0.25">
      <c r="A981" s="32">
        <v>33062065051</v>
      </c>
      <c r="B981" s="33" t="s">
        <v>1729</v>
      </c>
      <c r="C981" s="33" t="s">
        <v>1701</v>
      </c>
      <c r="D981" s="33" t="s">
        <v>1708</v>
      </c>
      <c r="E981" s="33" t="s">
        <v>1755</v>
      </c>
      <c r="F981" s="33" t="s">
        <v>1890</v>
      </c>
      <c r="G981" s="33" t="s">
        <v>1756</v>
      </c>
      <c r="H981" s="33" t="s">
        <v>1891</v>
      </c>
    </row>
    <row r="982" spans="1:8" x14ac:dyDescent="0.25">
      <c r="A982" s="32">
        <v>33062065052</v>
      </c>
      <c r="B982" s="33" t="s">
        <v>1729</v>
      </c>
      <c r="C982" s="33" t="s">
        <v>1701</v>
      </c>
      <c r="D982" s="33" t="s">
        <v>1708</v>
      </c>
      <c r="E982" s="33" t="s">
        <v>1755</v>
      </c>
      <c r="F982" s="33" t="s">
        <v>388</v>
      </c>
      <c r="G982" s="33" t="s">
        <v>1756</v>
      </c>
      <c r="H982" s="33" t="s">
        <v>1892</v>
      </c>
    </row>
    <row r="983" spans="1:8" x14ac:dyDescent="0.25">
      <c r="A983" s="32">
        <v>33062065053</v>
      </c>
      <c r="B983" s="33" t="s">
        <v>1729</v>
      </c>
      <c r="C983" s="33" t="s">
        <v>1701</v>
      </c>
      <c r="D983" s="33" t="s">
        <v>1708</v>
      </c>
      <c r="E983" s="33" t="s">
        <v>1755</v>
      </c>
      <c r="F983" s="33" t="s">
        <v>1893</v>
      </c>
      <c r="G983" s="33" t="s">
        <v>1756</v>
      </c>
      <c r="H983" s="33" t="s">
        <v>1894</v>
      </c>
    </row>
    <row r="984" spans="1:8" x14ac:dyDescent="0.25">
      <c r="A984" s="32">
        <v>33062065054</v>
      </c>
      <c r="B984" s="33" t="s">
        <v>1729</v>
      </c>
      <c r="C984" s="33" t="s">
        <v>1701</v>
      </c>
      <c r="D984" s="33" t="s">
        <v>1708</v>
      </c>
      <c r="E984" s="33" t="s">
        <v>1755</v>
      </c>
      <c r="F984" s="33" t="s">
        <v>1874</v>
      </c>
      <c r="G984" s="33" t="s">
        <v>1756</v>
      </c>
      <c r="H984" s="33" t="s">
        <v>1875</v>
      </c>
    </row>
    <row r="985" spans="1:8" x14ac:dyDescent="0.25">
      <c r="A985" s="32">
        <v>33062065055</v>
      </c>
      <c r="B985" s="33" t="s">
        <v>1729</v>
      </c>
      <c r="C985" s="33" t="s">
        <v>1701</v>
      </c>
      <c r="D985" s="33" t="s">
        <v>1708</v>
      </c>
      <c r="E985" s="33" t="s">
        <v>1755</v>
      </c>
      <c r="F985" s="33" t="s">
        <v>1876</v>
      </c>
      <c r="G985" s="33" t="s">
        <v>1756</v>
      </c>
      <c r="H985" s="33" t="s">
        <v>1877</v>
      </c>
    </row>
    <row r="986" spans="1:8" x14ac:dyDescent="0.25">
      <c r="A986" s="32">
        <v>33062065056</v>
      </c>
      <c r="B986" s="33" t="s">
        <v>1729</v>
      </c>
      <c r="C986" s="33" t="s">
        <v>1701</v>
      </c>
      <c r="D986" s="33" t="s">
        <v>1708</v>
      </c>
      <c r="E986" s="33" t="s">
        <v>1755</v>
      </c>
      <c r="F986" s="33" t="s">
        <v>389</v>
      </c>
      <c r="G986" s="33" t="s">
        <v>1756</v>
      </c>
      <c r="H986" s="33" t="s">
        <v>1932</v>
      </c>
    </row>
    <row r="987" spans="1:8" x14ac:dyDescent="0.25">
      <c r="A987" s="32">
        <v>33062065057</v>
      </c>
      <c r="B987" s="33" t="s">
        <v>1729</v>
      </c>
      <c r="C987" s="33" t="s">
        <v>1701</v>
      </c>
      <c r="D987" s="33" t="s">
        <v>1708</v>
      </c>
      <c r="E987" s="33" t="s">
        <v>1755</v>
      </c>
      <c r="F987" s="33" t="s">
        <v>390</v>
      </c>
      <c r="G987" s="33" t="s">
        <v>1756</v>
      </c>
      <c r="H987" s="33" t="s">
        <v>1935</v>
      </c>
    </row>
    <row r="988" spans="1:8" x14ac:dyDescent="0.25">
      <c r="A988" s="32">
        <v>33062065058</v>
      </c>
      <c r="B988" s="33" t="s">
        <v>1729</v>
      </c>
      <c r="C988" s="33" t="s">
        <v>1701</v>
      </c>
      <c r="D988" s="33" t="s">
        <v>1708</v>
      </c>
      <c r="E988" s="33" t="s">
        <v>1755</v>
      </c>
      <c r="F988" s="33" t="s">
        <v>1933</v>
      </c>
      <c r="G988" s="33" t="s">
        <v>1756</v>
      </c>
      <c r="H988" s="33" t="s">
        <v>1934</v>
      </c>
    </row>
    <row r="989" spans="1:8" x14ac:dyDescent="0.25">
      <c r="A989" s="32">
        <v>33062065059</v>
      </c>
      <c r="B989" s="33" t="s">
        <v>1729</v>
      </c>
      <c r="C989" s="33" t="s">
        <v>1701</v>
      </c>
      <c r="D989" s="33" t="s">
        <v>1708</v>
      </c>
      <c r="E989" s="33" t="s">
        <v>1755</v>
      </c>
      <c r="F989" s="33" t="s">
        <v>1940</v>
      </c>
      <c r="G989" s="33" t="s">
        <v>1756</v>
      </c>
      <c r="H989" s="33" t="s">
        <v>1941</v>
      </c>
    </row>
    <row r="990" spans="1:8" x14ac:dyDescent="0.25">
      <c r="A990" s="32">
        <v>33062065060</v>
      </c>
      <c r="B990" s="33" t="s">
        <v>1729</v>
      </c>
      <c r="C990" s="33" t="s">
        <v>1701</v>
      </c>
      <c r="D990" s="33" t="s">
        <v>1708</v>
      </c>
      <c r="E990" s="33" t="s">
        <v>1755</v>
      </c>
      <c r="F990" s="33" t="s">
        <v>1942</v>
      </c>
      <c r="G990" s="33" t="s">
        <v>1756</v>
      </c>
      <c r="H990" s="33" t="s">
        <v>1943</v>
      </c>
    </row>
    <row r="991" spans="1:8" x14ac:dyDescent="0.25">
      <c r="A991" s="32">
        <v>33062065061</v>
      </c>
      <c r="B991" s="33" t="s">
        <v>1729</v>
      </c>
      <c r="C991" s="33" t="s">
        <v>1701</v>
      </c>
      <c r="D991" s="33" t="s">
        <v>1708</v>
      </c>
      <c r="E991" s="33" t="s">
        <v>1755</v>
      </c>
      <c r="F991" s="33" t="s">
        <v>1936</v>
      </c>
      <c r="G991" s="33" t="s">
        <v>1756</v>
      </c>
      <c r="H991" s="33" t="s">
        <v>1937</v>
      </c>
    </row>
    <row r="992" spans="1:8" x14ac:dyDescent="0.25">
      <c r="A992" s="32">
        <v>33062065062</v>
      </c>
      <c r="B992" s="33" t="s">
        <v>1729</v>
      </c>
      <c r="C992" s="33" t="s">
        <v>1701</v>
      </c>
      <c r="D992" s="33" t="s">
        <v>1708</v>
      </c>
      <c r="E992" s="33" t="s">
        <v>1755</v>
      </c>
      <c r="F992" s="33" t="s">
        <v>1938</v>
      </c>
      <c r="G992" s="33" t="s">
        <v>1756</v>
      </c>
      <c r="H992" s="33" t="s">
        <v>1939</v>
      </c>
    </row>
    <row r="993" spans="1:8" x14ac:dyDescent="0.25">
      <c r="A993" s="32">
        <v>33062065063</v>
      </c>
      <c r="B993" s="33" t="s">
        <v>1729</v>
      </c>
      <c r="C993" s="33" t="s">
        <v>1701</v>
      </c>
      <c r="D993" s="33" t="s">
        <v>1708</v>
      </c>
      <c r="E993" s="33" t="s">
        <v>1755</v>
      </c>
      <c r="F993" s="33" t="s">
        <v>1954</v>
      </c>
      <c r="G993" s="33" t="s">
        <v>1756</v>
      </c>
      <c r="H993" s="33" t="s">
        <v>1955</v>
      </c>
    </row>
    <row r="994" spans="1:8" x14ac:dyDescent="0.25">
      <c r="A994" s="32">
        <v>33062065064</v>
      </c>
      <c r="B994" s="33" t="s">
        <v>1729</v>
      </c>
      <c r="C994" s="33" t="s">
        <v>1701</v>
      </c>
      <c r="D994" s="33" t="s">
        <v>1708</v>
      </c>
      <c r="E994" s="33" t="s">
        <v>1755</v>
      </c>
      <c r="F994" s="33" t="s">
        <v>1946</v>
      </c>
      <c r="G994" s="33" t="s">
        <v>1756</v>
      </c>
      <c r="H994" s="33" t="s">
        <v>1947</v>
      </c>
    </row>
    <row r="995" spans="1:8" x14ac:dyDescent="0.25">
      <c r="A995" s="32">
        <v>33062065065</v>
      </c>
      <c r="B995" s="33" t="s">
        <v>1729</v>
      </c>
      <c r="C995" s="33" t="s">
        <v>1701</v>
      </c>
      <c r="D995" s="33" t="s">
        <v>1708</v>
      </c>
      <c r="E995" s="33" t="s">
        <v>1755</v>
      </c>
      <c r="F995" s="33" t="s">
        <v>1948</v>
      </c>
      <c r="G995" s="33" t="s">
        <v>1756</v>
      </c>
      <c r="H995" s="33" t="s">
        <v>1949</v>
      </c>
    </row>
    <row r="996" spans="1:8" x14ac:dyDescent="0.25">
      <c r="A996" s="31">
        <v>33062065066</v>
      </c>
      <c r="B996" s="1" t="s">
        <v>1729</v>
      </c>
      <c r="C996" s="1" t="s">
        <v>1701</v>
      </c>
      <c r="D996" s="1" t="s">
        <v>1708</v>
      </c>
      <c r="E996" s="1" t="s">
        <v>1755</v>
      </c>
      <c r="F996" s="1" t="s">
        <v>1950</v>
      </c>
      <c r="G996" s="1" t="s">
        <v>1756</v>
      </c>
      <c r="H996" s="1" t="s">
        <v>1951</v>
      </c>
    </row>
    <row r="997" spans="1:8" x14ac:dyDescent="0.25">
      <c r="A997" s="31">
        <v>33062065067</v>
      </c>
      <c r="B997" s="1" t="s">
        <v>1729</v>
      </c>
      <c r="C997" s="1" t="s">
        <v>1701</v>
      </c>
      <c r="D997" s="1" t="s">
        <v>1708</v>
      </c>
      <c r="E997" s="1" t="s">
        <v>1755</v>
      </c>
      <c r="F997" s="1" t="s">
        <v>1952</v>
      </c>
      <c r="G997" s="1" t="s">
        <v>1756</v>
      </c>
      <c r="H997" s="1" t="s">
        <v>1953</v>
      </c>
    </row>
    <row r="998" spans="1:8" x14ac:dyDescent="0.25">
      <c r="A998" s="31">
        <v>33062065068</v>
      </c>
      <c r="B998" s="1" t="s">
        <v>1729</v>
      </c>
      <c r="C998" s="1" t="s">
        <v>1701</v>
      </c>
      <c r="D998" s="1" t="s">
        <v>1708</v>
      </c>
      <c r="E998" s="1" t="s">
        <v>1755</v>
      </c>
      <c r="F998" s="1" t="s">
        <v>1960</v>
      </c>
      <c r="G998" s="1" t="s">
        <v>1756</v>
      </c>
      <c r="H998" s="1" t="s">
        <v>1961</v>
      </c>
    </row>
    <row r="999" spans="1:8" x14ac:dyDescent="0.25">
      <c r="A999" s="31">
        <v>33062065069</v>
      </c>
      <c r="B999" s="1" t="s">
        <v>1729</v>
      </c>
      <c r="C999" s="1" t="s">
        <v>1701</v>
      </c>
      <c r="D999" s="1" t="s">
        <v>1708</v>
      </c>
      <c r="E999" s="1" t="s">
        <v>1755</v>
      </c>
      <c r="F999" s="1" t="s">
        <v>1944</v>
      </c>
      <c r="G999" s="1" t="s">
        <v>1756</v>
      </c>
      <c r="H999" s="1" t="s">
        <v>1945</v>
      </c>
    </row>
    <row r="1000" spans="1:8" x14ac:dyDescent="0.25">
      <c r="A1000" s="31">
        <v>33062065070</v>
      </c>
      <c r="B1000" s="1" t="s">
        <v>1729</v>
      </c>
      <c r="C1000" s="1" t="s">
        <v>1701</v>
      </c>
      <c r="D1000" s="1" t="s">
        <v>1708</v>
      </c>
      <c r="E1000" s="1" t="s">
        <v>1755</v>
      </c>
      <c r="F1000" s="1" t="s">
        <v>1928</v>
      </c>
      <c r="G1000" s="1" t="s">
        <v>1756</v>
      </c>
      <c r="H1000" s="1" t="s">
        <v>1929</v>
      </c>
    </row>
    <row r="1001" spans="1:8" x14ac:dyDescent="0.25">
      <c r="A1001" s="31">
        <v>33062065071</v>
      </c>
      <c r="B1001" s="1" t="s">
        <v>1729</v>
      </c>
      <c r="C1001" s="1" t="s">
        <v>1701</v>
      </c>
      <c r="D1001" s="1" t="s">
        <v>1708</v>
      </c>
      <c r="E1001" s="1" t="s">
        <v>1755</v>
      </c>
      <c r="F1001" s="1" t="s">
        <v>1956</v>
      </c>
      <c r="G1001" s="1" t="s">
        <v>1756</v>
      </c>
      <c r="H1001" s="1" t="s">
        <v>1957</v>
      </c>
    </row>
    <row r="1002" spans="1:8" x14ac:dyDescent="0.25">
      <c r="A1002" s="31">
        <v>33062065072</v>
      </c>
      <c r="B1002" s="1" t="s">
        <v>1729</v>
      </c>
      <c r="C1002" s="1" t="s">
        <v>1701</v>
      </c>
      <c r="D1002" s="1" t="s">
        <v>1708</v>
      </c>
      <c r="E1002" s="1" t="s">
        <v>1755</v>
      </c>
      <c r="F1002" s="1" t="s">
        <v>1930</v>
      </c>
      <c r="G1002" s="1" t="s">
        <v>1756</v>
      </c>
      <c r="H1002" s="1" t="s">
        <v>1931</v>
      </c>
    </row>
    <row r="1003" spans="1:8" x14ac:dyDescent="0.25">
      <c r="A1003" s="31">
        <v>33062065073</v>
      </c>
      <c r="B1003" s="1" t="s">
        <v>1729</v>
      </c>
      <c r="C1003" s="1" t="s">
        <v>1701</v>
      </c>
      <c r="D1003" s="1" t="s">
        <v>1708</v>
      </c>
      <c r="E1003" s="1" t="s">
        <v>1755</v>
      </c>
      <c r="F1003" s="1" t="s">
        <v>1958</v>
      </c>
      <c r="G1003" s="1" t="s">
        <v>1756</v>
      </c>
      <c r="H1003" s="1" t="s">
        <v>1959</v>
      </c>
    </row>
    <row r="1004" spans="1:8" x14ac:dyDescent="0.25">
      <c r="A1004" s="31">
        <v>33062065085</v>
      </c>
      <c r="B1004" s="1" t="s">
        <v>1729</v>
      </c>
      <c r="C1004" s="1" t="s">
        <v>1701</v>
      </c>
      <c r="D1004" s="1" t="s">
        <v>1708</v>
      </c>
      <c r="E1004" s="1" t="s">
        <v>1755</v>
      </c>
      <c r="F1004" s="1" t="s">
        <v>1882</v>
      </c>
      <c r="G1004" s="1" t="s">
        <v>1756</v>
      </c>
      <c r="H1004" s="1" t="s">
        <v>1883</v>
      </c>
    </row>
    <row r="1005" spans="1:8" x14ac:dyDescent="0.25">
      <c r="A1005" s="31">
        <v>33062065086</v>
      </c>
      <c r="B1005" s="1" t="s">
        <v>1729</v>
      </c>
      <c r="C1005" s="1" t="s">
        <v>1701</v>
      </c>
      <c r="D1005" s="1" t="s">
        <v>1708</v>
      </c>
      <c r="E1005" s="1" t="s">
        <v>1755</v>
      </c>
      <c r="F1005" s="1" t="s">
        <v>1884</v>
      </c>
      <c r="G1005" s="1" t="s">
        <v>1756</v>
      </c>
      <c r="H1005" s="1" t="s">
        <v>1885</v>
      </c>
    </row>
    <row r="1006" spans="1:8" x14ac:dyDescent="0.25">
      <c r="A1006" s="31">
        <v>33062065087</v>
      </c>
      <c r="B1006" s="1" t="s">
        <v>1729</v>
      </c>
      <c r="C1006" s="1" t="s">
        <v>1701</v>
      </c>
      <c r="D1006" s="1" t="s">
        <v>1708</v>
      </c>
      <c r="E1006" s="1" t="s">
        <v>1755</v>
      </c>
      <c r="F1006" s="1" t="s">
        <v>1886</v>
      </c>
      <c r="G1006" s="1" t="s">
        <v>1756</v>
      </c>
      <c r="H1006" s="1" t="s">
        <v>1887</v>
      </c>
    </row>
    <row r="1007" spans="1:8" x14ac:dyDescent="0.25">
      <c r="A1007" s="31">
        <v>33062065088</v>
      </c>
      <c r="B1007" s="1" t="s">
        <v>1729</v>
      </c>
      <c r="C1007" s="1" t="s">
        <v>1701</v>
      </c>
      <c r="D1007" s="1" t="s">
        <v>1708</v>
      </c>
      <c r="E1007" s="1" t="s">
        <v>1755</v>
      </c>
      <c r="F1007" s="1" t="s">
        <v>1880</v>
      </c>
      <c r="G1007" s="1" t="s">
        <v>1756</v>
      </c>
      <c r="H1007" s="1" t="s">
        <v>1881</v>
      </c>
    </row>
    <row r="1008" spans="1:8" x14ac:dyDescent="0.25">
      <c r="A1008" s="31">
        <v>33062065089</v>
      </c>
      <c r="B1008" s="1" t="s">
        <v>1729</v>
      </c>
      <c r="C1008" s="1" t="s">
        <v>1701</v>
      </c>
      <c r="D1008" s="1" t="s">
        <v>1708</v>
      </c>
      <c r="E1008" s="1" t="s">
        <v>1755</v>
      </c>
      <c r="F1008" s="1" t="s">
        <v>1878</v>
      </c>
      <c r="G1008" s="1" t="s">
        <v>1756</v>
      </c>
      <c r="H1008" s="1" t="s">
        <v>1879</v>
      </c>
    </row>
    <row r="1009" spans="1:8" x14ac:dyDescent="0.25">
      <c r="A1009" s="31">
        <v>33062065090</v>
      </c>
      <c r="B1009" s="1" t="s">
        <v>1729</v>
      </c>
      <c r="C1009" s="1" t="s">
        <v>1701</v>
      </c>
      <c r="D1009" s="1" t="s">
        <v>1708</v>
      </c>
      <c r="E1009" s="1" t="s">
        <v>1755</v>
      </c>
      <c r="F1009" s="1" t="s">
        <v>1895</v>
      </c>
      <c r="G1009" s="1" t="s">
        <v>1756</v>
      </c>
      <c r="H1009" s="1" t="s">
        <v>1896</v>
      </c>
    </row>
    <row r="1010" spans="1:8" x14ac:dyDescent="0.25">
      <c r="A1010" s="31">
        <v>33062065103</v>
      </c>
      <c r="B1010" s="1" t="s">
        <v>1729</v>
      </c>
      <c r="C1010" s="1" t="s">
        <v>1701</v>
      </c>
      <c r="D1010" s="1" t="s">
        <v>1708</v>
      </c>
      <c r="E1010" s="1" t="s">
        <v>1755</v>
      </c>
      <c r="F1010" s="1" t="s">
        <v>2922</v>
      </c>
      <c r="G1010" s="1" t="s">
        <v>1756</v>
      </c>
      <c r="H1010" s="1" t="s">
        <v>2922</v>
      </c>
    </row>
    <row r="1011" spans="1:8" x14ac:dyDescent="0.25">
      <c r="A1011" s="31">
        <v>33062065159</v>
      </c>
      <c r="B1011" s="1" t="s">
        <v>1729</v>
      </c>
      <c r="C1011" s="1" t="s">
        <v>1701</v>
      </c>
      <c r="D1011" s="1" t="s">
        <v>1708</v>
      </c>
      <c r="E1011" s="1" t="s">
        <v>1755</v>
      </c>
      <c r="F1011" s="1" t="s">
        <v>3066</v>
      </c>
      <c r="G1011" s="1" t="s">
        <v>1756</v>
      </c>
      <c r="H1011" s="1" t="s">
        <v>3066</v>
      </c>
    </row>
    <row r="1012" spans="1:8" x14ac:dyDescent="0.25">
      <c r="A1012" s="30">
        <v>33062065160</v>
      </c>
      <c r="B1012" s="1" t="s">
        <v>1729</v>
      </c>
      <c r="C1012" s="1" t="s">
        <v>1701</v>
      </c>
      <c r="D1012" s="1" t="s">
        <v>1708</v>
      </c>
      <c r="E1012" s="1" t="s">
        <v>1755</v>
      </c>
      <c r="F1012" s="1" t="s">
        <v>2924</v>
      </c>
      <c r="G1012" s="1" t="s">
        <v>1756</v>
      </c>
      <c r="H1012" s="1" t="s">
        <v>2924</v>
      </c>
    </row>
    <row r="1013" spans="1:8" x14ac:dyDescent="0.25">
      <c r="A1013" s="31">
        <v>33062065161</v>
      </c>
      <c r="B1013" s="1" t="s">
        <v>1729</v>
      </c>
      <c r="C1013" s="1" t="s">
        <v>1701</v>
      </c>
      <c r="D1013" s="1" t="s">
        <v>1708</v>
      </c>
      <c r="E1013" s="1" t="s">
        <v>1755</v>
      </c>
      <c r="F1013" s="1" t="s">
        <v>2843</v>
      </c>
      <c r="G1013" s="1" t="s">
        <v>1756</v>
      </c>
      <c r="H1013" s="1" t="s">
        <v>2843</v>
      </c>
    </row>
    <row r="1014" spans="1:8" x14ac:dyDescent="0.25">
      <c r="A1014" s="32">
        <v>33062065163</v>
      </c>
      <c r="B1014" s="33" t="s">
        <v>1729</v>
      </c>
      <c r="C1014" s="33" t="s">
        <v>1701</v>
      </c>
      <c r="D1014" s="33" t="s">
        <v>1708</v>
      </c>
      <c r="E1014" s="33" t="s">
        <v>1755</v>
      </c>
      <c r="F1014" s="33" t="s">
        <v>2844</v>
      </c>
      <c r="G1014" s="33" t="s">
        <v>1756</v>
      </c>
      <c r="H1014" s="33" t="s">
        <v>2844</v>
      </c>
    </row>
    <row r="1015" spans="1:8" x14ac:dyDescent="0.25">
      <c r="A1015" s="32">
        <v>33062065164</v>
      </c>
      <c r="B1015" s="33" t="s">
        <v>1729</v>
      </c>
      <c r="C1015" s="33" t="s">
        <v>1701</v>
      </c>
      <c r="D1015" s="33" t="s">
        <v>1708</v>
      </c>
      <c r="E1015" s="33" t="s">
        <v>1755</v>
      </c>
      <c r="F1015" s="33" t="s">
        <v>2845</v>
      </c>
      <c r="G1015" s="33" t="s">
        <v>1756</v>
      </c>
      <c r="H1015" s="33" t="s">
        <v>2845</v>
      </c>
    </row>
    <row r="1016" spans="1:8" x14ac:dyDescent="0.25">
      <c r="A1016" s="32">
        <v>33062065165</v>
      </c>
      <c r="B1016" s="33" t="s">
        <v>1729</v>
      </c>
      <c r="C1016" s="33" t="s">
        <v>1701</v>
      </c>
      <c r="D1016" s="33" t="s">
        <v>1708</v>
      </c>
      <c r="E1016" s="33" t="s">
        <v>1755</v>
      </c>
      <c r="F1016" s="33" t="s">
        <v>2846</v>
      </c>
      <c r="G1016" s="33" t="s">
        <v>1756</v>
      </c>
      <c r="H1016" s="33" t="s">
        <v>2846</v>
      </c>
    </row>
    <row r="1017" spans="1:8" x14ac:dyDescent="0.25">
      <c r="A1017" s="32">
        <v>33062065166</v>
      </c>
      <c r="B1017" s="33" t="s">
        <v>1729</v>
      </c>
      <c r="C1017" s="33" t="s">
        <v>1701</v>
      </c>
      <c r="D1017" s="33" t="s">
        <v>1708</v>
      </c>
      <c r="E1017" s="33" t="s">
        <v>1755</v>
      </c>
      <c r="F1017" s="33" t="s">
        <v>3067</v>
      </c>
      <c r="G1017" s="33" t="s">
        <v>1756</v>
      </c>
      <c r="H1017" s="33" t="s">
        <v>3067</v>
      </c>
    </row>
    <row r="1018" spans="1:8" x14ac:dyDescent="0.25">
      <c r="A1018" s="32">
        <v>33062065250</v>
      </c>
      <c r="B1018" s="33" t="s">
        <v>1729</v>
      </c>
      <c r="C1018" s="33" t="s">
        <v>1701</v>
      </c>
      <c r="D1018" s="33" t="s">
        <v>1708</v>
      </c>
      <c r="E1018" s="33" t="s">
        <v>1755</v>
      </c>
      <c r="F1018" s="33" t="s">
        <v>3045</v>
      </c>
      <c r="G1018" s="33" t="s">
        <v>1756</v>
      </c>
      <c r="H1018" s="33" t="s">
        <v>3045</v>
      </c>
    </row>
    <row r="1019" spans="1:8" x14ac:dyDescent="0.25">
      <c r="A1019" s="32">
        <v>33062065251</v>
      </c>
      <c r="B1019" s="33" t="s">
        <v>1729</v>
      </c>
      <c r="C1019" s="33" t="s">
        <v>1701</v>
      </c>
      <c r="D1019" s="33" t="s">
        <v>1708</v>
      </c>
      <c r="E1019" s="33" t="s">
        <v>1755</v>
      </c>
      <c r="F1019" s="33" t="s">
        <v>3046</v>
      </c>
      <c r="G1019" s="33" t="s">
        <v>1756</v>
      </c>
      <c r="H1019" s="33" t="s">
        <v>3046</v>
      </c>
    </row>
    <row r="1020" spans="1:8" x14ac:dyDescent="0.25">
      <c r="A1020" s="32">
        <v>33062065252</v>
      </c>
      <c r="B1020" s="33" t="s">
        <v>1729</v>
      </c>
      <c r="C1020" s="33" t="s">
        <v>1701</v>
      </c>
      <c r="D1020" s="33" t="s">
        <v>1708</v>
      </c>
      <c r="E1020" s="33" t="s">
        <v>1755</v>
      </c>
      <c r="F1020" s="33" t="s">
        <v>3047</v>
      </c>
      <c r="G1020" s="33" t="s">
        <v>1756</v>
      </c>
      <c r="H1020" s="33" t="s">
        <v>3047</v>
      </c>
    </row>
    <row r="1021" spans="1:8" x14ac:dyDescent="0.25">
      <c r="A1021" s="32">
        <v>33062065253</v>
      </c>
      <c r="B1021" s="33" t="s">
        <v>1729</v>
      </c>
      <c r="C1021" s="33" t="s">
        <v>1701</v>
      </c>
      <c r="D1021" s="33" t="s">
        <v>1708</v>
      </c>
      <c r="E1021" s="33" t="s">
        <v>1755</v>
      </c>
      <c r="F1021" s="33" t="s">
        <v>3036</v>
      </c>
      <c r="G1021" s="33" t="s">
        <v>1756</v>
      </c>
      <c r="H1021" s="33" t="s">
        <v>3036</v>
      </c>
    </row>
    <row r="1022" spans="1:8" x14ac:dyDescent="0.25">
      <c r="A1022" s="32">
        <v>33062065315</v>
      </c>
      <c r="B1022" s="33" t="s">
        <v>1729</v>
      </c>
      <c r="C1022" s="33" t="s">
        <v>1701</v>
      </c>
      <c r="D1022" s="33" t="s">
        <v>1708</v>
      </c>
      <c r="E1022" s="33" t="s">
        <v>1755</v>
      </c>
      <c r="F1022" s="33" t="s">
        <v>3072</v>
      </c>
      <c r="G1022" s="33" t="s">
        <v>1756</v>
      </c>
      <c r="H1022" s="33" t="s">
        <v>3072</v>
      </c>
    </row>
    <row r="1023" spans="1:8" x14ac:dyDescent="0.25">
      <c r="A1023" s="32">
        <v>33062065316</v>
      </c>
      <c r="B1023" s="33" t="s">
        <v>1729</v>
      </c>
      <c r="C1023" s="33" t="s">
        <v>1701</v>
      </c>
      <c r="D1023" s="33" t="s">
        <v>1708</v>
      </c>
      <c r="E1023" s="33" t="s">
        <v>1755</v>
      </c>
      <c r="F1023" s="33" t="s">
        <v>3073</v>
      </c>
      <c r="G1023" s="33" t="s">
        <v>1756</v>
      </c>
      <c r="H1023" s="33" t="s">
        <v>3073</v>
      </c>
    </row>
    <row r="1024" spans="1:8" x14ac:dyDescent="0.25">
      <c r="A1024" s="32">
        <v>33062065317</v>
      </c>
      <c r="B1024" s="33" t="s">
        <v>1729</v>
      </c>
      <c r="C1024" s="33" t="s">
        <v>1701</v>
      </c>
      <c r="D1024" s="33" t="s">
        <v>1708</v>
      </c>
      <c r="E1024" s="33" t="s">
        <v>1755</v>
      </c>
      <c r="F1024" s="33" t="s">
        <v>3074</v>
      </c>
      <c r="G1024" s="33" t="s">
        <v>1756</v>
      </c>
      <c r="H1024" s="33" t="s">
        <v>3074</v>
      </c>
    </row>
    <row r="1025" spans="1:8" x14ac:dyDescent="0.25">
      <c r="A1025" s="32">
        <v>33062065318</v>
      </c>
      <c r="B1025" s="33" t="s">
        <v>1729</v>
      </c>
      <c r="C1025" s="33" t="s">
        <v>1701</v>
      </c>
      <c r="D1025" s="33" t="s">
        <v>1708</v>
      </c>
      <c r="E1025" s="33" t="s">
        <v>1755</v>
      </c>
      <c r="F1025" s="33" t="s">
        <v>3075</v>
      </c>
      <c r="G1025" s="33" t="s">
        <v>1756</v>
      </c>
      <c r="H1025" s="33" t="s">
        <v>3075</v>
      </c>
    </row>
    <row r="1026" spans="1:8" x14ac:dyDescent="0.25">
      <c r="A1026" s="32">
        <v>33062162044</v>
      </c>
      <c r="B1026" s="33" t="s">
        <v>1729</v>
      </c>
      <c r="C1026" s="33" t="s">
        <v>1712</v>
      </c>
      <c r="D1026" s="33" t="s">
        <v>1712</v>
      </c>
      <c r="E1026" s="33" t="s">
        <v>1730</v>
      </c>
      <c r="F1026" s="33" t="s">
        <v>2125</v>
      </c>
      <c r="G1026" s="33" t="s">
        <v>2871</v>
      </c>
      <c r="H1026" s="33" t="s">
        <v>2125</v>
      </c>
    </row>
    <row r="1027" spans="1:8" x14ac:dyDescent="0.25">
      <c r="A1027" s="32">
        <v>33062162045</v>
      </c>
      <c r="B1027" s="33" t="s">
        <v>1729</v>
      </c>
      <c r="C1027" s="33" t="s">
        <v>1712</v>
      </c>
      <c r="D1027" s="33" t="s">
        <v>1712</v>
      </c>
      <c r="E1027" s="33" t="s">
        <v>1730</v>
      </c>
      <c r="F1027" s="33" t="s">
        <v>2126</v>
      </c>
      <c r="G1027" s="33" t="s">
        <v>2871</v>
      </c>
      <c r="H1027" s="33" t="s">
        <v>2126</v>
      </c>
    </row>
    <row r="1028" spans="1:8" x14ac:dyDescent="0.25">
      <c r="A1028" s="31">
        <v>33062162046</v>
      </c>
      <c r="B1028" s="1" t="s">
        <v>1729</v>
      </c>
      <c r="C1028" s="1" t="s">
        <v>1712</v>
      </c>
      <c r="D1028" s="1" t="s">
        <v>1712</v>
      </c>
      <c r="E1028" s="1" t="s">
        <v>1730</v>
      </c>
      <c r="F1028" s="1" t="s">
        <v>2124</v>
      </c>
      <c r="G1028" s="1" t="s">
        <v>2871</v>
      </c>
      <c r="H1028" s="1" t="s">
        <v>2124</v>
      </c>
    </row>
    <row r="1029" spans="1:8" x14ac:dyDescent="0.25">
      <c r="A1029" s="31">
        <v>33062162047</v>
      </c>
      <c r="B1029" s="1" t="s">
        <v>1729</v>
      </c>
      <c r="C1029" s="1" t="s">
        <v>1712</v>
      </c>
      <c r="D1029" s="1" t="s">
        <v>1712</v>
      </c>
      <c r="E1029" s="1" t="s">
        <v>1730</v>
      </c>
      <c r="F1029" s="1" t="s">
        <v>2127</v>
      </c>
      <c r="G1029" s="1" t="s">
        <v>2871</v>
      </c>
      <c r="H1029" s="1" t="s">
        <v>2127</v>
      </c>
    </row>
    <row r="1030" spans="1:8" x14ac:dyDescent="0.25">
      <c r="A1030" s="31">
        <v>33062162048</v>
      </c>
      <c r="B1030" s="1" t="s">
        <v>1729</v>
      </c>
      <c r="C1030" s="1" t="s">
        <v>1712</v>
      </c>
      <c r="D1030" s="1" t="s">
        <v>1712</v>
      </c>
      <c r="E1030" s="1" t="s">
        <v>1730</v>
      </c>
      <c r="F1030" s="1" t="s">
        <v>2123</v>
      </c>
      <c r="G1030" s="1" t="s">
        <v>2871</v>
      </c>
      <c r="H1030" s="1" t="s">
        <v>2123</v>
      </c>
    </row>
    <row r="1031" spans="1:8" x14ac:dyDescent="0.25">
      <c r="A1031" s="31">
        <v>33062162828</v>
      </c>
      <c r="B1031" s="1" t="s">
        <v>1729</v>
      </c>
      <c r="C1031" s="1" t="s">
        <v>1712</v>
      </c>
      <c r="D1031" s="1" t="s">
        <v>1712</v>
      </c>
      <c r="E1031" s="1" t="s">
        <v>1730</v>
      </c>
      <c r="F1031" s="1" t="s">
        <v>1156</v>
      </c>
      <c r="G1031" s="1" t="s">
        <v>1732</v>
      </c>
      <c r="H1031" s="1" t="s">
        <v>2271</v>
      </c>
    </row>
    <row r="1032" spans="1:8" x14ac:dyDescent="0.25">
      <c r="A1032" s="31">
        <v>33062162829</v>
      </c>
      <c r="B1032" s="1" t="s">
        <v>1729</v>
      </c>
      <c r="C1032" s="1" t="s">
        <v>1712</v>
      </c>
      <c r="D1032" s="1" t="s">
        <v>1712</v>
      </c>
      <c r="E1032" s="1" t="s">
        <v>1730</v>
      </c>
      <c r="F1032" s="1" t="s">
        <v>1071</v>
      </c>
      <c r="G1032" s="1" t="s">
        <v>1732</v>
      </c>
      <c r="H1032" s="1" t="s">
        <v>2273</v>
      </c>
    </row>
    <row r="1033" spans="1:8" x14ac:dyDescent="0.25">
      <c r="A1033" s="31">
        <v>33062162830</v>
      </c>
      <c r="B1033" s="1" t="s">
        <v>1729</v>
      </c>
      <c r="C1033" s="1" t="s">
        <v>1712</v>
      </c>
      <c r="D1033" s="1" t="s">
        <v>1712</v>
      </c>
      <c r="E1033" s="1" t="s">
        <v>1730</v>
      </c>
      <c r="F1033" s="1" t="s">
        <v>895</v>
      </c>
      <c r="G1033" s="1" t="s">
        <v>1732</v>
      </c>
      <c r="H1033" s="1" t="s">
        <v>2272</v>
      </c>
    </row>
    <row r="1034" spans="1:8" x14ac:dyDescent="0.25">
      <c r="A1034" s="31">
        <v>33062162831</v>
      </c>
      <c r="B1034" s="1" t="s">
        <v>1729</v>
      </c>
      <c r="C1034" s="1" t="s">
        <v>1712</v>
      </c>
      <c r="D1034" s="1" t="s">
        <v>1712</v>
      </c>
      <c r="E1034" s="1" t="s">
        <v>1730</v>
      </c>
      <c r="F1034" s="1" t="s">
        <v>990</v>
      </c>
      <c r="G1034" s="1" t="s">
        <v>1732</v>
      </c>
      <c r="H1034" s="1" t="s">
        <v>2274</v>
      </c>
    </row>
    <row r="1035" spans="1:8" x14ac:dyDescent="0.25">
      <c r="A1035" s="31">
        <v>33062163641</v>
      </c>
      <c r="B1035" s="1" t="s">
        <v>1739</v>
      </c>
      <c r="E1035" s="1" t="s">
        <v>1730</v>
      </c>
      <c r="F1035" s="1" t="s">
        <v>1598</v>
      </c>
      <c r="G1035" s="1" t="s">
        <v>2871</v>
      </c>
      <c r="H1035" s="1" t="s">
        <v>1598</v>
      </c>
    </row>
    <row r="1036" spans="1:8" x14ac:dyDescent="0.25">
      <c r="A1036" s="31">
        <v>33062163642</v>
      </c>
      <c r="B1036" s="1" t="s">
        <v>1739</v>
      </c>
      <c r="E1036" s="1" t="s">
        <v>1730</v>
      </c>
      <c r="F1036" s="1" t="s">
        <v>1599</v>
      </c>
      <c r="G1036" s="1" t="s">
        <v>2871</v>
      </c>
      <c r="H1036" s="1" t="s">
        <v>1599</v>
      </c>
    </row>
    <row r="1037" spans="1:8" x14ac:dyDescent="0.25">
      <c r="A1037" s="31">
        <v>33062163643</v>
      </c>
      <c r="B1037" s="1" t="s">
        <v>1739</v>
      </c>
      <c r="E1037" s="1" t="s">
        <v>1730</v>
      </c>
      <c r="F1037" s="1" t="s">
        <v>1600</v>
      </c>
      <c r="G1037" s="1" t="s">
        <v>2871</v>
      </c>
      <c r="H1037" s="1" t="s">
        <v>1600</v>
      </c>
    </row>
    <row r="1038" spans="1:8" x14ac:dyDescent="0.25">
      <c r="A1038" s="32">
        <v>33062262021</v>
      </c>
      <c r="B1038" s="33" t="s">
        <v>1729</v>
      </c>
      <c r="C1038" s="33" t="s">
        <v>1714</v>
      </c>
      <c r="D1038" s="33" t="s">
        <v>1714</v>
      </c>
      <c r="E1038" s="33" t="s">
        <v>1730</v>
      </c>
      <c r="F1038" s="33" t="s">
        <v>1782</v>
      </c>
      <c r="G1038" s="33" t="s">
        <v>2871</v>
      </c>
      <c r="H1038" s="33" t="s">
        <v>1782</v>
      </c>
    </row>
    <row r="1039" spans="1:8" x14ac:dyDescent="0.25">
      <c r="A1039" s="32">
        <v>33062262022</v>
      </c>
      <c r="B1039" s="33" t="s">
        <v>1729</v>
      </c>
      <c r="C1039" s="33" t="s">
        <v>1714</v>
      </c>
      <c r="D1039" s="33" t="s">
        <v>1714</v>
      </c>
      <c r="E1039" s="33" t="s">
        <v>1730</v>
      </c>
      <c r="F1039" s="33" t="s">
        <v>1779</v>
      </c>
      <c r="G1039" s="33" t="s">
        <v>2871</v>
      </c>
      <c r="H1039" s="33" t="s">
        <v>1779</v>
      </c>
    </row>
    <row r="1040" spans="1:8" x14ac:dyDescent="0.25">
      <c r="A1040" s="32">
        <v>33062262023</v>
      </c>
      <c r="B1040" s="33" t="s">
        <v>1729</v>
      </c>
      <c r="C1040" s="33" t="s">
        <v>1714</v>
      </c>
      <c r="D1040" s="33" t="s">
        <v>1714</v>
      </c>
      <c r="E1040" s="33" t="s">
        <v>1730</v>
      </c>
      <c r="F1040" s="33" t="s">
        <v>1778</v>
      </c>
      <c r="G1040" s="33" t="s">
        <v>2871</v>
      </c>
      <c r="H1040" s="33" t="s">
        <v>1778</v>
      </c>
    </row>
    <row r="1041" spans="1:8" x14ac:dyDescent="0.25">
      <c r="A1041" s="32">
        <v>33062262024</v>
      </c>
      <c r="B1041" s="33" t="s">
        <v>1729</v>
      </c>
      <c r="C1041" s="33" t="s">
        <v>1714</v>
      </c>
      <c r="D1041" s="33" t="s">
        <v>1714</v>
      </c>
      <c r="E1041" s="33" t="s">
        <v>1730</v>
      </c>
      <c r="F1041" s="33" t="s">
        <v>1780</v>
      </c>
      <c r="G1041" s="33" t="s">
        <v>2871</v>
      </c>
      <c r="H1041" s="33" t="s">
        <v>1780</v>
      </c>
    </row>
    <row r="1042" spans="1:8" x14ac:dyDescent="0.25">
      <c r="A1042" s="32">
        <v>33062262025</v>
      </c>
      <c r="B1042" s="33" t="s">
        <v>1729</v>
      </c>
      <c r="C1042" s="33" t="s">
        <v>1714</v>
      </c>
      <c r="D1042" s="33" t="s">
        <v>1714</v>
      </c>
      <c r="E1042" s="33" t="s">
        <v>1730</v>
      </c>
      <c r="F1042" s="33" t="s">
        <v>1781</v>
      </c>
      <c r="G1042" s="33" t="s">
        <v>2871</v>
      </c>
      <c r="H1042" s="33" t="s">
        <v>1781</v>
      </c>
    </row>
    <row r="1043" spans="1:8" x14ac:dyDescent="0.25">
      <c r="A1043" s="32">
        <v>33062262026</v>
      </c>
      <c r="B1043" s="33" t="s">
        <v>1729</v>
      </c>
      <c r="C1043" s="33" t="s">
        <v>1714</v>
      </c>
      <c r="D1043" s="33" t="s">
        <v>1714</v>
      </c>
      <c r="E1043" s="33" t="s">
        <v>1730</v>
      </c>
      <c r="F1043" s="33" t="s">
        <v>1777</v>
      </c>
      <c r="G1043" s="33" t="s">
        <v>2871</v>
      </c>
      <c r="H1043" s="33" t="s">
        <v>1777</v>
      </c>
    </row>
    <row r="1044" spans="1:8" x14ac:dyDescent="0.25">
      <c r="A1044" s="32">
        <v>33062262049</v>
      </c>
      <c r="B1044" s="33" t="s">
        <v>1729</v>
      </c>
      <c r="C1044" s="33" t="s">
        <v>1714</v>
      </c>
      <c r="D1044" s="33" t="s">
        <v>1714</v>
      </c>
      <c r="E1044" s="33" t="s">
        <v>1730</v>
      </c>
      <c r="F1044" s="33" t="s">
        <v>1783</v>
      </c>
      <c r="G1044" s="33" t="s">
        <v>2871</v>
      </c>
      <c r="H1044" s="33" t="s">
        <v>1783</v>
      </c>
    </row>
    <row r="1045" spans="1:8" x14ac:dyDescent="0.25">
      <c r="A1045" s="32">
        <v>33062262051</v>
      </c>
      <c r="B1045" s="33" t="s">
        <v>1729</v>
      </c>
      <c r="C1045" s="33" t="s">
        <v>1714</v>
      </c>
      <c r="D1045" s="33" t="s">
        <v>1714</v>
      </c>
      <c r="E1045" s="33" t="s">
        <v>1730</v>
      </c>
      <c r="F1045" s="33" t="s">
        <v>1789</v>
      </c>
      <c r="G1045" s="33" t="s">
        <v>2871</v>
      </c>
      <c r="H1045" s="33" t="s">
        <v>1789</v>
      </c>
    </row>
    <row r="1046" spans="1:8" x14ac:dyDescent="0.25">
      <c r="A1046" s="32">
        <v>33062262832</v>
      </c>
      <c r="B1046" s="33" t="s">
        <v>1729</v>
      </c>
      <c r="C1046" s="33" t="s">
        <v>1714</v>
      </c>
      <c r="D1046" s="33" t="s">
        <v>1714</v>
      </c>
      <c r="E1046" s="33" t="s">
        <v>1730</v>
      </c>
      <c r="F1046" s="33" t="s">
        <v>986</v>
      </c>
      <c r="G1046" s="33" t="s">
        <v>1732</v>
      </c>
      <c r="H1046" s="33" t="s">
        <v>1787</v>
      </c>
    </row>
    <row r="1047" spans="1:8" x14ac:dyDescent="0.25">
      <c r="A1047" s="32">
        <v>33062262833</v>
      </c>
      <c r="B1047" s="33" t="s">
        <v>1729</v>
      </c>
      <c r="C1047" s="33" t="s">
        <v>1714</v>
      </c>
      <c r="D1047" s="33" t="s">
        <v>1714</v>
      </c>
      <c r="E1047" s="33" t="s">
        <v>1730</v>
      </c>
      <c r="F1047" s="33" t="s">
        <v>985</v>
      </c>
      <c r="G1047" s="33" t="s">
        <v>1732</v>
      </c>
      <c r="H1047" s="33" t="s">
        <v>1785</v>
      </c>
    </row>
    <row r="1048" spans="1:8" x14ac:dyDescent="0.25">
      <c r="A1048" s="32">
        <v>33062262834</v>
      </c>
      <c r="B1048" s="33" t="s">
        <v>1729</v>
      </c>
      <c r="C1048" s="33" t="s">
        <v>1714</v>
      </c>
      <c r="D1048" s="33" t="s">
        <v>1714</v>
      </c>
      <c r="E1048" s="33" t="s">
        <v>1730</v>
      </c>
      <c r="F1048" s="33" t="s">
        <v>956</v>
      </c>
      <c r="G1048" s="33" t="s">
        <v>1732</v>
      </c>
      <c r="H1048" s="33" t="s">
        <v>1786</v>
      </c>
    </row>
    <row r="1049" spans="1:8" x14ac:dyDescent="0.25">
      <c r="A1049" s="32">
        <v>33062262835</v>
      </c>
      <c r="B1049" s="33" t="s">
        <v>1729</v>
      </c>
      <c r="C1049" s="33" t="s">
        <v>1714</v>
      </c>
      <c r="D1049" s="33" t="s">
        <v>1714</v>
      </c>
      <c r="E1049" s="33" t="s">
        <v>1730</v>
      </c>
      <c r="F1049" s="33" t="s">
        <v>906</v>
      </c>
      <c r="G1049" s="33" t="s">
        <v>1732</v>
      </c>
      <c r="H1049" s="33" t="s">
        <v>1784</v>
      </c>
    </row>
    <row r="1050" spans="1:8" x14ac:dyDescent="0.25">
      <c r="A1050" s="32">
        <v>33062262836</v>
      </c>
      <c r="B1050" s="33" t="s">
        <v>1729</v>
      </c>
      <c r="C1050" s="33" t="s">
        <v>1714</v>
      </c>
      <c r="D1050" s="33" t="s">
        <v>1714</v>
      </c>
      <c r="E1050" s="33" t="s">
        <v>1730</v>
      </c>
      <c r="F1050" s="33" t="s">
        <v>1025</v>
      </c>
      <c r="G1050" s="33" t="s">
        <v>1732</v>
      </c>
      <c r="H1050" s="33" t="s">
        <v>1788</v>
      </c>
    </row>
    <row r="1051" spans="1:8" x14ac:dyDescent="0.25">
      <c r="A1051" s="32">
        <v>33062362036</v>
      </c>
      <c r="B1051" s="33" t="s">
        <v>1729</v>
      </c>
      <c r="C1051" s="33" t="s">
        <v>1709</v>
      </c>
      <c r="D1051" s="33" t="s">
        <v>1709</v>
      </c>
      <c r="E1051" s="33" t="s">
        <v>1730</v>
      </c>
      <c r="F1051" s="33" t="s">
        <v>1734</v>
      </c>
      <c r="G1051" s="33" t="s">
        <v>2871</v>
      </c>
      <c r="H1051" s="33" t="s">
        <v>1734</v>
      </c>
    </row>
    <row r="1052" spans="1:8" x14ac:dyDescent="0.25">
      <c r="A1052" s="32">
        <v>33062362037</v>
      </c>
      <c r="B1052" s="33" t="s">
        <v>1729</v>
      </c>
      <c r="C1052" s="33" t="s">
        <v>1709</v>
      </c>
      <c r="D1052" s="33" t="s">
        <v>1709</v>
      </c>
      <c r="E1052" s="33" t="s">
        <v>1730</v>
      </c>
      <c r="F1052" s="33" t="s">
        <v>1735</v>
      </c>
      <c r="G1052" s="33" t="s">
        <v>2871</v>
      </c>
      <c r="H1052" s="33" t="s">
        <v>1735</v>
      </c>
    </row>
    <row r="1053" spans="1:8" x14ac:dyDescent="0.25">
      <c r="A1053" s="32">
        <v>33062362038</v>
      </c>
      <c r="B1053" s="33" t="s">
        <v>1729</v>
      </c>
      <c r="C1053" s="33" t="s">
        <v>1709</v>
      </c>
      <c r="D1053" s="33" t="s">
        <v>1709</v>
      </c>
      <c r="E1053" s="33" t="s">
        <v>1730</v>
      </c>
      <c r="F1053" s="33" t="s">
        <v>1733</v>
      </c>
      <c r="G1053" s="33" t="s">
        <v>2871</v>
      </c>
      <c r="H1053" s="33" t="s">
        <v>1733</v>
      </c>
    </row>
    <row r="1054" spans="1:8" x14ac:dyDescent="0.25">
      <c r="A1054" s="32">
        <v>33062362039</v>
      </c>
      <c r="B1054" s="33" t="s">
        <v>1729</v>
      </c>
      <c r="C1054" s="33" t="s">
        <v>1709</v>
      </c>
      <c r="D1054" s="33" t="s">
        <v>1709</v>
      </c>
      <c r="E1054" s="33" t="s">
        <v>1730</v>
      </c>
      <c r="F1054" s="33" t="s">
        <v>1731</v>
      </c>
      <c r="G1054" s="33" t="s">
        <v>2871</v>
      </c>
      <c r="H1054" s="33" t="s">
        <v>1731</v>
      </c>
    </row>
    <row r="1055" spans="1:8" x14ac:dyDescent="0.25">
      <c r="A1055" s="32">
        <v>33062362040</v>
      </c>
      <c r="B1055" s="33" t="s">
        <v>1729</v>
      </c>
      <c r="C1055" s="33" t="s">
        <v>1709</v>
      </c>
      <c r="D1055" s="33" t="s">
        <v>1709</v>
      </c>
      <c r="E1055" s="33" t="s">
        <v>1730</v>
      </c>
      <c r="F1055" s="33" t="s">
        <v>1736</v>
      </c>
      <c r="G1055" s="33" t="s">
        <v>2871</v>
      </c>
      <c r="H1055" s="33" t="s">
        <v>1736</v>
      </c>
    </row>
    <row r="1056" spans="1:8" x14ac:dyDescent="0.25">
      <c r="A1056" s="32">
        <v>33062362043</v>
      </c>
      <c r="B1056" s="33" t="s">
        <v>1729</v>
      </c>
      <c r="C1056" s="33" t="s">
        <v>1711</v>
      </c>
      <c r="D1056" s="33" t="s">
        <v>1711</v>
      </c>
      <c r="E1056" s="33" t="s">
        <v>1730</v>
      </c>
      <c r="F1056" s="33" t="s">
        <v>2056</v>
      </c>
      <c r="G1056" s="33" t="s">
        <v>2871</v>
      </c>
      <c r="H1056" s="33" t="s">
        <v>2056</v>
      </c>
    </row>
    <row r="1057" spans="1:8" x14ac:dyDescent="0.25">
      <c r="A1057" s="32">
        <v>33062362050</v>
      </c>
      <c r="B1057" s="33" t="s">
        <v>1729</v>
      </c>
      <c r="C1057" s="33" t="s">
        <v>1711</v>
      </c>
      <c r="D1057" s="33" t="s">
        <v>1711</v>
      </c>
      <c r="E1057" s="33" t="s">
        <v>1730</v>
      </c>
      <c r="F1057" s="33" t="s">
        <v>2055</v>
      </c>
      <c r="G1057" s="33" t="s">
        <v>2871</v>
      </c>
      <c r="H1057" s="33" t="s">
        <v>2055</v>
      </c>
    </row>
    <row r="1058" spans="1:8" x14ac:dyDescent="0.25">
      <c r="A1058" s="32">
        <v>33062362837</v>
      </c>
      <c r="B1058" s="33" t="s">
        <v>1729</v>
      </c>
      <c r="C1058" s="33" t="s">
        <v>1709</v>
      </c>
      <c r="D1058" s="33" t="s">
        <v>1709</v>
      </c>
      <c r="E1058" s="33" t="s">
        <v>1730</v>
      </c>
      <c r="F1058" s="33" t="s">
        <v>1143</v>
      </c>
      <c r="G1058" s="33" t="s">
        <v>1742</v>
      </c>
      <c r="H1058" s="33" t="s">
        <v>2671</v>
      </c>
    </row>
    <row r="1059" spans="1:8" x14ac:dyDescent="0.25">
      <c r="A1059" s="32">
        <v>33062362838</v>
      </c>
      <c r="B1059" s="33" t="s">
        <v>1729</v>
      </c>
      <c r="C1059" s="33" t="s">
        <v>1709</v>
      </c>
      <c r="D1059" s="33" t="s">
        <v>1709</v>
      </c>
      <c r="E1059" s="33" t="s">
        <v>1730</v>
      </c>
      <c r="F1059" s="33" t="s">
        <v>1142</v>
      </c>
      <c r="G1059" s="33" t="s">
        <v>1742</v>
      </c>
      <c r="H1059" s="33" t="s">
        <v>2668</v>
      </c>
    </row>
    <row r="1060" spans="1:8" x14ac:dyDescent="0.25">
      <c r="A1060" s="32">
        <v>33062362839</v>
      </c>
      <c r="B1060" s="33" t="s">
        <v>1729</v>
      </c>
      <c r="C1060" s="33" t="s">
        <v>1709</v>
      </c>
      <c r="D1060" s="33" t="s">
        <v>1709</v>
      </c>
      <c r="E1060" s="33" t="s">
        <v>1730</v>
      </c>
      <c r="F1060" s="33" t="s">
        <v>1188</v>
      </c>
      <c r="G1060" s="33" t="s">
        <v>1742</v>
      </c>
      <c r="H1060" s="33" t="s">
        <v>2667</v>
      </c>
    </row>
    <row r="1061" spans="1:8" x14ac:dyDescent="0.25">
      <c r="A1061" s="32">
        <v>33062362840</v>
      </c>
      <c r="B1061" s="33" t="s">
        <v>1729</v>
      </c>
      <c r="C1061" s="33" t="s">
        <v>1711</v>
      </c>
      <c r="D1061" s="33" t="s">
        <v>1711</v>
      </c>
      <c r="E1061" s="33" t="s">
        <v>1730</v>
      </c>
      <c r="F1061" s="33" t="s">
        <v>882</v>
      </c>
      <c r="G1061" s="33" t="s">
        <v>1742</v>
      </c>
      <c r="H1061" s="33" t="s">
        <v>2052</v>
      </c>
    </row>
    <row r="1062" spans="1:8" x14ac:dyDescent="0.25">
      <c r="A1062" s="32">
        <v>33062362845</v>
      </c>
      <c r="B1062" s="33" t="s">
        <v>1729</v>
      </c>
      <c r="C1062" s="33" t="s">
        <v>1711</v>
      </c>
      <c r="D1062" s="33" t="s">
        <v>1711</v>
      </c>
      <c r="E1062" s="33" t="s">
        <v>1730</v>
      </c>
      <c r="F1062" s="33" t="s">
        <v>974</v>
      </c>
      <c r="G1062" s="33" t="s">
        <v>1742</v>
      </c>
      <c r="H1062" s="33" t="s">
        <v>2054</v>
      </c>
    </row>
    <row r="1063" spans="1:8" x14ac:dyDescent="0.25">
      <c r="A1063" s="32">
        <v>33062362846</v>
      </c>
      <c r="B1063" s="33" t="s">
        <v>1729</v>
      </c>
      <c r="C1063" s="33" t="s">
        <v>1711</v>
      </c>
      <c r="D1063" s="33" t="s">
        <v>1711</v>
      </c>
      <c r="E1063" s="33" t="s">
        <v>1730</v>
      </c>
      <c r="F1063" s="33" t="s">
        <v>1107</v>
      </c>
      <c r="G1063" s="33" t="s">
        <v>1742</v>
      </c>
      <c r="H1063" s="33" t="s">
        <v>2053</v>
      </c>
    </row>
    <row r="1064" spans="1:8" x14ac:dyDescent="0.25">
      <c r="A1064" s="32">
        <v>33062364495</v>
      </c>
      <c r="B1064" s="33" t="s">
        <v>1729</v>
      </c>
      <c r="C1064" s="33" t="s">
        <v>1709</v>
      </c>
      <c r="D1064" s="33" t="s">
        <v>1709</v>
      </c>
      <c r="E1064" s="33" t="s">
        <v>1730</v>
      </c>
      <c r="F1064" s="33" t="s">
        <v>1400</v>
      </c>
      <c r="G1064" s="33" t="s">
        <v>1742</v>
      </c>
      <c r="H1064" s="33" t="s">
        <v>2670</v>
      </c>
    </row>
    <row r="1065" spans="1:8" x14ac:dyDescent="0.25">
      <c r="A1065" s="32">
        <v>33062364496</v>
      </c>
      <c r="B1065" s="33" t="s">
        <v>1729</v>
      </c>
      <c r="C1065" s="33" t="s">
        <v>1709</v>
      </c>
      <c r="D1065" s="33" t="s">
        <v>1709</v>
      </c>
      <c r="E1065" s="33" t="s">
        <v>1730</v>
      </c>
      <c r="F1065" s="33" t="s">
        <v>929</v>
      </c>
      <c r="G1065" s="33" t="s">
        <v>1742</v>
      </c>
      <c r="H1065" s="33" t="s">
        <v>2666</v>
      </c>
    </row>
    <row r="1066" spans="1:8" x14ac:dyDescent="0.25">
      <c r="A1066" s="32">
        <v>33062364497</v>
      </c>
      <c r="B1066" s="33" t="s">
        <v>1729</v>
      </c>
      <c r="C1066" s="33" t="s">
        <v>1709</v>
      </c>
      <c r="D1066" s="33" t="s">
        <v>1709</v>
      </c>
      <c r="E1066" s="33" t="s">
        <v>1730</v>
      </c>
      <c r="F1066" s="33" t="s">
        <v>928</v>
      </c>
      <c r="G1066" s="33" t="s">
        <v>1742</v>
      </c>
      <c r="H1066" s="33" t="s">
        <v>2665</v>
      </c>
    </row>
    <row r="1067" spans="1:8" x14ac:dyDescent="0.25">
      <c r="A1067" s="32">
        <v>33062364498</v>
      </c>
      <c r="B1067" s="33" t="s">
        <v>1729</v>
      </c>
      <c r="C1067" s="33" t="s">
        <v>1709</v>
      </c>
      <c r="D1067" s="33" t="s">
        <v>1709</v>
      </c>
      <c r="E1067" s="33" t="s">
        <v>1730</v>
      </c>
      <c r="F1067" s="33" t="s">
        <v>1195</v>
      </c>
      <c r="G1067" s="33" t="s">
        <v>1742</v>
      </c>
      <c r="H1067" s="33" t="s">
        <v>2669</v>
      </c>
    </row>
    <row r="1068" spans="1:8" x14ac:dyDescent="0.25">
      <c r="A1068" s="32">
        <v>33062364499</v>
      </c>
      <c r="B1068" s="33" t="s">
        <v>1729</v>
      </c>
      <c r="C1068" s="33" t="s">
        <v>1711</v>
      </c>
      <c r="D1068" s="33" t="s">
        <v>1711</v>
      </c>
      <c r="E1068" s="33" t="s">
        <v>1730</v>
      </c>
      <c r="F1068" s="33" t="s">
        <v>1013</v>
      </c>
      <c r="G1068" s="33" t="s">
        <v>1742</v>
      </c>
      <c r="H1068" s="33" t="s">
        <v>2051</v>
      </c>
    </row>
    <row r="1069" spans="1:8" x14ac:dyDescent="0.25">
      <c r="A1069" s="32">
        <v>33062364500</v>
      </c>
      <c r="B1069" s="33" t="s">
        <v>1729</v>
      </c>
      <c r="C1069" s="33" t="s">
        <v>1711</v>
      </c>
      <c r="D1069" s="33" t="s">
        <v>1711</v>
      </c>
      <c r="E1069" s="33" t="s">
        <v>1730</v>
      </c>
      <c r="F1069" s="33" t="s">
        <v>987</v>
      </c>
      <c r="G1069" s="33" t="s">
        <v>1742</v>
      </c>
      <c r="H1069" s="33" t="s">
        <v>2050</v>
      </c>
    </row>
    <row r="1070" spans="1:8" x14ac:dyDescent="0.25">
      <c r="A1070" s="32">
        <v>33062562841</v>
      </c>
      <c r="B1070" s="33" t="s">
        <v>1729</v>
      </c>
      <c r="C1070" s="33" t="s">
        <v>1741</v>
      </c>
      <c r="D1070" s="33" t="s">
        <v>1709</v>
      </c>
      <c r="E1070" s="33" t="s">
        <v>1681</v>
      </c>
      <c r="F1070" s="33" t="s">
        <v>977</v>
      </c>
      <c r="G1070" s="33" t="s">
        <v>1742</v>
      </c>
      <c r="H1070" s="33" t="s">
        <v>977</v>
      </c>
    </row>
    <row r="1071" spans="1:8" x14ac:dyDescent="0.25">
      <c r="A1071" s="32">
        <v>33062562842</v>
      </c>
      <c r="B1071" s="33" t="s">
        <v>1729</v>
      </c>
      <c r="C1071" s="33" t="s">
        <v>1741</v>
      </c>
      <c r="D1071" s="33" t="s">
        <v>1709</v>
      </c>
      <c r="E1071" s="33" t="s">
        <v>1681</v>
      </c>
      <c r="F1071" s="33" t="s">
        <v>927</v>
      </c>
      <c r="G1071" s="33" t="s">
        <v>1742</v>
      </c>
      <c r="H1071" s="33" t="s">
        <v>1757</v>
      </c>
    </row>
    <row r="1072" spans="1:8" x14ac:dyDescent="0.25">
      <c r="A1072" s="32">
        <v>33062562843</v>
      </c>
      <c r="B1072" s="33" t="s">
        <v>1729</v>
      </c>
      <c r="C1072" s="33" t="s">
        <v>1741</v>
      </c>
      <c r="D1072" s="33" t="s">
        <v>1709</v>
      </c>
      <c r="E1072" s="33" t="s">
        <v>1681</v>
      </c>
      <c r="F1072" s="33" t="s">
        <v>1049</v>
      </c>
      <c r="G1072" s="33" t="s">
        <v>1742</v>
      </c>
      <c r="H1072" s="33" t="s">
        <v>1744</v>
      </c>
    </row>
    <row r="1073" spans="1:8" x14ac:dyDescent="0.25">
      <c r="A1073" s="32">
        <v>33062562844</v>
      </c>
      <c r="B1073" s="33" t="s">
        <v>1729</v>
      </c>
      <c r="C1073" s="33" t="s">
        <v>1741</v>
      </c>
      <c r="D1073" s="33" t="s">
        <v>1709</v>
      </c>
      <c r="E1073" s="33" t="s">
        <v>1681</v>
      </c>
      <c r="F1073" s="33" t="s">
        <v>976</v>
      </c>
      <c r="G1073" s="33" t="s">
        <v>1742</v>
      </c>
      <c r="H1073" s="33" t="s">
        <v>1743</v>
      </c>
    </row>
    <row r="1074" spans="1:8" x14ac:dyDescent="0.25">
      <c r="A1074" s="32">
        <v>33062562847</v>
      </c>
      <c r="B1074" s="33" t="s">
        <v>1729</v>
      </c>
      <c r="C1074" s="33" t="s">
        <v>1741</v>
      </c>
      <c r="D1074" s="33" t="s">
        <v>1714</v>
      </c>
      <c r="E1074" s="33" t="s">
        <v>1681</v>
      </c>
      <c r="F1074" s="33" t="s">
        <v>1365</v>
      </c>
      <c r="G1074" s="33" t="s">
        <v>1732</v>
      </c>
      <c r="H1074" s="33" t="s">
        <v>1752</v>
      </c>
    </row>
    <row r="1075" spans="1:8" x14ac:dyDescent="0.25">
      <c r="A1075" s="32">
        <v>33062562848</v>
      </c>
      <c r="B1075" s="33" t="s">
        <v>1729</v>
      </c>
      <c r="C1075" s="33" t="s">
        <v>1741</v>
      </c>
      <c r="D1075" s="33" t="s">
        <v>1714</v>
      </c>
      <c r="E1075" s="33" t="s">
        <v>1681</v>
      </c>
      <c r="F1075" s="33" t="s">
        <v>1376</v>
      </c>
      <c r="G1075" s="33" t="s">
        <v>1732</v>
      </c>
      <c r="H1075" s="33" t="s">
        <v>1753</v>
      </c>
    </row>
    <row r="1076" spans="1:8" x14ac:dyDescent="0.25">
      <c r="A1076" s="32">
        <v>33062562849</v>
      </c>
      <c r="B1076" s="33" t="s">
        <v>1729</v>
      </c>
      <c r="C1076" s="33" t="s">
        <v>1741</v>
      </c>
      <c r="D1076" s="33" t="s">
        <v>1714</v>
      </c>
      <c r="E1076" s="33" t="s">
        <v>1681</v>
      </c>
      <c r="F1076" s="33" t="s">
        <v>1374</v>
      </c>
      <c r="G1076" s="33" t="s">
        <v>1732</v>
      </c>
      <c r="H1076" s="33" t="s">
        <v>1753</v>
      </c>
    </row>
    <row r="1077" spans="1:8" x14ac:dyDescent="0.25">
      <c r="A1077" s="32">
        <v>33062562850</v>
      </c>
      <c r="B1077" s="33" t="s">
        <v>1729</v>
      </c>
      <c r="C1077" s="33" t="s">
        <v>1741</v>
      </c>
      <c r="D1077" s="33" t="s">
        <v>1714</v>
      </c>
      <c r="E1077" s="33" t="s">
        <v>1681</v>
      </c>
      <c r="F1077" s="33" t="s">
        <v>1375</v>
      </c>
      <c r="G1077" s="33" t="s">
        <v>1732</v>
      </c>
      <c r="H1077" s="33" t="s">
        <v>1753</v>
      </c>
    </row>
    <row r="1078" spans="1:8" x14ac:dyDescent="0.25">
      <c r="A1078" s="32">
        <v>33062562851</v>
      </c>
      <c r="B1078" s="33" t="s">
        <v>1729</v>
      </c>
      <c r="C1078" s="33" t="s">
        <v>1741</v>
      </c>
      <c r="D1078" s="33" t="s">
        <v>1714</v>
      </c>
      <c r="E1078" s="33" t="s">
        <v>1681</v>
      </c>
      <c r="F1078" s="33" t="s">
        <v>1377</v>
      </c>
      <c r="G1078" s="33" t="s">
        <v>1732</v>
      </c>
      <c r="H1078" s="33" t="s">
        <v>1753</v>
      </c>
    </row>
    <row r="1079" spans="1:8" x14ac:dyDescent="0.25">
      <c r="A1079" s="31">
        <v>33062562852</v>
      </c>
      <c r="B1079" s="1" t="s">
        <v>1729</v>
      </c>
      <c r="C1079" s="1" t="s">
        <v>1741</v>
      </c>
      <c r="D1079" s="1" t="s">
        <v>1714</v>
      </c>
      <c r="E1079" s="1" t="s">
        <v>1681</v>
      </c>
      <c r="F1079" s="1" t="s">
        <v>1373</v>
      </c>
      <c r="G1079" s="1" t="s">
        <v>1732</v>
      </c>
      <c r="H1079" s="1" t="s">
        <v>1753</v>
      </c>
    </row>
    <row r="1080" spans="1:8" x14ac:dyDescent="0.25">
      <c r="A1080" s="32">
        <v>33062562853</v>
      </c>
      <c r="B1080" s="33" t="s">
        <v>1729</v>
      </c>
      <c r="C1080" s="33" t="s">
        <v>1741</v>
      </c>
      <c r="D1080" s="33" t="s">
        <v>1714</v>
      </c>
      <c r="E1080" s="33" t="s">
        <v>1681</v>
      </c>
      <c r="F1080" s="33" t="s">
        <v>963</v>
      </c>
      <c r="G1080" s="33" t="s">
        <v>1732</v>
      </c>
      <c r="H1080" s="33" t="s">
        <v>2030</v>
      </c>
    </row>
    <row r="1081" spans="1:8" x14ac:dyDescent="0.25">
      <c r="A1081" s="32">
        <v>33062562854</v>
      </c>
      <c r="B1081" s="33" t="s">
        <v>1729</v>
      </c>
      <c r="C1081" s="33" t="s">
        <v>1741</v>
      </c>
      <c r="D1081" s="33" t="s">
        <v>1714</v>
      </c>
      <c r="E1081" s="33" t="s">
        <v>1681</v>
      </c>
      <c r="F1081" s="33" t="s">
        <v>915</v>
      </c>
      <c r="G1081" s="33" t="s">
        <v>1732</v>
      </c>
      <c r="H1081" s="33" t="s">
        <v>2030</v>
      </c>
    </row>
    <row r="1082" spans="1:8" x14ac:dyDescent="0.25">
      <c r="A1082" s="32">
        <v>33062562855</v>
      </c>
      <c r="B1082" s="33" t="s">
        <v>1729</v>
      </c>
      <c r="C1082" s="33" t="s">
        <v>1741</v>
      </c>
      <c r="D1082" s="33" t="s">
        <v>1714</v>
      </c>
      <c r="E1082" s="33" t="s">
        <v>1681</v>
      </c>
      <c r="F1082" s="33" t="s">
        <v>912</v>
      </c>
      <c r="G1082" s="33" t="s">
        <v>1732</v>
      </c>
      <c r="H1082" s="33" t="s">
        <v>2031</v>
      </c>
    </row>
    <row r="1083" spans="1:8" x14ac:dyDescent="0.25">
      <c r="A1083" s="32">
        <v>33062562856</v>
      </c>
      <c r="B1083" s="33" t="s">
        <v>1729</v>
      </c>
      <c r="C1083" s="33" t="s">
        <v>1741</v>
      </c>
      <c r="D1083" s="33" t="s">
        <v>1714</v>
      </c>
      <c r="E1083" s="33" t="s">
        <v>1681</v>
      </c>
      <c r="F1083" s="33" t="s">
        <v>913</v>
      </c>
      <c r="G1083" s="33" t="s">
        <v>1732</v>
      </c>
      <c r="H1083" s="33" t="s">
        <v>2031</v>
      </c>
    </row>
    <row r="1084" spans="1:8" x14ac:dyDescent="0.25">
      <c r="A1084" s="32">
        <v>33062562857</v>
      </c>
      <c r="B1084" s="33" t="s">
        <v>1729</v>
      </c>
      <c r="C1084" s="33" t="s">
        <v>1741</v>
      </c>
      <c r="D1084" s="33" t="s">
        <v>1714</v>
      </c>
      <c r="E1084" s="33" t="s">
        <v>1681</v>
      </c>
      <c r="F1084" s="33" t="s">
        <v>914</v>
      </c>
      <c r="G1084" s="33" t="s">
        <v>1732</v>
      </c>
      <c r="H1084" s="33" t="s">
        <v>2023</v>
      </c>
    </row>
    <row r="1085" spans="1:8" x14ac:dyDescent="0.25">
      <c r="A1085" s="32">
        <v>33062562858</v>
      </c>
      <c r="B1085" s="33" t="s">
        <v>1729</v>
      </c>
      <c r="C1085" s="33" t="s">
        <v>1741</v>
      </c>
      <c r="D1085" s="33" t="s">
        <v>1714</v>
      </c>
      <c r="E1085" s="33" t="s">
        <v>1681</v>
      </c>
      <c r="F1085" s="33" t="s">
        <v>896</v>
      </c>
      <c r="G1085" s="33" t="s">
        <v>1732</v>
      </c>
      <c r="H1085" s="33" t="s">
        <v>2023</v>
      </c>
    </row>
    <row r="1086" spans="1:8" x14ac:dyDescent="0.25">
      <c r="A1086" s="32">
        <v>33062562859</v>
      </c>
      <c r="B1086" s="33" t="s">
        <v>1729</v>
      </c>
      <c r="C1086" s="33" t="s">
        <v>1741</v>
      </c>
      <c r="D1086" s="33" t="s">
        <v>1714</v>
      </c>
      <c r="E1086" s="33" t="s">
        <v>1681</v>
      </c>
      <c r="F1086" s="33" t="s">
        <v>962</v>
      </c>
      <c r="G1086" s="33" t="s">
        <v>1732</v>
      </c>
      <c r="H1086" s="33" t="s">
        <v>2024</v>
      </c>
    </row>
    <row r="1087" spans="1:8" x14ac:dyDescent="0.25">
      <c r="A1087" s="32">
        <v>33062562860</v>
      </c>
      <c r="B1087" s="33" t="s">
        <v>1729</v>
      </c>
      <c r="C1087" s="33" t="s">
        <v>1741</v>
      </c>
      <c r="D1087" s="33" t="s">
        <v>1714</v>
      </c>
      <c r="E1087" s="33" t="s">
        <v>1681</v>
      </c>
      <c r="F1087" s="33" t="s">
        <v>910</v>
      </c>
      <c r="G1087" s="33" t="s">
        <v>1732</v>
      </c>
      <c r="H1087" s="33" t="s">
        <v>2024</v>
      </c>
    </row>
    <row r="1088" spans="1:8" x14ac:dyDescent="0.25">
      <c r="A1088" s="32">
        <v>33062562861</v>
      </c>
      <c r="B1088" s="33" t="s">
        <v>1729</v>
      </c>
      <c r="C1088" s="33" t="s">
        <v>1741</v>
      </c>
      <c r="D1088" s="33" t="s">
        <v>1714</v>
      </c>
      <c r="E1088" s="33" t="s">
        <v>1681</v>
      </c>
      <c r="F1088" s="33" t="s">
        <v>908</v>
      </c>
      <c r="G1088" s="33" t="s">
        <v>1732</v>
      </c>
      <c r="H1088" s="33" t="s">
        <v>2025</v>
      </c>
    </row>
    <row r="1089" spans="1:8" x14ac:dyDescent="0.25">
      <c r="A1089" s="32">
        <v>33062562862</v>
      </c>
      <c r="B1089" s="33" t="s">
        <v>1729</v>
      </c>
      <c r="C1089" s="33" t="s">
        <v>1741</v>
      </c>
      <c r="D1089" s="33" t="s">
        <v>1714</v>
      </c>
      <c r="E1089" s="33" t="s">
        <v>1681</v>
      </c>
      <c r="F1089" s="33" t="s">
        <v>961</v>
      </c>
      <c r="G1089" s="33" t="s">
        <v>1732</v>
      </c>
      <c r="H1089" s="33" t="s">
        <v>2025</v>
      </c>
    </row>
    <row r="1090" spans="1:8" x14ac:dyDescent="0.25">
      <c r="A1090" s="32">
        <v>33062562863</v>
      </c>
      <c r="B1090" s="33" t="s">
        <v>1729</v>
      </c>
      <c r="C1090" s="33" t="s">
        <v>1741</v>
      </c>
      <c r="D1090" s="33" t="s">
        <v>1714</v>
      </c>
      <c r="E1090" s="33" t="s">
        <v>1681</v>
      </c>
      <c r="F1090" s="33" t="s">
        <v>1371</v>
      </c>
      <c r="G1090" s="33" t="s">
        <v>1732</v>
      </c>
      <c r="H1090" s="33" t="s">
        <v>2026</v>
      </c>
    </row>
    <row r="1091" spans="1:8" x14ac:dyDescent="0.25">
      <c r="A1091" s="32">
        <v>33062562864</v>
      </c>
      <c r="B1091" s="33" t="s">
        <v>1729</v>
      </c>
      <c r="C1091" s="33" t="s">
        <v>1741</v>
      </c>
      <c r="D1091" s="33" t="s">
        <v>1714</v>
      </c>
      <c r="E1091" s="33" t="s">
        <v>1681</v>
      </c>
      <c r="F1091" s="33" t="s">
        <v>909</v>
      </c>
      <c r="G1091" s="33" t="s">
        <v>1732</v>
      </c>
      <c r="H1091" s="33" t="s">
        <v>2026</v>
      </c>
    </row>
    <row r="1092" spans="1:8" x14ac:dyDescent="0.25">
      <c r="A1092" s="32">
        <v>33062562865</v>
      </c>
      <c r="B1092" s="33" t="s">
        <v>1729</v>
      </c>
      <c r="C1092" s="33" t="s">
        <v>1741</v>
      </c>
      <c r="D1092" s="33" t="s">
        <v>1714</v>
      </c>
      <c r="E1092" s="33" t="s">
        <v>1681</v>
      </c>
      <c r="F1092" s="33" t="s">
        <v>1369</v>
      </c>
      <c r="G1092" s="33" t="s">
        <v>1732</v>
      </c>
      <c r="H1092" s="33" t="s">
        <v>2027</v>
      </c>
    </row>
    <row r="1093" spans="1:8" x14ac:dyDescent="0.25">
      <c r="A1093" s="32">
        <v>33062562866</v>
      </c>
      <c r="B1093" s="33" t="s">
        <v>1729</v>
      </c>
      <c r="C1093" s="33" t="s">
        <v>1741</v>
      </c>
      <c r="D1093" s="33" t="s">
        <v>1714</v>
      </c>
      <c r="E1093" s="33" t="s">
        <v>1681</v>
      </c>
      <c r="F1093" s="33" t="s">
        <v>1366</v>
      </c>
      <c r="G1093" s="33" t="s">
        <v>1732</v>
      </c>
      <c r="H1093" s="33" t="s">
        <v>2027</v>
      </c>
    </row>
    <row r="1094" spans="1:8" x14ac:dyDescent="0.25">
      <c r="A1094" s="32">
        <v>33062562867</v>
      </c>
      <c r="B1094" s="33" t="s">
        <v>1729</v>
      </c>
      <c r="C1094" s="33" t="s">
        <v>1741</v>
      </c>
      <c r="D1094" s="33" t="s">
        <v>1714</v>
      </c>
      <c r="E1094" s="33" t="s">
        <v>1681</v>
      </c>
      <c r="F1094" s="33" t="s">
        <v>959</v>
      </c>
      <c r="G1094" s="33" t="s">
        <v>1732</v>
      </c>
      <c r="H1094" s="33" t="s">
        <v>2028</v>
      </c>
    </row>
    <row r="1095" spans="1:8" x14ac:dyDescent="0.25">
      <c r="A1095" s="32">
        <v>33062562868</v>
      </c>
      <c r="B1095" s="33" t="s">
        <v>1729</v>
      </c>
      <c r="C1095" s="33" t="s">
        <v>1741</v>
      </c>
      <c r="D1095" s="33" t="s">
        <v>1714</v>
      </c>
      <c r="E1095" s="33" t="s">
        <v>1681</v>
      </c>
      <c r="F1095" s="33" t="s">
        <v>960</v>
      </c>
      <c r="G1095" s="33" t="s">
        <v>1732</v>
      </c>
      <c r="H1095" s="33" t="s">
        <v>2028</v>
      </c>
    </row>
    <row r="1096" spans="1:8" x14ac:dyDescent="0.25">
      <c r="A1096" s="31">
        <v>33062562869</v>
      </c>
      <c r="B1096" s="1" t="s">
        <v>1729</v>
      </c>
      <c r="C1096" s="1" t="s">
        <v>1741</v>
      </c>
      <c r="D1096" s="1" t="s">
        <v>1714</v>
      </c>
      <c r="E1096" s="1" t="s">
        <v>1681</v>
      </c>
      <c r="F1096" s="1" t="s">
        <v>1363</v>
      </c>
      <c r="G1096" s="1" t="s">
        <v>1732</v>
      </c>
      <c r="H1096" s="1" t="s">
        <v>2029</v>
      </c>
    </row>
    <row r="1097" spans="1:8" x14ac:dyDescent="0.25">
      <c r="A1097" s="31">
        <v>33062562870</v>
      </c>
      <c r="B1097" s="1" t="s">
        <v>1729</v>
      </c>
      <c r="C1097" s="1" t="s">
        <v>1741</v>
      </c>
      <c r="D1097" s="1" t="s">
        <v>1714</v>
      </c>
      <c r="E1097" s="1" t="s">
        <v>1681</v>
      </c>
      <c r="F1097" s="1" t="s">
        <v>958</v>
      </c>
      <c r="G1097" s="1" t="s">
        <v>1732</v>
      </c>
      <c r="H1097" s="1" t="s">
        <v>2029</v>
      </c>
    </row>
    <row r="1098" spans="1:8" x14ac:dyDescent="0.25">
      <c r="A1098" s="31">
        <v>33062562871</v>
      </c>
      <c r="B1098" s="1" t="s">
        <v>1729</v>
      </c>
      <c r="C1098" s="1" t="s">
        <v>1741</v>
      </c>
      <c r="D1098" s="1" t="s">
        <v>1714</v>
      </c>
      <c r="E1098" s="1" t="s">
        <v>1681</v>
      </c>
      <c r="F1098" s="1" t="s">
        <v>957</v>
      </c>
      <c r="G1098" s="1" t="s">
        <v>1732</v>
      </c>
      <c r="H1098" s="1" t="s">
        <v>2032</v>
      </c>
    </row>
    <row r="1099" spans="1:8" x14ac:dyDescent="0.25">
      <c r="A1099" s="32">
        <v>33062562872</v>
      </c>
      <c r="B1099" s="33" t="s">
        <v>1729</v>
      </c>
      <c r="C1099" s="33" t="s">
        <v>1741</v>
      </c>
      <c r="D1099" s="33" t="s">
        <v>1714</v>
      </c>
      <c r="E1099" s="33" t="s">
        <v>1681</v>
      </c>
      <c r="F1099" s="33" t="s">
        <v>1361</v>
      </c>
      <c r="G1099" s="33" t="s">
        <v>1732</v>
      </c>
      <c r="H1099" s="33" t="s">
        <v>2033</v>
      </c>
    </row>
    <row r="1100" spans="1:8" x14ac:dyDescent="0.25">
      <c r="A1100" s="32">
        <v>33062562873</v>
      </c>
      <c r="B1100" s="33" t="s">
        <v>1729</v>
      </c>
      <c r="C1100" s="33" t="s">
        <v>1741</v>
      </c>
      <c r="D1100" s="33" t="s">
        <v>1714</v>
      </c>
      <c r="E1100" s="33" t="s">
        <v>1681</v>
      </c>
      <c r="F1100" s="33" t="s">
        <v>907</v>
      </c>
      <c r="G1100" s="33" t="s">
        <v>1732</v>
      </c>
      <c r="H1100" s="33" t="s">
        <v>2034</v>
      </c>
    </row>
    <row r="1101" spans="1:8" x14ac:dyDescent="0.25">
      <c r="A1101" s="32">
        <v>33062562874</v>
      </c>
      <c r="B1101" s="33" t="s">
        <v>1729</v>
      </c>
      <c r="C1101" s="33" t="s">
        <v>1741</v>
      </c>
      <c r="D1101" s="33" t="s">
        <v>1714</v>
      </c>
      <c r="E1101" s="33" t="s">
        <v>1681</v>
      </c>
      <c r="F1101" s="33" t="s">
        <v>1364</v>
      </c>
      <c r="G1101" s="33" t="s">
        <v>1732</v>
      </c>
      <c r="H1101" s="33" t="s">
        <v>2035</v>
      </c>
    </row>
    <row r="1102" spans="1:8" x14ac:dyDescent="0.25">
      <c r="A1102" s="32">
        <v>33062562875</v>
      </c>
      <c r="B1102" s="33" t="s">
        <v>1729</v>
      </c>
      <c r="C1102" s="33" t="s">
        <v>1741</v>
      </c>
      <c r="D1102" s="33" t="s">
        <v>1714</v>
      </c>
      <c r="E1102" s="33" t="s">
        <v>1681</v>
      </c>
      <c r="F1102" s="33" t="s">
        <v>1362</v>
      </c>
      <c r="G1102" s="33" t="s">
        <v>1732</v>
      </c>
      <c r="H1102" s="33" t="s">
        <v>2036</v>
      </c>
    </row>
    <row r="1103" spans="1:8" x14ac:dyDescent="0.25">
      <c r="A1103" s="32">
        <v>33062562876</v>
      </c>
      <c r="B1103" s="33" t="s">
        <v>1729</v>
      </c>
      <c r="C1103" s="33" t="s">
        <v>1741</v>
      </c>
      <c r="D1103" s="33" t="s">
        <v>1712</v>
      </c>
      <c r="E1103" s="33" t="s">
        <v>1681</v>
      </c>
      <c r="F1103" s="33" t="s">
        <v>881</v>
      </c>
      <c r="G1103" s="33" t="s">
        <v>1732</v>
      </c>
      <c r="H1103" s="33" t="s">
        <v>2243</v>
      </c>
    </row>
    <row r="1104" spans="1:8" x14ac:dyDescent="0.25">
      <c r="A1104" s="32">
        <v>33062562877</v>
      </c>
      <c r="B1104" s="33" t="s">
        <v>1729</v>
      </c>
      <c r="C1104" s="33" t="s">
        <v>1741</v>
      </c>
      <c r="D1104" s="33" t="s">
        <v>1712</v>
      </c>
      <c r="E1104" s="33" t="s">
        <v>1681</v>
      </c>
      <c r="F1104" s="33" t="s">
        <v>867</v>
      </c>
      <c r="G1104" s="33" t="s">
        <v>1732</v>
      </c>
      <c r="H1104" s="33" t="s">
        <v>2244</v>
      </c>
    </row>
    <row r="1105" spans="1:8" x14ac:dyDescent="0.25">
      <c r="A1105" s="32">
        <v>33062562878</v>
      </c>
      <c r="B1105" s="33" t="s">
        <v>1729</v>
      </c>
      <c r="C1105" s="33" t="s">
        <v>1741</v>
      </c>
      <c r="D1105" s="33" t="s">
        <v>1712</v>
      </c>
      <c r="E1105" s="33" t="s">
        <v>1681</v>
      </c>
      <c r="F1105" s="33" t="s">
        <v>866</v>
      </c>
      <c r="G1105" s="33" t="s">
        <v>1732</v>
      </c>
      <c r="H1105" s="33" t="s">
        <v>2245</v>
      </c>
    </row>
    <row r="1106" spans="1:8" x14ac:dyDescent="0.25">
      <c r="A1106" s="32">
        <v>33062562879</v>
      </c>
      <c r="B1106" s="33" t="s">
        <v>1729</v>
      </c>
      <c r="C1106" s="33" t="s">
        <v>1741</v>
      </c>
      <c r="D1106" s="33" t="s">
        <v>1712</v>
      </c>
      <c r="E1106" s="33" t="s">
        <v>1681</v>
      </c>
      <c r="F1106" s="33" t="s">
        <v>868</v>
      </c>
      <c r="G1106" s="33" t="s">
        <v>1732</v>
      </c>
      <c r="H1106" s="33" t="s">
        <v>2246</v>
      </c>
    </row>
    <row r="1107" spans="1:8" x14ac:dyDescent="0.25">
      <c r="A1107" s="32">
        <v>33062562880</v>
      </c>
      <c r="B1107" s="33" t="s">
        <v>1729</v>
      </c>
      <c r="C1107" s="33" t="s">
        <v>1741</v>
      </c>
      <c r="D1107" s="33" t="s">
        <v>1712</v>
      </c>
      <c r="E1107" s="33" t="s">
        <v>1681</v>
      </c>
      <c r="F1107" s="33" t="s">
        <v>865</v>
      </c>
      <c r="G1107" s="33" t="s">
        <v>1732</v>
      </c>
      <c r="H1107" s="33" t="s">
        <v>2257</v>
      </c>
    </row>
    <row r="1108" spans="1:8" x14ac:dyDescent="0.25">
      <c r="A1108" s="32">
        <v>33062562881</v>
      </c>
      <c r="B1108" s="33" t="s">
        <v>1729</v>
      </c>
      <c r="C1108" s="33" t="s">
        <v>1741</v>
      </c>
      <c r="D1108" s="33" t="s">
        <v>1712</v>
      </c>
      <c r="E1108" s="33" t="s">
        <v>1681</v>
      </c>
      <c r="F1108" s="33" t="s">
        <v>879</v>
      </c>
      <c r="G1108" s="33" t="s">
        <v>1732</v>
      </c>
      <c r="H1108" s="33" t="s">
        <v>2256</v>
      </c>
    </row>
    <row r="1109" spans="1:8" x14ac:dyDescent="0.25">
      <c r="A1109" s="32">
        <v>33062562882</v>
      </c>
      <c r="B1109" s="33" t="s">
        <v>1729</v>
      </c>
      <c r="C1109" s="33" t="s">
        <v>1741</v>
      </c>
      <c r="D1109" s="33" t="s">
        <v>1712</v>
      </c>
      <c r="E1109" s="33" t="s">
        <v>1681</v>
      </c>
      <c r="F1109" s="33" t="s">
        <v>873</v>
      </c>
      <c r="G1109" s="33" t="s">
        <v>1732</v>
      </c>
      <c r="H1109" s="33" t="s">
        <v>2251</v>
      </c>
    </row>
    <row r="1110" spans="1:8" x14ac:dyDescent="0.25">
      <c r="A1110" s="32">
        <v>33062562883</v>
      </c>
      <c r="B1110" s="33" t="s">
        <v>1729</v>
      </c>
      <c r="C1110" s="33" t="s">
        <v>1741</v>
      </c>
      <c r="D1110" s="33" t="s">
        <v>1712</v>
      </c>
      <c r="E1110" s="33" t="s">
        <v>1681</v>
      </c>
      <c r="F1110" s="33" t="s">
        <v>991</v>
      </c>
      <c r="G1110" s="33" t="s">
        <v>1732</v>
      </c>
      <c r="H1110" s="33" t="s">
        <v>2248</v>
      </c>
    </row>
    <row r="1111" spans="1:8" x14ac:dyDescent="0.25">
      <c r="A1111" s="32">
        <v>33062562884</v>
      </c>
      <c r="B1111" s="33" t="s">
        <v>1729</v>
      </c>
      <c r="C1111" s="33" t="s">
        <v>1741</v>
      </c>
      <c r="D1111" s="33" t="s">
        <v>1712</v>
      </c>
      <c r="E1111" s="33" t="s">
        <v>1681</v>
      </c>
      <c r="F1111" s="33" t="s">
        <v>878</v>
      </c>
      <c r="G1111" s="33" t="s">
        <v>1732</v>
      </c>
      <c r="H1111" s="33" t="s">
        <v>2253</v>
      </c>
    </row>
    <row r="1112" spans="1:8" x14ac:dyDescent="0.25">
      <c r="A1112" s="32">
        <v>33062562885</v>
      </c>
      <c r="B1112" s="33" t="s">
        <v>1729</v>
      </c>
      <c r="C1112" s="33" t="s">
        <v>1741</v>
      </c>
      <c r="D1112" s="33" t="s">
        <v>1712</v>
      </c>
      <c r="E1112" s="33" t="s">
        <v>1681</v>
      </c>
      <c r="F1112" s="33" t="s">
        <v>883</v>
      </c>
      <c r="G1112" s="33" t="s">
        <v>1732</v>
      </c>
      <c r="H1112" s="33" t="s">
        <v>2249</v>
      </c>
    </row>
    <row r="1113" spans="1:8" x14ac:dyDescent="0.25">
      <c r="A1113" s="32">
        <v>33062562886</v>
      </c>
      <c r="B1113" s="33" t="s">
        <v>1729</v>
      </c>
      <c r="C1113" s="33" t="s">
        <v>1741</v>
      </c>
      <c r="D1113" s="33" t="s">
        <v>1712</v>
      </c>
      <c r="E1113" s="33" t="s">
        <v>1681</v>
      </c>
      <c r="F1113" s="33" t="s">
        <v>876</v>
      </c>
      <c r="G1113" s="33" t="s">
        <v>1732</v>
      </c>
      <c r="H1113" s="33" t="s">
        <v>2255</v>
      </c>
    </row>
    <row r="1114" spans="1:8" x14ac:dyDescent="0.25">
      <c r="A1114" s="32">
        <v>33062562887</v>
      </c>
      <c r="B1114" s="33" t="s">
        <v>1729</v>
      </c>
      <c r="C1114" s="33" t="s">
        <v>1741</v>
      </c>
      <c r="D1114" s="33" t="s">
        <v>1712</v>
      </c>
      <c r="E1114" s="33" t="s">
        <v>1681</v>
      </c>
      <c r="F1114" s="33" t="s">
        <v>869</v>
      </c>
      <c r="G1114" s="33" t="s">
        <v>1732</v>
      </c>
      <c r="H1114" s="33" t="s">
        <v>2250</v>
      </c>
    </row>
    <row r="1115" spans="1:8" x14ac:dyDescent="0.25">
      <c r="A1115" s="32">
        <v>33062562888</v>
      </c>
      <c r="B1115" s="33" t="s">
        <v>1729</v>
      </c>
      <c r="C1115" s="33" t="s">
        <v>1741</v>
      </c>
      <c r="D1115" s="33" t="s">
        <v>1712</v>
      </c>
      <c r="E1115" s="33" t="s">
        <v>1681</v>
      </c>
      <c r="F1115" s="33" t="s">
        <v>875</v>
      </c>
      <c r="G1115" s="33" t="s">
        <v>1732</v>
      </c>
      <c r="H1115" s="33" t="s">
        <v>2247</v>
      </c>
    </row>
    <row r="1116" spans="1:8" x14ac:dyDescent="0.25">
      <c r="A1116" s="32">
        <v>33062562889</v>
      </c>
      <c r="B1116" s="33" t="s">
        <v>1729</v>
      </c>
      <c r="C1116" s="33" t="s">
        <v>1741</v>
      </c>
      <c r="D1116" s="33" t="s">
        <v>1712</v>
      </c>
      <c r="E1116" s="33" t="s">
        <v>1681</v>
      </c>
      <c r="F1116" s="33" t="s">
        <v>870</v>
      </c>
      <c r="G1116" s="33" t="s">
        <v>1732</v>
      </c>
      <c r="H1116" s="33" t="s">
        <v>2252</v>
      </c>
    </row>
    <row r="1117" spans="1:8" x14ac:dyDescent="0.25">
      <c r="A1117" s="32">
        <v>33062562890</v>
      </c>
      <c r="B1117" s="33" t="s">
        <v>1729</v>
      </c>
      <c r="C1117" s="33" t="s">
        <v>1741</v>
      </c>
      <c r="D1117" s="33" t="s">
        <v>1712</v>
      </c>
      <c r="E1117" s="33" t="s">
        <v>1681</v>
      </c>
      <c r="F1117" s="33" t="s">
        <v>880</v>
      </c>
      <c r="G1117" s="33" t="s">
        <v>1732</v>
      </c>
      <c r="H1117" s="33" t="s">
        <v>2254</v>
      </c>
    </row>
    <row r="1118" spans="1:8" x14ac:dyDescent="0.25">
      <c r="A1118" s="32">
        <v>33062562891</v>
      </c>
      <c r="B1118" s="33" t="s">
        <v>1729</v>
      </c>
      <c r="C1118" s="33" t="s">
        <v>1741</v>
      </c>
      <c r="D1118" s="33" t="s">
        <v>1714</v>
      </c>
      <c r="E1118" s="33" t="s">
        <v>1681</v>
      </c>
      <c r="F1118" s="33" t="s">
        <v>1380</v>
      </c>
      <c r="G1118" s="33" t="s">
        <v>1732</v>
      </c>
      <c r="H1118" s="33" t="s">
        <v>2764</v>
      </c>
    </row>
    <row r="1119" spans="1:8" x14ac:dyDescent="0.25">
      <c r="A1119" s="32">
        <v>33062562892</v>
      </c>
      <c r="B1119" s="33" t="s">
        <v>1729</v>
      </c>
      <c r="C1119" s="33" t="s">
        <v>1741</v>
      </c>
      <c r="D1119" s="33" t="s">
        <v>1714</v>
      </c>
      <c r="E1119" s="33" t="s">
        <v>1681</v>
      </c>
      <c r="F1119" s="33" t="s">
        <v>911</v>
      </c>
      <c r="G1119" s="33" t="s">
        <v>1732</v>
      </c>
      <c r="H1119" s="33" t="s">
        <v>2764</v>
      </c>
    </row>
    <row r="1120" spans="1:8" x14ac:dyDescent="0.25">
      <c r="A1120" s="32">
        <v>33062562893</v>
      </c>
      <c r="B1120" s="33" t="s">
        <v>1729</v>
      </c>
      <c r="C1120" s="33" t="s">
        <v>1741</v>
      </c>
      <c r="D1120" s="33" t="s">
        <v>1714</v>
      </c>
      <c r="E1120" s="33" t="s">
        <v>1681</v>
      </c>
      <c r="F1120" s="33" t="s">
        <v>1381</v>
      </c>
      <c r="G1120" s="33" t="s">
        <v>1732</v>
      </c>
      <c r="H1120" s="33" t="s">
        <v>2765</v>
      </c>
    </row>
    <row r="1121" spans="1:8" x14ac:dyDescent="0.25">
      <c r="A1121" s="32">
        <v>33062562894</v>
      </c>
      <c r="B1121" s="33" t="s">
        <v>1729</v>
      </c>
      <c r="C1121" s="33" t="s">
        <v>1741</v>
      </c>
      <c r="D1121" s="33" t="s">
        <v>1714</v>
      </c>
      <c r="E1121" s="33" t="s">
        <v>1681</v>
      </c>
      <c r="F1121" s="33" t="s">
        <v>1378</v>
      </c>
      <c r="G1121" s="33" t="s">
        <v>1732</v>
      </c>
      <c r="H1121" s="33" t="s">
        <v>2765</v>
      </c>
    </row>
    <row r="1122" spans="1:8" x14ac:dyDescent="0.25">
      <c r="A1122" s="32">
        <v>33062562895</v>
      </c>
      <c r="B1122" s="33" t="s">
        <v>1729</v>
      </c>
      <c r="C1122" s="33" t="s">
        <v>1741</v>
      </c>
      <c r="D1122" s="33" t="s">
        <v>1714</v>
      </c>
      <c r="E1122" s="33" t="s">
        <v>1681</v>
      </c>
      <c r="F1122" s="33" t="s">
        <v>1382</v>
      </c>
      <c r="G1122" s="33" t="s">
        <v>1732</v>
      </c>
      <c r="H1122" s="33" t="s">
        <v>2761</v>
      </c>
    </row>
    <row r="1123" spans="1:8" x14ac:dyDescent="0.25">
      <c r="A1123" s="32">
        <v>33062562896</v>
      </c>
      <c r="B1123" s="33" t="s">
        <v>1729</v>
      </c>
      <c r="C1123" s="33" t="s">
        <v>1741</v>
      </c>
      <c r="D1123" s="33" t="s">
        <v>1714</v>
      </c>
      <c r="E1123" s="33" t="s">
        <v>1681</v>
      </c>
      <c r="F1123" s="33" t="s">
        <v>1372</v>
      </c>
      <c r="G1123" s="33" t="s">
        <v>1732</v>
      </c>
      <c r="H1123" s="33" t="s">
        <v>2762</v>
      </c>
    </row>
    <row r="1124" spans="1:8" x14ac:dyDescent="0.25">
      <c r="A1124" s="32">
        <v>33062562897</v>
      </c>
      <c r="B1124" s="33" t="s">
        <v>1729</v>
      </c>
      <c r="C1124" s="33" t="s">
        <v>1741</v>
      </c>
      <c r="D1124" s="33" t="s">
        <v>1714</v>
      </c>
      <c r="E1124" s="33" t="s">
        <v>1681</v>
      </c>
      <c r="F1124" s="33" t="s">
        <v>1370</v>
      </c>
      <c r="G1124" s="33" t="s">
        <v>1732</v>
      </c>
      <c r="H1124" s="33" t="s">
        <v>2762</v>
      </c>
    </row>
    <row r="1125" spans="1:8" x14ac:dyDescent="0.25">
      <c r="A1125" s="32">
        <v>33062562898</v>
      </c>
      <c r="B1125" s="33" t="s">
        <v>1729</v>
      </c>
      <c r="C1125" s="33" t="s">
        <v>1741</v>
      </c>
      <c r="D1125" s="33" t="s">
        <v>1714</v>
      </c>
      <c r="E1125" s="33" t="s">
        <v>1681</v>
      </c>
      <c r="F1125" s="33" t="s">
        <v>1367</v>
      </c>
      <c r="G1125" s="33" t="s">
        <v>1732</v>
      </c>
      <c r="H1125" s="33" t="s">
        <v>2763</v>
      </c>
    </row>
    <row r="1126" spans="1:8" x14ac:dyDescent="0.25">
      <c r="A1126" s="32">
        <v>33062562899</v>
      </c>
      <c r="B1126" s="33" t="s">
        <v>1729</v>
      </c>
      <c r="C1126" s="33" t="s">
        <v>1741</v>
      </c>
      <c r="D1126" s="33" t="s">
        <v>1714</v>
      </c>
      <c r="E1126" s="33" t="s">
        <v>1681</v>
      </c>
      <c r="F1126" s="33" t="s">
        <v>1368</v>
      </c>
      <c r="G1126" s="33" t="s">
        <v>1732</v>
      </c>
      <c r="H1126" s="33" t="s">
        <v>2763</v>
      </c>
    </row>
    <row r="1127" spans="1:8" x14ac:dyDescent="0.25">
      <c r="A1127" s="32">
        <v>33062562900</v>
      </c>
      <c r="B1127" s="33" t="s">
        <v>1729</v>
      </c>
      <c r="C1127" s="33" t="s">
        <v>1741</v>
      </c>
      <c r="D1127" s="33" t="s">
        <v>1714</v>
      </c>
      <c r="E1127" s="33" t="s">
        <v>1681</v>
      </c>
      <c r="F1127" s="33" t="s">
        <v>1379</v>
      </c>
      <c r="G1127" s="33" t="s">
        <v>1732</v>
      </c>
      <c r="H1127" s="33" t="s">
        <v>2761</v>
      </c>
    </row>
    <row r="1128" spans="1:8" x14ac:dyDescent="0.25">
      <c r="A1128" s="32">
        <v>33062563644</v>
      </c>
      <c r="B1128" s="33" t="s">
        <v>1739</v>
      </c>
      <c r="C1128" s="33"/>
      <c r="D1128" s="33"/>
      <c r="E1128" s="33" t="s">
        <v>1730</v>
      </c>
      <c r="F1128" s="33" t="s">
        <v>1601</v>
      </c>
      <c r="G1128" s="33" t="s">
        <v>2871</v>
      </c>
      <c r="H1128" s="33" t="s">
        <v>1601</v>
      </c>
    </row>
    <row r="1129" spans="1:8" x14ac:dyDescent="0.25">
      <c r="A1129" s="32">
        <v>33062563645</v>
      </c>
      <c r="B1129" s="33" t="s">
        <v>1739</v>
      </c>
      <c r="C1129" s="33"/>
      <c r="D1129" s="33"/>
      <c r="E1129" s="33" t="s">
        <v>1730</v>
      </c>
      <c r="F1129" s="33" t="s">
        <v>1602</v>
      </c>
      <c r="G1129" s="33" t="s">
        <v>2871</v>
      </c>
      <c r="H1129" s="33" t="s">
        <v>1602</v>
      </c>
    </row>
    <row r="1130" spans="1:8" x14ac:dyDescent="0.25">
      <c r="A1130" s="32">
        <v>33062563646</v>
      </c>
      <c r="B1130" s="33" t="s">
        <v>1739</v>
      </c>
      <c r="C1130" s="33"/>
      <c r="D1130" s="33"/>
      <c r="E1130" s="33" t="s">
        <v>1730</v>
      </c>
      <c r="F1130" s="33" t="s">
        <v>1603</v>
      </c>
      <c r="G1130" s="33" t="s">
        <v>2871</v>
      </c>
      <c r="H1130" s="33" t="s">
        <v>1603</v>
      </c>
    </row>
    <row r="1131" spans="1:8" x14ac:dyDescent="0.25">
      <c r="A1131" s="32">
        <v>33062563647</v>
      </c>
      <c r="B1131" s="33" t="s">
        <v>1739</v>
      </c>
      <c r="C1131" s="33"/>
      <c r="D1131" s="33"/>
      <c r="E1131" s="33" t="s">
        <v>1730</v>
      </c>
      <c r="F1131" s="33" t="s">
        <v>1604</v>
      </c>
      <c r="G1131" s="33" t="s">
        <v>2871</v>
      </c>
      <c r="H1131" s="33" t="s">
        <v>1604</v>
      </c>
    </row>
    <row r="1132" spans="1:8" x14ac:dyDescent="0.25">
      <c r="A1132" s="32">
        <v>33062563648</v>
      </c>
      <c r="B1132" s="33" t="s">
        <v>1739</v>
      </c>
      <c r="C1132" s="33"/>
      <c r="D1132" s="33"/>
      <c r="E1132" s="33" t="s">
        <v>1730</v>
      </c>
      <c r="F1132" s="33" t="s">
        <v>1605</v>
      </c>
      <c r="G1132" s="33" t="s">
        <v>2871</v>
      </c>
      <c r="H1132" s="33" t="s">
        <v>1605</v>
      </c>
    </row>
    <row r="1133" spans="1:8" x14ac:dyDescent="0.25">
      <c r="A1133" s="32">
        <v>33062563649</v>
      </c>
      <c r="B1133" s="33" t="s">
        <v>1739</v>
      </c>
      <c r="C1133" s="33"/>
      <c r="D1133" s="33"/>
      <c r="E1133" s="33" t="s">
        <v>1730</v>
      </c>
      <c r="F1133" s="33" t="s">
        <v>1606</v>
      </c>
      <c r="G1133" s="33" t="s">
        <v>2871</v>
      </c>
      <c r="H1133" s="33" t="s">
        <v>1606</v>
      </c>
    </row>
    <row r="1134" spans="1:8" x14ac:dyDescent="0.25">
      <c r="A1134" s="32">
        <v>33062563650</v>
      </c>
      <c r="B1134" s="33" t="s">
        <v>1739</v>
      </c>
      <c r="C1134" s="33"/>
      <c r="D1134" s="33"/>
      <c r="E1134" s="33" t="s">
        <v>1730</v>
      </c>
      <c r="F1134" s="33" t="s">
        <v>1607</v>
      </c>
      <c r="G1134" s="33" t="s">
        <v>2871</v>
      </c>
      <c r="H1134" s="33" t="s">
        <v>1607</v>
      </c>
    </row>
    <row r="1135" spans="1:8" x14ac:dyDescent="0.25">
      <c r="A1135" s="32">
        <v>33062563651</v>
      </c>
      <c r="B1135" s="33" t="s">
        <v>1739</v>
      </c>
      <c r="C1135" s="33"/>
      <c r="D1135" s="33"/>
      <c r="E1135" s="33" t="s">
        <v>1730</v>
      </c>
      <c r="F1135" s="33" t="s">
        <v>1608</v>
      </c>
      <c r="G1135" s="33" t="s">
        <v>2871</v>
      </c>
      <c r="H1135" s="33" t="s">
        <v>1608</v>
      </c>
    </row>
    <row r="1136" spans="1:8" x14ac:dyDescent="0.25">
      <c r="A1136" s="32">
        <v>33062563652</v>
      </c>
      <c r="B1136" s="33" t="s">
        <v>1739</v>
      </c>
      <c r="C1136" s="33"/>
      <c r="D1136" s="33"/>
      <c r="E1136" s="33" t="s">
        <v>1730</v>
      </c>
      <c r="F1136" s="33" t="s">
        <v>1609</v>
      </c>
      <c r="G1136" s="33" t="s">
        <v>2871</v>
      </c>
      <c r="H1136" s="33" t="s">
        <v>1609</v>
      </c>
    </row>
    <row r="1137" spans="1:8" x14ac:dyDescent="0.25">
      <c r="A1137" s="32">
        <v>33062563653</v>
      </c>
      <c r="B1137" s="33" t="s">
        <v>1739</v>
      </c>
      <c r="C1137" s="33"/>
      <c r="D1137" s="33"/>
      <c r="E1137" s="33" t="s">
        <v>1730</v>
      </c>
      <c r="F1137" s="33" t="s">
        <v>1610</v>
      </c>
      <c r="G1137" s="33" t="s">
        <v>2871</v>
      </c>
      <c r="H1137" s="33" t="s">
        <v>1610</v>
      </c>
    </row>
    <row r="1138" spans="1:8" x14ac:dyDescent="0.25">
      <c r="A1138" s="32">
        <v>33062563654</v>
      </c>
      <c r="B1138" s="33" t="s">
        <v>1739</v>
      </c>
      <c r="C1138" s="33"/>
      <c r="D1138" s="33"/>
      <c r="E1138" s="33" t="s">
        <v>1730</v>
      </c>
      <c r="F1138" s="33" t="s">
        <v>1611</v>
      </c>
      <c r="G1138" s="33" t="s">
        <v>2871</v>
      </c>
      <c r="H1138" s="33" t="s">
        <v>1611</v>
      </c>
    </row>
    <row r="1139" spans="1:8" x14ac:dyDescent="0.25">
      <c r="A1139" s="32">
        <v>33062563655</v>
      </c>
      <c r="B1139" s="33" t="s">
        <v>1739</v>
      </c>
      <c r="C1139" s="33"/>
      <c r="D1139" s="33"/>
      <c r="E1139" s="33" t="s">
        <v>1730</v>
      </c>
      <c r="F1139" s="33" t="s">
        <v>1612</v>
      </c>
      <c r="G1139" s="33" t="s">
        <v>2871</v>
      </c>
      <c r="H1139" s="33" t="s">
        <v>1612</v>
      </c>
    </row>
    <row r="1140" spans="1:8" x14ac:dyDescent="0.25">
      <c r="A1140" s="32">
        <v>33062563656</v>
      </c>
      <c r="B1140" s="33" t="s">
        <v>1739</v>
      </c>
      <c r="C1140" s="33"/>
      <c r="D1140" s="33"/>
      <c r="E1140" s="33" t="s">
        <v>1730</v>
      </c>
      <c r="F1140" s="33" t="s">
        <v>1613</v>
      </c>
      <c r="G1140" s="33" t="s">
        <v>2871</v>
      </c>
      <c r="H1140" s="33" t="s">
        <v>1613</v>
      </c>
    </row>
    <row r="1141" spans="1:8" x14ac:dyDescent="0.25">
      <c r="A1141" s="32">
        <v>33063063459</v>
      </c>
      <c r="B1141" s="33" t="s">
        <v>1739</v>
      </c>
      <c r="C1141" s="33" t="s">
        <v>2151</v>
      </c>
      <c r="D1141" s="33" t="s">
        <v>2151</v>
      </c>
      <c r="E1141" s="33" t="s">
        <v>1730</v>
      </c>
      <c r="F1141" s="33" t="s">
        <v>1110</v>
      </c>
      <c r="G1141" s="33" t="s">
        <v>2150</v>
      </c>
      <c r="H1141" s="33" t="s">
        <v>2153</v>
      </c>
    </row>
    <row r="1142" spans="1:8" x14ac:dyDescent="0.25">
      <c r="A1142" s="32">
        <v>33063063460</v>
      </c>
      <c r="B1142" s="33" t="s">
        <v>1739</v>
      </c>
      <c r="C1142" s="33" t="s">
        <v>2151</v>
      </c>
      <c r="D1142" s="33" t="s">
        <v>2151</v>
      </c>
      <c r="E1142" s="33" t="s">
        <v>1730</v>
      </c>
      <c r="F1142" s="33" t="s">
        <v>1129</v>
      </c>
      <c r="G1142" s="33" t="s">
        <v>2150</v>
      </c>
      <c r="H1142" s="33" t="s">
        <v>2153</v>
      </c>
    </row>
    <row r="1143" spans="1:8" x14ac:dyDescent="0.25">
      <c r="A1143" s="32">
        <v>33063063461</v>
      </c>
      <c r="B1143" s="33" t="s">
        <v>1739</v>
      </c>
      <c r="C1143" s="33" t="s">
        <v>2151</v>
      </c>
      <c r="D1143" s="33" t="s">
        <v>2151</v>
      </c>
      <c r="E1143" s="33" t="s">
        <v>1730</v>
      </c>
      <c r="F1143" s="33" t="s">
        <v>1113</v>
      </c>
      <c r="G1143" s="33" t="s">
        <v>2150</v>
      </c>
      <c r="H1143" s="33" t="s">
        <v>2153</v>
      </c>
    </row>
    <row r="1144" spans="1:8" x14ac:dyDescent="0.25">
      <c r="A1144" s="32">
        <v>33063063462</v>
      </c>
      <c r="B1144" s="33" t="s">
        <v>1739</v>
      </c>
      <c r="C1144" s="33" t="s">
        <v>2151</v>
      </c>
      <c r="D1144" s="33" t="s">
        <v>2151</v>
      </c>
      <c r="E1144" s="33" t="s">
        <v>1730</v>
      </c>
      <c r="F1144" s="33" t="s">
        <v>1154</v>
      </c>
      <c r="G1144" s="33" t="s">
        <v>2150</v>
      </c>
      <c r="H1144" s="33" t="s">
        <v>2153</v>
      </c>
    </row>
    <row r="1145" spans="1:8" x14ac:dyDescent="0.25">
      <c r="A1145" s="32">
        <v>33063063463</v>
      </c>
      <c r="B1145" s="33" t="s">
        <v>1739</v>
      </c>
      <c r="C1145" s="33" t="s">
        <v>2151</v>
      </c>
      <c r="D1145" s="33" t="s">
        <v>2151</v>
      </c>
      <c r="E1145" s="33" t="s">
        <v>1730</v>
      </c>
      <c r="F1145" s="33" t="s">
        <v>1125</v>
      </c>
      <c r="G1145" s="33" t="s">
        <v>2150</v>
      </c>
      <c r="H1145" s="33" t="s">
        <v>2153</v>
      </c>
    </row>
    <row r="1146" spans="1:8" x14ac:dyDescent="0.25">
      <c r="A1146" s="32">
        <v>33063063464</v>
      </c>
      <c r="B1146" s="33" t="s">
        <v>1739</v>
      </c>
      <c r="C1146" s="33" t="s">
        <v>2151</v>
      </c>
      <c r="D1146" s="33" t="s">
        <v>2151</v>
      </c>
      <c r="E1146" s="33" t="s">
        <v>1730</v>
      </c>
      <c r="F1146" s="33" t="s">
        <v>1191</v>
      </c>
      <c r="G1146" s="33" t="s">
        <v>2150</v>
      </c>
      <c r="H1146" s="33" t="s">
        <v>2155</v>
      </c>
    </row>
    <row r="1147" spans="1:8" x14ac:dyDescent="0.25">
      <c r="A1147" s="32">
        <v>33063063465</v>
      </c>
      <c r="B1147" s="33" t="s">
        <v>1739</v>
      </c>
      <c r="C1147" s="33" t="s">
        <v>2151</v>
      </c>
      <c r="D1147" s="33" t="s">
        <v>2151</v>
      </c>
      <c r="E1147" s="33" t="s">
        <v>1730</v>
      </c>
      <c r="F1147" s="33" t="s">
        <v>1192</v>
      </c>
      <c r="G1147" s="33" t="s">
        <v>2150</v>
      </c>
      <c r="H1147" s="33" t="s">
        <v>2155</v>
      </c>
    </row>
    <row r="1148" spans="1:8" x14ac:dyDescent="0.25">
      <c r="A1148" s="32">
        <v>33063063466</v>
      </c>
      <c r="B1148" s="33" t="s">
        <v>1739</v>
      </c>
      <c r="C1148" s="33" t="s">
        <v>2151</v>
      </c>
      <c r="D1148" s="33" t="s">
        <v>2151</v>
      </c>
      <c r="E1148" s="33" t="s">
        <v>1730</v>
      </c>
      <c r="F1148" s="33" t="s">
        <v>1138</v>
      </c>
      <c r="G1148" s="33" t="s">
        <v>2150</v>
      </c>
      <c r="H1148" s="33" t="s">
        <v>2155</v>
      </c>
    </row>
    <row r="1149" spans="1:8" x14ac:dyDescent="0.25">
      <c r="A1149" s="32">
        <v>33063063467</v>
      </c>
      <c r="B1149" s="33" t="s">
        <v>1739</v>
      </c>
      <c r="C1149" s="33" t="s">
        <v>2151</v>
      </c>
      <c r="D1149" s="33" t="s">
        <v>2151</v>
      </c>
      <c r="E1149" s="33" t="s">
        <v>1730</v>
      </c>
      <c r="F1149" s="33" t="s">
        <v>1065</v>
      </c>
      <c r="G1149" s="33" t="s">
        <v>2150</v>
      </c>
      <c r="H1149" s="33" t="s">
        <v>2152</v>
      </c>
    </row>
    <row r="1150" spans="1:8" x14ac:dyDescent="0.25">
      <c r="A1150" s="32">
        <v>33063063468</v>
      </c>
      <c r="B1150" s="33" t="s">
        <v>1739</v>
      </c>
      <c r="C1150" s="33" t="s">
        <v>2151</v>
      </c>
      <c r="D1150" s="33" t="s">
        <v>2151</v>
      </c>
      <c r="E1150" s="33" t="s">
        <v>1730</v>
      </c>
      <c r="F1150" s="33" t="s">
        <v>1064</v>
      </c>
      <c r="G1150" s="33" t="s">
        <v>2150</v>
      </c>
      <c r="H1150" s="33" t="s">
        <v>2152</v>
      </c>
    </row>
    <row r="1151" spans="1:8" x14ac:dyDescent="0.25">
      <c r="A1151" s="32">
        <v>33063063469</v>
      </c>
      <c r="B1151" s="33" t="s">
        <v>1739</v>
      </c>
      <c r="C1151" s="33" t="s">
        <v>2151</v>
      </c>
      <c r="D1151" s="33" t="s">
        <v>2151</v>
      </c>
      <c r="E1151" s="33" t="s">
        <v>1730</v>
      </c>
      <c r="F1151" s="33" t="s">
        <v>1066</v>
      </c>
      <c r="G1151" s="33" t="s">
        <v>2150</v>
      </c>
      <c r="H1151" s="33" t="s">
        <v>2152</v>
      </c>
    </row>
    <row r="1152" spans="1:8" x14ac:dyDescent="0.25">
      <c r="A1152" s="32">
        <v>33063063470</v>
      </c>
      <c r="B1152" s="33" t="s">
        <v>1739</v>
      </c>
      <c r="C1152" s="33" t="s">
        <v>2151</v>
      </c>
      <c r="D1152" s="33" t="s">
        <v>2151</v>
      </c>
      <c r="E1152" s="33" t="s">
        <v>1730</v>
      </c>
      <c r="F1152" s="33" t="s">
        <v>1117</v>
      </c>
      <c r="G1152" s="33" t="s">
        <v>2150</v>
      </c>
      <c r="H1152" s="33" t="s">
        <v>2152</v>
      </c>
    </row>
    <row r="1153" spans="1:8" x14ac:dyDescent="0.25">
      <c r="A1153" s="32">
        <v>33063063471</v>
      </c>
      <c r="B1153" s="33" t="s">
        <v>1739</v>
      </c>
      <c r="C1153" s="33" t="s">
        <v>2151</v>
      </c>
      <c r="D1153" s="33" t="s">
        <v>2151</v>
      </c>
      <c r="E1153" s="33" t="s">
        <v>1730</v>
      </c>
      <c r="F1153" s="33" t="s">
        <v>1118</v>
      </c>
      <c r="G1153" s="33" t="s">
        <v>2150</v>
      </c>
      <c r="H1153" s="33" t="s">
        <v>2152</v>
      </c>
    </row>
    <row r="1154" spans="1:8" x14ac:dyDescent="0.25">
      <c r="A1154" s="32">
        <v>33063063472</v>
      </c>
      <c r="B1154" s="33" t="s">
        <v>1739</v>
      </c>
      <c r="C1154" s="33" t="s">
        <v>2151</v>
      </c>
      <c r="D1154" s="33" t="s">
        <v>2151</v>
      </c>
      <c r="E1154" s="33" t="s">
        <v>1730</v>
      </c>
      <c r="F1154" s="33" t="s">
        <v>1067</v>
      </c>
      <c r="G1154" s="33" t="s">
        <v>2150</v>
      </c>
      <c r="H1154" s="33" t="s">
        <v>2154</v>
      </c>
    </row>
    <row r="1155" spans="1:8" x14ac:dyDescent="0.25">
      <c r="A1155" s="32">
        <v>33063063473</v>
      </c>
      <c r="B1155" s="33" t="s">
        <v>1739</v>
      </c>
      <c r="C1155" s="33" t="s">
        <v>2151</v>
      </c>
      <c r="D1155" s="33" t="s">
        <v>2151</v>
      </c>
      <c r="E1155" s="33" t="s">
        <v>1730</v>
      </c>
      <c r="F1155" s="33" t="s">
        <v>1078</v>
      </c>
      <c r="G1155" s="33" t="s">
        <v>2150</v>
      </c>
      <c r="H1155" s="33" t="s">
        <v>2154</v>
      </c>
    </row>
    <row r="1156" spans="1:8" x14ac:dyDescent="0.25">
      <c r="A1156" s="32">
        <v>33063063474</v>
      </c>
      <c r="B1156" s="33" t="s">
        <v>1739</v>
      </c>
      <c r="C1156" s="33" t="s">
        <v>2151</v>
      </c>
      <c r="D1156" s="33" t="s">
        <v>2151</v>
      </c>
      <c r="E1156" s="33" t="s">
        <v>1730</v>
      </c>
      <c r="F1156" s="33" t="s">
        <v>1148</v>
      </c>
      <c r="G1156" s="33" t="s">
        <v>2150</v>
      </c>
      <c r="H1156" s="33" t="s">
        <v>2154</v>
      </c>
    </row>
    <row r="1157" spans="1:8" x14ac:dyDescent="0.25">
      <c r="A1157" s="32">
        <v>33063063475</v>
      </c>
      <c r="B1157" s="33" t="s">
        <v>1739</v>
      </c>
      <c r="C1157" s="33" t="s">
        <v>2146</v>
      </c>
      <c r="D1157" s="33" t="s">
        <v>2146</v>
      </c>
      <c r="E1157" s="33" t="s">
        <v>1730</v>
      </c>
      <c r="F1157" s="33" t="s">
        <v>1019</v>
      </c>
      <c r="G1157" s="33" t="s">
        <v>2150</v>
      </c>
      <c r="H1157" s="33" t="s">
        <v>2147</v>
      </c>
    </row>
    <row r="1158" spans="1:8" x14ac:dyDescent="0.25">
      <c r="A1158" s="32">
        <v>33063063476</v>
      </c>
      <c r="B1158" s="33" t="s">
        <v>1739</v>
      </c>
      <c r="C1158" s="33" t="s">
        <v>2146</v>
      </c>
      <c r="D1158" s="33" t="s">
        <v>2146</v>
      </c>
      <c r="E1158" s="33" t="s">
        <v>1730</v>
      </c>
      <c r="F1158" s="33" t="s">
        <v>1083</v>
      </c>
      <c r="G1158" s="33" t="s">
        <v>2150</v>
      </c>
      <c r="H1158" s="33" t="s">
        <v>2147</v>
      </c>
    </row>
    <row r="1159" spans="1:8" x14ac:dyDescent="0.25">
      <c r="A1159" s="32">
        <v>33063063477</v>
      </c>
      <c r="B1159" s="33" t="s">
        <v>1739</v>
      </c>
      <c r="C1159" s="33" t="s">
        <v>2146</v>
      </c>
      <c r="D1159" s="33" t="s">
        <v>2146</v>
      </c>
      <c r="E1159" s="33" t="s">
        <v>1730</v>
      </c>
      <c r="F1159" s="33" t="s">
        <v>995</v>
      </c>
      <c r="G1159" s="33" t="s">
        <v>2150</v>
      </c>
      <c r="H1159" s="33" t="s">
        <v>2147</v>
      </c>
    </row>
    <row r="1160" spans="1:8" x14ac:dyDescent="0.25">
      <c r="A1160" s="32">
        <v>33063063478</v>
      </c>
      <c r="B1160" s="33" t="s">
        <v>1739</v>
      </c>
      <c r="C1160" s="33" t="s">
        <v>2128</v>
      </c>
      <c r="D1160" s="33" t="s">
        <v>2128</v>
      </c>
      <c r="E1160" s="33" t="s">
        <v>1730</v>
      </c>
      <c r="F1160" s="33" t="s">
        <v>1002</v>
      </c>
      <c r="G1160" s="33" t="s">
        <v>2150</v>
      </c>
      <c r="H1160" s="33" t="s">
        <v>2133</v>
      </c>
    </row>
    <row r="1161" spans="1:8" x14ac:dyDescent="0.25">
      <c r="A1161" s="32">
        <v>33063063479</v>
      </c>
      <c r="B1161" s="33" t="s">
        <v>1739</v>
      </c>
      <c r="C1161" s="33" t="s">
        <v>2128</v>
      </c>
      <c r="D1161" s="33" t="s">
        <v>2128</v>
      </c>
      <c r="E1161" s="33" t="s">
        <v>1730</v>
      </c>
      <c r="F1161" s="33" t="s">
        <v>1055</v>
      </c>
      <c r="G1161" s="33" t="s">
        <v>2150</v>
      </c>
      <c r="H1161" s="33" t="s">
        <v>2133</v>
      </c>
    </row>
    <row r="1162" spans="1:8" x14ac:dyDescent="0.25">
      <c r="A1162" s="32">
        <v>33063063480</v>
      </c>
      <c r="B1162" s="33" t="s">
        <v>1739</v>
      </c>
      <c r="C1162" s="33" t="s">
        <v>2128</v>
      </c>
      <c r="D1162" s="33" t="s">
        <v>2128</v>
      </c>
      <c r="E1162" s="33" t="s">
        <v>1730</v>
      </c>
      <c r="F1162" s="33" t="s">
        <v>1108</v>
      </c>
      <c r="G1162" s="33" t="s">
        <v>2150</v>
      </c>
      <c r="H1162" s="33" t="s">
        <v>2130</v>
      </c>
    </row>
    <row r="1163" spans="1:8" x14ac:dyDescent="0.25">
      <c r="A1163" s="32">
        <v>33063063481</v>
      </c>
      <c r="B1163" s="33" t="s">
        <v>1739</v>
      </c>
      <c r="C1163" s="33" t="s">
        <v>2128</v>
      </c>
      <c r="D1163" s="33" t="s">
        <v>2128</v>
      </c>
      <c r="E1163" s="33" t="s">
        <v>1730</v>
      </c>
      <c r="F1163" s="33" t="s">
        <v>1123</v>
      </c>
      <c r="G1163" s="33" t="s">
        <v>2150</v>
      </c>
      <c r="H1163" s="33" t="s">
        <v>2130</v>
      </c>
    </row>
    <row r="1164" spans="1:8" x14ac:dyDescent="0.25">
      <c r="A1164" s="32">
        <v>33063063482</v>
      </c>
      <c r="B1164" s="33" t="s">
        <v>1739</v>
      </c>
      <c r="C1164" s="33" t="s">
        <v>2128</v>
      </c>
      <c r="D1164" s="33" t="s">
        <v>2128</v>
      </c>
      <c r="E1164" s="33" t="s">
        <v>1730</v>
      </c>
      <c r="F1164" s="33" t="s">
        <v>1008</v>
      </c>
      <c r="G1164" s="33" t="s">
        <v>2150</v>
      </c>
      <c r="H1164" s="33" t="s">
        <v>2132</v>
      </c>
    </row>
    <row r="1165" spans="1:8" x14ac:dyDescent="0.25">
      <c r="A1165" s="31">
        <v>33063063483</v>
      </c>
      <c r="B1165" s="1" t="s">
        <v>1739</v>
      </c>
      <c r="C1165" s="1" t="s">
        <v>2128</v>
      </c>
      <c r="D1165" s="1" t="s">
        <v>2128</v>
      </c>
      <c r="E1165" s="1" t="s">
        <v>1730</v>
      </c>
      <c r="F1165" s="1" t="s">
        <v>1023</v>
      </c>
      <c r="G1165" s="1" t="s">
        <v>2150</v>
      </c>
      <c r="H1165" s="1" t="s">
        <v>2132</v>
      </c>
    </row>
    <row r="1166" spans="1:8" x14ac:dyDescent="0.25">
      <c r="A1166" s="31">
        <v>33063063484</v>
      </c>
      <c r="B1166" s="1" t="s">
        <v>1739</v>
      </c>
      <c r="C1166" s="1" t="s">
        <v>2128</v>
      </c>
      <c r="D1166" s="1" t="s">
        <v>2128</v>
      </c>
      <c r="E1166" s="1" t="s">
        <v>1730</v>
      </c>
      <c r="F1166" s="1" t="s">
        <v>1007</v>
      </c>
      <c r="G1166" s="1" t="s">
        <v>2150</v>
      </c>
      <c r="H1166" s="1" t="s">
        <v>2131</v>
      </c>
    </row>
    <row r="1167" spans="1:8" x14ac:dyDescent="0.25">
      <c r="A1167" s="32">
        <v>33063063485</v>
      </c>
      <c r="B1167" s="33" t="s">
        <v>1739</v>
      </c>
      <c r="C1167" s="33" t="s">
        <v>2128</v>
      </c>
      <c r="D1167" s="33" t="s">
        <v>2128</v>
      </c>
      <c r="E1167" s="33" t="s">
        <v>1730</v>
      </c>
      <c r="F1167" s="33" t="s">
        <v>1000</v>
      </c>
      <c r="G1167" s="33" t="s">
        <v>2150</v>
      </c>
      <c r="H1167" s="33" t="s">
        <v>2131</v>
      </c>
    </row>
    <row r="1168" spans="1:8" x14ac:dyDescent="0.25">
      <c r="A1168" s="32">
        <v>33063063486</v>
      </c>
      <c r="B1168" s="33" t="s">
        <v>1739</v>
      </c>
      <c r="C1168" s="33" t="s">
        <v>1792</v>
      </c>
      <c r="D1168" s="33" t="s">
        <v>1792</v>
      </c>
      <c r="E1168" s="33" t="s">
        <v>1730</v>
      </c>
      <c r="F1168" s="33" t="s">
        <v>1155</v>
      </c>
      <c r="G1168" s="33" t="s">
        <v>2150</v>
      </c>
      <c r="H1168" s="33" t="s">
        <v>2139</v>
      </c>
    </row>
    <row r="1169" spans="1:8" x14ac:dyDescent="0.25">
      <c r="A1169" s="32">
        <v>33063063487</v>
      </c>
      <c r="B1169" s="33" t="s">
        <v>1739</v>
      </c>
      <c r="C1169" s="33" t="s">
        <v>1792</v>
      </c>
      <c r="D1169" s="33" t="s">
        <v>1792</v>
      </c>
      <c r="E1169" s="33" t="s">
        <v>1730</v>
      </c>
      <c r="F1169" s="33" t="s">
        <v>1134</v>
      </c>
      <c r="G1169" s="33" t="s">
        <v>2150</v>
      </c>
      <c r="H1169" s="33" t="s">
        <v>2139</v>
      </c>
    </row>
    <row r="1170" spans="1:8" x14ac:dyDescent="0.25">
      <c r="A1170" s="32">
        <v>33063063488</v>
      </c>
      <c r="B1170" s="33" t="s">
        <v>1739</v>
      </c>
      <c r="C1170" s="33" t="s">
        <v>1792</v>
      </c>
      <c r="D1170" s="33" t="s">
        <v>1792</v>
      </c>
      <c r="E1170" s="33" t="s">
        <v>1730</v>
      </c>
      <c r="F1170" s="33" t="s">
        <v>1145</v>
      </c>
      <c r="G1170" s="33" t="s">
        <v>2150</v>
      </c>
      <c r="H1170" s="33" t="s">
        <v>2139</v>
      </c>
    </row>
    <row r="1171" spans="1:8" x14ac:dyDescent="0.25">
      <c r="A1171" s="32">
        <v>33063063489</v>
      </c>
      <c r="B1171" s="33" t="s">
        <v>1739</v>
      </c>
      <c r="C1171" s="33" t="s">
        <v>1792</v>
      </c>
      <c r="D1171" s="33" t="s">
        <v>1792</v>
      </c>
      <c r="E1171" s="33" t="s">
        <v>1730</v>
      </c>
      <c r="F1171" s="33" t="s">
        <v>1141</v>
      </c>
      <c r="G1171" s="33" t="s">
        <v>2150</v>
      </c>
      <c r="H1171" s="33" t="s">
        <v>2139</v>
      </c>
    </row>
    <row r="1172" spans="1:8" x14ac:dyDescent="0.25">
      <c r="A1172" s="32">
        <v>33063063490</v>
      </c>
      <c r="B1172" s="33" t="s">
        <v>1739</v>
      </c>
      <c r="C1172" s="33" t="s">
        <v>1792</v>
      </c>
      <c r="D1172" s="33" t="s">
        <v>1792</v>
      </c>
      <c r="E1172" s="33" t="s">
        <v>1730</v>
      </c>
      <c r="F1172" s="33" t="s">
        <v>1140</v>
      </c>
      <c r="G1172" s="33" t="s">
        <v>2150</v>
      </c>
      <c r="H1172" s="33" t="s">
        <v>2139</v>
      </c>
    </row>
    <row r="1173" spans="1:8" x14ac:dyDescent="0.25">
      <c r="A1173" s="32">
        <v>33063063491</v>
      </c>
      <c r="B1173" s="33" t="s">
        <v>1739</v>
      </c>
      <c r="C1173" s="33" t="s">
        <v>1792</v>
      </c>
      <c r="D1173" s="33" t="s">
        <v>1792</v>
      </c>
      <c r="E1173" s="33" t="s">
        <v>1730</v>
      </c>
      <c r="F1173" s="33" t="s">
        <v>1136</v>
      </c>
      <c r="G1173" s="33" t="s">
        <v>2150</v>
      </c>
      <c r="H1173" s="33" t="s">
        <v>2140</v>
      </c>
    </row>
    <row r="1174" spans="1:8" x14ac:dyDescent="0.25">
      <c r="A1174" s="32">
        <v>33063063492</v>
      </c>
      <c r="B1174" s="33" t="s">
        <v>1739</v>
      </c>
      <c r="C1174" s="33" t="s">
        <v>1792</v>
      </c>
      <c r="D1174" s="33" t="s">
        <v>1792</v>
      </c>
      <c r="E1174" s="33" t="s">
        <v>1730</v>
      </c>
      <c r="F1174" s="33" t="s">
        <v>1111</v>
      </c>
      <c r="G1174" s="33" t="s">
        <v>2150</v>
      </c>
      <c r="H1174" s="33" t="s">
        <v>2140</v>
      </c>
    </row>
    <row r="1175" spans="1:8" x14ac:dyDescent="0.25">
      <c r="A1175" s="32">
        <v>33063063493</v>
      </c>
      <c r="B1175" s="33" t="s">
        <v>1739</v>
      </c>
      <c r="C1175" s="33" t="s">
        <v>1792</v>
      </c>
      <c r="D1175" s="33" t="s">
        <v>1792</v>
      </c>
      <c r="E1175" s="33" t="s">
        <v>1730</v>
      </c>
      <c r="F1175" s="33" t="s">
        <v>1135</v>
      </c>
      <c r="G1175" s="33" t="s">
        <v>2150</v>
      </c>
      <c r="H1175" s="33" t="s">
        <v>2140</v>
      </c>
    </row>
    <row r="1176" spans="1:8" x14ac:dyDescent="0.25">
      <c r="A1176" s="32">
        <v>33063063494</v>
      </c>
      <c r="B1176" s="33" t="s">
        <v>1739</v>
      </c>
      <c r="C1176" s="33" t="s">
        <v>2156</v>
      </c>
      <c r="D1176" s="33" t="s">
        <v>2156</v>
      </c>
      <c r="E1176" s="33" t="s">
        <v>1730</v>
      </c>
      <c r="F1176" s="33" t="s">
        <v>1014</v>
      </c>
      <c r="G1176" s="33" t="s">
        <v>2150</v>
      </c>
      <c r="H1176" s="33" t="s">
        <v>2157</v>
      </c>
    </row>
    <row r="1177" spans="1:8" x14ac:dyDescent="0.25">
      <c r="A1177" s="32">
        <v>33063063495</v>
      </c>
      <c r="B1177" s="33" t="s">
        <v>1739</v>
      </c>
      <c r="C1177" s="33" t="s">
        <v>2156</v>
      </c>
      <c r="D1177" s="33" t="s">
        <v>2156</v>
      </c>
      <c r="E1177" s="33" t="s">
        <v>1730</v>
      </c>
      <c r="F1177" s="33" t="s">
        <v>994</v>
      </c>
      <c r="G1177" s="33" t="s">
        <v>2150</v>
      </c>
      <c r="H1177" s="33" t="s">
        <v>2157</v>
      </c>
    </row>
    <row r="1178" spans="1:8" x14ac:dyDescent="0.25">
      <c r="A1178" s="32">
        <v>33063063496</v>
      </c>
      <c r="B1178" s="33" t="s">
        <v>1739</v>
      </c>
      <c r="C1178" s="33" t="s">
        <v>2156</v>
      </c>
      <c r="D1178" s="33" t="s">
        <v>2156</v>
      </c>
      <c r="E1178" s="33" t="s">
        <v>1730</v>
      </c>
      <c r="F1178" s="33" t="s">
        <v>993</v>
      </c>
      <c r="G1178" s="33" t="s">
        <v>2150</v>
      </c>
      <c r="H1178" s="33" t="s">
        <v>2157</v>
      </c>
    </row>
    <row r="1179" spans="1:8" x14ac:dyDescent="0.25">
      <c r="A1179" s="32">
        <v>33063063497</v>
      </c>
      <c r="B1179" s="33" t="s">
        <v>1739</v>
      </c>
      <c r="C1179" s="33" t="s">
        <v>2156</v>
      </c>
      <c r="D1179" s="33" t="s">
        <v>2156</v>
      </c>
      <c r="E1179" s="33" t="s">
        <v>1730</v>
      </c>
      <c r="F1179" s="33" t="s">
        <v>1031</v>
      </c>
      <c r="G1179" s="33" t="s">
        <v>2150</v>
      </c>
      <c r="H1179" s="33" t="s">
        <v>2157</v>
      </c>
    </row>
    <row r="1180" spans="1:8" x14ac:dyDescent="0.25">
      <c r="A1180" s="32">
        <v>33063063498</v>
      </c>
      <c r="B1180" s="33" t="s">
        <v>1739</v>
      </c>
      <c r="C1180" s="33" t="s">
        <v>2156</v>
      </c>
      <c r="D1180" s="33" t="s">
        <v>2156</v>
      </c>
      <c r="E1180" s="33" t="s">
        <v>1730</v>
      </c>
      <c r="F1180" s="33" t="s">
        <v>1037</v>
      </c>
      <c r="G1180" s="33" t="s">
        <v>2150</v>
      </c>
      <c r="H1180" s="33" t="s">
        <v>2157</v>
      </c>
    </row>
    <row r="1181" spans="1:8" x14ac:dyDescent="0.25">
      <c r="A1181" s="32">
        <v>33063063499</v>
      </c>
      <c r="B1181" s="33" t="s">
        <v>1739</v>
      </c>
      <c r="C1181" s="33" t="s">
        <v>2156</v>
      </c>
      <c r="D1181" s="33" t="s">
        <v>2156</v>
      </c>
      <c r="E1181" s="33" t="s">
        <v>1730</v>
      </c>
      <c r="F1181" s="33" t="s">
        <v>1106</v>
      </c>
      <c r="G1181" s="33" t="s">
        <v>2150</v>
      </c>
      <c r="H1181" s="33" t="s">
        <v>2158</v>
      </c>
    </row>
    <row r="1182" spans="1:8" x14ac:dyDescent="0.25">
      <c r="A1182" s="32">
        <v>33063063500</v>
      </c>
      <c r="B1182" s="33" t="s">
        <v>1739</v>
      </c>
      <c r="C1182" s="33" t="s">
        <v>2156</v>
      </c>
      <c r="D1182" s="33" t="s">
        <v>2156</v>
      </c>
      <c r="E1182" s="33" t="s">
        <v>1730</v>
      </c>
      <c r="F1182" s="33" t="s">
        <v>1132</v>
      </c>
      <c r="G1182" s="33" t="s">
        <v>2150</v>
      </c>
      <c r="H1182" s="33" t="s">
        <v>2158</v>
      </c>
    </row>
    <row r="1183" spans="1:8" x14ac:dyDescent="0.25">
      <c r="A1183" s="32">
        <v>33063063501</v>
      </c>
      <c r="B1183" s="33" t="s">
        <v>1739</v>
      </c>
      <c r="C1183" s="33" t="s">
        <v>2156</v>
      </c>
      <c r="D1183" s="33" t="s">
        <v>2156</v>
      </c>
      <c r="E1183" s="33" t="s">
        <v>1730</v>
      </c>
      <c r="F1183" s="33" t="s">
        <v>1185</v>
      </c>
      <c r="G1183" s="33" t="s">
        <v>2150</v>
      </c>
      <c r="H1183" s="33" t="s">
        <v>2158</v>
      </c>
    </row>
    <row r="1184" spans="1:8" x14ac:dyDescent="0.25">
      <c r="A1184" s="32">
        <v>33063063502</v>
      </c>
      <c r="B1184" s="33" t="s">
        <v>1739</v>
      </c>
      <c r="C1184" s="33" t="s">
        <v>2134</v>
      </c>
      <c r="D1184" s="33" t="s">
        <v>2134</v>
      </c>
      <c r="E1184" s="33" t="s">
        <v>1730</v>
      </c>
      <c r="F1184" s="33" t="s">
        <v>1089</v>
      </c>
      <c r="G1184" s="33" t="s">
        <v>2150</v>
      </c>
      <c r="H1184" s="33" t="s">
        <v>2135</v>
      </c>
    </row>
    <row r="1185" spans="1:8" x14ac:dyDescent="0.25">
      <c r="A1185" s="32">
        <v>33063063503</v>
      </c>
      <c r="B1185" s="33" t="s">
        <v>1739</v>
      </c>
      <c r="C1185" s="33" t="s">
        <v>2134</v>
      </c>
      <c r="D1185" s="33" t="s">
        <v>2134</v>
      </c>
      <c r="E1185" s="33" t="s">
        <v>1730</v>
      </c>
      <c r="F1185" s="33" t="s">
        <v>1034</v>
      </c>
      <c r="G1185" s="33" t="s">
        <v>2150</v>
      </c>
      <c r="H1185" s="33" t="s">
        <v>2135</v>
      </c>
    </row>
    <row r="1186" spans="1:8" x14ac:dyDescent="0.25">
      <c r="A1186" s="32">
        <v>33063063504</v>
      </c>
      <c r="B1186" s="33" t="s">
        <v>1739</v>
      </c>
      <c r="C1186" s="33" t="s">
        <v>2134</v>
      </c>
      <c r="D1186" s="33" t="s">
        <v>2134</v>
      </c>
      <c r="E1186" s="33" t="s">
        <v>1730</v>
      </c>
      <c r="F1186" s="33" t="s">
        <v>1099</v>
      </c>
      <c r="G1186" s="33" t="s">
        <v>2150</v>
      </c>
      <c r="H1186" s="33" t="s">
        <v>2135</v>
      </c>
    </row>
    <row r="1187" spans="1:8" x14ac:dyDescent="0.25">
      <c r="A1187" s="32">
        <v>33063063505</v>
      </c>
      <c r="B1187" s="33" t="s">
        <v>1739</v>
      </c>
      <c r="C1187" s="33" t="s">
        <v>2134</v>
      </c>
      <c r="D1187" s="33" t="s">
        <v>2134</v>
      </c>
      <c r="E1187" s="33" t="s">
        <v>1730</v>
      </c>
      <c r="F1187" s="33" t="s">
        <v>1096</v>
      </c>
      <c r="G1187" s="33" t="s">
        <v>2150</v>
      </c>
      <c r="H1187" s="33" t="s">
        <v>2137</v>
      </c>
    </row>
    <row r="1188" spans="1:8" x14ac:dyDescent="0.25">
      <c r="A1188" s="32">
        <v>33063063506</v>
      </c>
      <c r="B1188" s="33" t="s">
        <v>1739</v>
      </c>
      <c r="C1188" s="33" t="s">
        <v>2134</v>
      </c>
      <c r="D1188" s="33" t="s">
        <v>2134</v>
      </c>
      <c r="E1188" s="33" t="s">
        <v>1730</v>
      </c>
      <c r="F1188" s="33" t="s">
        <v>1114</v>
      </c>
      <c r="G1188" s="33" t="s">
        <v>2150</v>
      </c>
      <c r="H1188" s="33" t="s">
        <v>2137</v>
      </c>
    </row>
    <row r="1189" spans="1:8" x14ac:dyDescent="0.25">
      <c r="A1189" s="31">
        <v>33063063507</v>
      </c>
      <c r="B1189" s="1" t="s">
        <v>1739</v>
      </c>
      <c r="C1189" s="1" t="s">
        <v>2134</v>
      </c>
      <c r="D1189" s="1" t="s">
        <v>2134</v>
      </c>
      <c r="E1189" s="1" t="s">
        <v>1730</v>
      </c>
      <c r="F1189" s="1" t="s">
        <v>1058</v>
      </c>
      <c r="G1189" s="1" t="s">
        <v>2150</v>
      </c>
      <c r="H1189" s="1" t="s">
        <v>2137</v>
      </c>
    </row>
    <row r="1190" spans="1:8" x14ac:dyDescent="0.25">
      <c r="A1190" s="31">
        <v>33063063508</v>
      </c>
      <c r="B1190" s="1" t="s">
        <v>1739</v>
      </c>
      <c r="C1190" s="1" t="s">
        <v>2134</v>
      </c>
      <c r="D1190" s="1" t="s">
        <v>2134</v>
      </c>
      <c r="E1190" s="1" t="s">
        <v>1730</v>
      </c>
      <c r="F1190" s="1" t="s">
        <v>1193</v>
      </c>
      <c r="G1190" s="1" t="s">
        <v>2150</v>
      </c>
      <c r="H1190" s="1" t="s">
        <v>2136</v>
      </c>
    </row>
    <row r="1191" spans="1:8" x14ac:dyDescent="0.25">
      <c r="A1191" s="31">
        <v>33063063509</v>
      </c>
      <c r="B1191" s="1" t="s">
        <v>1739</v>
      </c>
      <c r="C1191" s="1" t="s">
        <v>2134</v>
      </c>
      <c r="D1191" s="1" t="s">
        <v>2134</v>
      </c>
      <c r="E1191" s="1" t="s">
        <v>1730</v>
      </c>
      <c r="F1191" s="1" t="s">
        <v>1070</v>
      </c>
      <c r="G1191" s="1" t="s">
        <v>2150</v>
      </c>
      <c r="H1191" s="1" t="s">
        <v>2136</v>
      </c>
    </row>
    <row r="1192" spans="1:8" x14ac:dyDescent="0.25">
      <c r="A1192" s="31">
        <v>33063063510</v>
      </c>
      <c r="B1192" s="1" t="s">
        <v>1739</v>
      </c>
      <c r="C1192" s="1" t="s">
        <v>2134</v>
      </c>
      <c r="D1192" s="1" t="s">
        <v>2134</v>
      </c>
      <c r="E1192" s="1" t="s">
        <v>1730</v>
      </c>
      <c r="F1192" s="1" t="s">
        <v>1166</v>
      </c>
      <c r="G1192" s="1" t="s">
        <v>2150</v>
      </c>
      <c r="H1192" s="1" t="s">
        <v>2136</v>
      </c>
    </row>
    <row r="1193" spans="1:8" x14ac:dyDescent="0.25">
      <c r="A1193" s="31">
        <v>33063063511</v>
      </c>
      <c r="B1193" s="1" t="s">
        <v>1739</v>
      </c>
      <c r="C1193" s="1" t="s">
        <v>2134</v>
      </c>
      <c r="D1193" s="1" t="s">
        <v>2134</v>
      </c>
      <c r="E1193" s="1" t="s">
        <v>1730</v>
      </c>
      <c r="F1193" s="1" t="s">
        <v>1116</v>
      </c>
      <c r="G1193" s="1" t="s">
        <v>2150</v>
      </c>
      <c r="H1193" s="1" t="s">
        <v>2138</v>
      </c>
    </row>
    <row r="1194" spans="1:8" x14ac:dyDescent="0.25">
      <c r="A1194" s="31">
        <v>33063063512</v>
      </c>
      <c r="B1194" s="1" t="s">
        <v>1739</v>
      </c>
      <c r="C1194" s="1" t="s">
        <v>2134</v>
      </c>
      <c r="D1194" s="1" t="s">
        <v>2134</v>
      </c>
      <c r="E1194" s="1" t="s">
        <v>1730</v>
      </c>
      <c r="F1194" s="1" t="s">
        <v>1054</v>
      </c>
      <c r="G1194" s="1" t="s">
        <v>2150</v>
      </c>
      <c r="H1194" s="1" t="s">
        <v>2138</v>
      </c>
    </row>
    <row r="1195" spans="1:8" x14ac:dyDescent="0.25">
      <c r="A1195" s="31">
        <v>33063063513</v>
      </c>
      <c r="B1195" s="1" t="s">
        <v>1739</v>
      </c>
      <c r="C1195" s="1" t="s">
        <v>2134</v>
      </c>
      <c r="D1195" s="1" t="s">
        <v>2134</v>
      </c>
      <c r="E1195" s="1" t="s">
        <v>1730</v>
      </c>
      <c r="F1195" s="1" t="s">
        <v>1082</v>
      </c>
      <c r="G1195" s="1" t="s">
        <v>2150</v>
      </c>
      <c r="H1195" s="1" t="s">
        <v>2138</v>
      </c>
    </row>
    <row r="1196" spans="1:8" x14ac:dyDescent="0.25">
      <c r="A1196" s="31">
        <v>33063063514</v>
      </c>
      <c r="B1196" s="1" t="s">
        <v>1739</v>
      </c>
      <c r="C1196" s="1" t="s">
        <v>2141</v>
      </c>
      <c r="D1196" s="1" t="s">
        <v>2141</v>
      </c>
      <c r="E1196" s="1" t="s">
        <v>1730</v>
      </c>
      <c r="F1196" s="1" t="s">
        <v>1086</v>
      </c>
      <c r="G1196" s="1" t="s">
        <v>2150</v>
      </c>
      <c r="H1196" s="1" t="s">
        <v>2142</v>
      </c>
    </row>
    <row r="1197" spans="1:8" x14ac:dyDescent="0.25">
      <c r="A1197" s="31">
        <v>33063063515</v>
      </c>
      <c r="B1197" s="1" t="s">
        <v>1739</v>
      </c>
      <c r="C1197" s="1" t="s">
        <v>2141</v>
      </c>
      <c r="D1197" s="1" t="s">
        <v>2141</v>
      </c>
      <c r="E1197" s="1" t="s">
        <v>1730</v>
      </c>
      <c r="F1197" s="1" t="s">
        <v>461</v>
      </c>
      <c r="G1197" s="1" t="s">
        <v>2150</v>
      </c>
      <c r="H1197" s="1" t="s">
        <v>2142</v>
      </c>
    </row>
    <row r="1198" spans="1:8" x14ac:dyDescent="0.25">
      <c r="A1198" s="31">
        <v>33063063516</v>
      </c>
      <c r="B1198" s="1" t="s">
        <v>1739</v>
      </c>
      <c r="C1198" s="1" t="s">
        <v>2141</v>
      </c>
      <c r="D1198" s="1" t="s">
        <v>2141</v>
      </c>
      <c r="E1198" s="1" t="s">
        <v>1730</v>
      </c>
      <c r="F1198" s="1" t="s">
        <v>1063</v>
      </c>
      <c r="G1198" s="1" t="s">
        <v>2150</v>
      </c>
      <c r="H1198" s="1" t="s">
        <v>2142</v>
      </c>
    </row>
    <row r="1199" spans="1:8" x14ac:dyDescent="0.25">
      <c r="A1199" s="31">
        <v>33063063517</v>
      </c>
      <c r="B1199" s="1" t="s">
        <v>1739</v>
      </c>
      <c r="C1199" s="1" t="s">
        <v>2141</v>
      </c>
      <c r="D1199" s="1" t="s">
        <v>2141</v>
      </c>
      <c r="E1199" s="1" t="s">
        <v>1730</v>
      </c>
      <c r="F1199" s="1" t="s">
        <v>462</v>
      </c>
      <c r="G1199" s="1" t="s">
        <v>2150</v>
      </c>
      <c r="H1199" s="1" t="s">
        <v>2142</v>
      </c>
    </row>
    <row r="1200" spans="1:8" x14ac:dyDescent="0.25">
      <c r="A1200" s="31">
        <v>33063063518</v>
      </c>
      <c r="B1200" s="1" t="s">
        <v>1739</v>
      </c>
      <c r="C1200" s="1" t="s">
        <v>2141</v>
      </c>
      <c r="D1200" s="1" t="s">
        <v>2141</v>
      </c>
      <c r="E1200" s="1" t="s">
        <v>1730</v>
      </c>
      <c r="F1200" s="1" t="s">
        <v>463</v>
      </c>
      <c r="G1200" s="1" t="s">
        <v>2150</v>
      </c>
      <c r="H1200" s="1" t="s">
        <v>2142</v>
      </c>
    </row>
    <row r="1201" spans="1:8" x14ac:dyDescent="0.25">
      <c r="A1201" s="31">
        <v>33063063519</v>
      </c>
      <c r="B1201" s="1" t="s">
        <v>1739</v>
      </c>
      <c r="C1201" s="1" t="s">
        <v>2141</v>
      </c>
      <c r="D1201" s="1" t="s">
        <v>2141</v>
      </c>
      <c r="E1201" s="1" t="s">
        <v>1730</v>
      </c>
      <c r="F1201" s="1" t="s">
        <v>1180</v>
      </c>
      <c r="G1201" s="1" t="s">
        <v>2150</v>
      </c>
      <c r="H1201" s="1" t="s">
        <v>2143</v>
      </c>
    </row>
    <row r="1202" spans="1:8" x14ac:dyDescent="0.25">
      <c r="A1202" s="31">
        <v>33063063520</v>
      </c>
      <c r="B1202" s="1" t="s">
        <v>1739</v>
      </c>
      <c r="C1202" s="1" t="s">
        <v>2141</v>
      </c>
      <c r="D1202" s="1" t="s">
        <v>2141</v>
      </c>
      <c r="E1202" s="1" t="s">
        <v>1730</v>
      </c>
      <c r="F1202" s="1" t="s">
        <v>1092</v>
      </c>
      <c r="G1202" s="1" t="s">
        <v>2150</v>
      </c>
      <c r="H1202" s="1" t="s">
        <v>2143</v>
      </c>
    </row>
    <row r="1203" spans="1:8" x14ac:dyDescent="0.25">
      <c r="A1203" s="31">
        <v>33063063521</v>
      </c>
      <c r="B1203" s="1" t="s">
        <v>1739</v>
      </c>
      <c r="C1203" s="1" t="s">
        <v>2141</v>
      </c>
      <c r="D1203" s="1" t="s">
        <v>2141</v>
      </c>
      <c r="E1203" s="1" t="s">
        <v>1730</v>
      </c>
      <c r="F1203" s="1" t="s">
        <v>1144</v>
      </c>
      <c r="G1203" s="1" t="s">
        <v>2150</v>
      </c>
      <c r="H1203" s="1" t="s">
        <v>2143</v>
      </c>
    </row>
    <row r="1204" spans="1:8" x14ac:dyDescent="0.25">
      <c r="A1204" s="31">
        <v>33063063522</v>
      </c>
      <c r="B1204" s="1" t="s">
        <v>1739</v>
      </c>
      <c r="C1204" s="1" t="s">
        <v>2144</v>
      </c>
      <c r="D1204" s="1" t="s">
        <v>2144</v>
      </c>
      <c r="E1204" s="1" t="s">
        <v>1730</v>
      </c>
      <c r="F1204" s="1" t="s">
        <v>1101</v>
      </c>
      <c r="G1204" s="1" t="s">
        <v>2150</v>
      </c>
      <c r="H1204" s="1" t="s">
        <v>2145</v>
      </c>
    </row>
    <row r="1205" spans="1:8" x14ac:dyDescent="0.25">
      <c r="A1205" s="31">
        <v>33063063523</v>
      </c>
      <c r="B1205" s="1" t="s">
        <v>1739</v>
      </c>
      <c r="C1205" s="1" t="s">
        <v>2144</v>
      </c>
      <c r="D1205" s="1" t="s">
        <v>2144</v>
      </c>
      <c r="E1205" s="1" t="s">
        <v>1730</v>
      </c>
      <c r="F1205" s="1" t="s">
        <v>1087</v>
      </c>
      <c r="G1205" s="1" t="s">
        <v>2150</v>
      </c>
      <c r="H1205" s="1" t="s">
        <v>2145</v>
      </c>
    </row>
    <row r="1206" spans="1:8" x14ac:dyDescent="0.25">
      <c r="A1206" s="31">
        <v>33063063524</v>
      </c>
      <c r="B1206" s="1" t="s">
        <v>1739</v>
      </c>
      <c r="C1206" s="1" t="s">
        <v>2144</v>
      </c>
      <c r="D1206" s="1" t="s">
        <v>2144</v>
      </c>
      <c r="E1206" s="1" t="s">
        <v>1730</v>
      </c>
      <c r="F1206" s="1" t="s">
        <v>1088</v>
      </c>
      <c r="G1206" s="1" t="s">
        <v>2150</v>
      </c>
      <c r="H1206" s="1" t="s">
        <v>2145</v>
      </c>
    </row>
    <row r="1207" spans="1:8" x14ac:dyDescent="0.25">
      <c r="A1207" s="31">
        <v>33063063525</v>
      </c>
      <c r="B1207" s="1" t="s">
        <v>1739</v>
      </c>
      <c r="E1207" s="1" t="s">
        <v>1730</v>
      </c>
      <c r="F1207" s="1" t="s">
        <v>1534</v>
      </c>
      <c r="G1207" s="1" t="s">
        <v>2871</v>
      </c>
      <c r="H1207" s="1" t="s">
        <v>1534</v>
      </c>
    </row>
    <row r="1208" spans="1:8" x14ac:dyDescent="0.25">
      <c r="A1208" s="31">
        <v>33063063526</v>
      </c>
      <c r="B1208" s="1" t="s">
        <v>1739</v>
      </c>
      <c r="E1208" s="1" t="s">
        <v>1730</v>
      </c>
      <c r="F1208" s="1" t="s">
        <v>1535</v>
      </c>
      <c r="G1208" s="1" t="s">
        <v>2871</v>
      </c>
      <c r="H1208" s="1" t="s">
        <v>1535</v>
      </c>
    </row>
    <row r="1209" spans="1:8" x14ac:dyDescent="0.25">
      <c r="A1209" s="31">
        <v>33063063586</v>
      </c>
      <c r="B1209" s="1" t="s">
        <v>1739</v>
      </c>
      <c r="E1209" s="1" t="s">
        <v>1730</v>
      </c>
      <c r="F1209" s="1" t="s">
        <v>1543</v>
      </c>
      <c r="G1209" s="1" t="s">
        <v>2871</v>
      </c>
      <c r="H1209" s="1" t="s">
        <v>1543</v>
      </c>
    </row>
    <row r="1210" spans="1:8" x14ac:dyDescent="0.25">
      <c r="A1210" s="31">
        <v>33063063587</v>
      </c>
      <c r="B1210" s="1" t="s">
        <v>1739</v>
      </c>
      <c r="E1210" s="1" t="s">
        <v>1730</v>
      </c>
      <c r="F1210" s="1" t="s">
        <v>1544</v>
      </c>
      <c r="G1210" s="1" t="s">
        <v>2871</v>
      </c>
      <c r="H1210" s="1" t="s">
        <v>1544</v>
      </c>
    </row>
    <row r="1211" spans="1:8" x14ac:dyDescent="0.25">
      <c r="A1211" s="31">
        <v>33063063588</v>
      </c>
      <c r="B1211" s="1" t="s">
        <v>1739</v>
      </c>
      <c r="E1211" s="1" t="s">
        <v>1730</v>
      </c>
      <c r="F1211" s="1" t="s">
        <v>1545</v>
      </c>
      <c r="G1211" s="1" t="s">
        <v>2871</v>
      </c>
      <c r="H1211" s="1" t="s">
        <v>1545</v>
      </c>
    </row>
    <row r="1212" spans="1:8" x14ac:dyDescent="0.25">
      <c r="A1212" s="31">
        <v>33063063589</v>
      </c>
      <c r="B1212" s="1" t="s">
        <v>1739</v>
      </c>
      <c r="E1212" s="1" t="s">
        <v>1730</v>
      </c>
      <c r="F1212" s="1" t="s">
        <v>1546</v>
      </c>
      <c r="G1212" s="1" t="s">
        <v>2871</v>
      </c>
      <c r="H1212" s="1" t="s">
        <v>1546</v>
      </c>
    </row>
    <row r="1213" spans="1:8" x14ac:dyDescent="0.25">
      <c r="A1213" s="31">
        <v>33063063590</v>
      </c>
      <c r="B1213" s="1" t="s">
        <v>1739</v>
      </c>
      <c r="E1213" s="1" t="s">
        <v>1730</v>
      </c>
      <c r="F1213" s="1" t="s">
        <v>1547</v>
      </c>
      <c r="G1213" s="1" t="s">
        <v>2871</v>
      </c>
      <c r="H1213" s="1" t="s">
        <v>1547</v>
      </c>
    </row>
    <row r="1214" spans="1:8" x14ac:dyDescent="0.25">
      <c r="A1214" s="31">
        <v>33063063591</v>
      </c>
      <c r="B1214" s="1" t="s">
        <v>1739</v>
      </c>
      <c r="E1214" s="1" t="s">
        <v>1730</v>
      </c>
      <c r="F1214" s="1" t="s">
        <v>1548</v>
      </c>
      <c r="G1214" s="1" t="s">
        <v>2871</v>
      </c>
      <c r="H1214" s="1" t="s">
        <v>1548</v>
      </c>
    </row>
    <row r="1215" spans="1:8" x14ac:dyDescent="0.25">
      <c r="A1215" s="31">
        <v>33063063592</v>
      </c>
      <c r="B1215" s="1" t="s">
        <v>1739</v>
      </c>
      <c r="E1215" s="1" t="s">
        <v>1730</v>
      </c>
      <c r="F1215" s="1" t="s">
        <v>1549</v>
      </c>
      <c r="G1215" s="1" t="s">
        <v>2871</v>
      </c>
      <c r="H1215" s="1" t="s">
        <v>1549</v>
      </c>
    </row>
    <row r="1216" spans="1:8" x14ac:dyDescent="0.25">
      <c r="A1216" s="31">
        <v>33063063593</v>
      </c>
      <c r="B1216" s="1" t="s">
        <v>1739</v>
      </c>
      <c r="E1216" s="1" t="s">
        <v>1730</v>
      </c>
      <c r="F1216" s="1" t="s">
        <v>1550</v>
      </c>
      <c r="G1216" s="1" t="s">
        <v>2871</v>
      </c>
      <c r="H1216" s="1" t="s">
        <v>1550</v>
      </c>
    </row>
    <row r="1217" spans="1:8" x14ac:dyDescent="0.25">
      <c r="A1217" s="32">
        <v>33063063594</v>
      </c>
      <c r="B1217" s="33" t="s">
        <v>1739</v>
      </c>
      <c r="C1217" s="33"/>
      <c r="D1217" s="33"/>
      <c r="E1217" s="33" t="s">
        <v>1730</v>
      </c>
      <c r="F1217" s="33" t="s">
        <v>1551</v>
      </c>
      <c r="G1217" s="33" t="s">
        <v>2871</v>
      </c>
      <c r="H1217" s="33" t="s">
        <v>1551</v>
      </c>
    </row>
    <row r="1218" spans="1:8" x14ac:dyDescent="0.25">
      <c r="A1218" s="32">
        <v>33063063595</v>
      </c>
      <c r="B1218" s="33" t="s">
        <v>1739</v>
      </c>
      <c r="C1218" s="33"/>
      <c r="D1218" s="33"/>
      <c r="E1218" s="33" t="s">
        <v>1730</v>
      </c>
      <c r="F1218" s="33" t="s">
        <v>1552</v>
      </c>
      <c r="G1218" s="33" t="s">
        <v>2871</v>
      </c>
      <c r="H1218" s="33" t="s">
        <v>1552</v>
      </c>
    </row>
    <row r="1219" spans="1:8" x14ac:dyDescent="0.25">
      <c r="A1219" s="32">
        <v>33063063596</v>
      </c>
      <c r="B1219" s="33" t="s">
        <v>1739</v>
      </c>
      <c r="C1219" s="33"/>
      <c r="D1219" s="33"/>
      <c r="E1219" s="33" t="s">
        <v>1730</v>
      </c>
      <c r="F1219" s="33" t="s">
        <v>1553</v>
      </c>
      <c r="G1219" s="33" t="s">
        <v>2871</v>
      </c>
      <c r="H1219" s="33" t="s">
        <v>1553</v>
      </c>
    </row>
    <row r="1220" spans="1:8" x14ac:dyDescent="0.25">
      <c r="A1220" s="32">
        <v>33063063597</v>
      </c>
      <c r="B1220" s="33" t="s">
        <v>1739</v>
      </c>
      <c r="C1220" s="33"/>
      <c r="D1220" s="33"/>
      <c r="E1220" s="33" t="s">
        <v>1730</v>
      </c>
      <c r="F1220" s="33" t="s">
        <v>1554</v>
      </c>
      <c r="G1220" s="33" t="s">
        <v>2871</v>
      </c>
      <c r="H1220" s="33" t="s">
        <v>1554</v>
      </c>
    </row>
    <row r="1221" spans="1:8" x14ac:dyDescent="0.25">
      <c r="A1221" s="32">
        <v>33063063598</v>
      </c>
      <c r="B1221" s="33" t="s">
        <v>1739</v>
      </c>
      <c r="C1221" s="33"/>
      <c r="D1221" s="33"/>
      <c r="E1221" s="33" t="s">
        <v>1730</v>
      </c>
      <c r="F1221" s="33" t="s">
        <v>1555</v>
      </c>
      <c r="G1221" s="33" t="s">
        <v>2871</v>
      </c>
      <c r="H1221" s="33" t="s">
        <v>1555</v>
      </c>
    </row>
    <row r="1222" spans="1:8" x14ac:dyDescent="0.25">
      <c r="A1222" s="32">
        <v>33063063599</v>
      </c>
      <c r="B1222" s="33" t="s">
        <v>1739</v>
      </c>
      <c r="C1222" s="33"/>
      <c r="D1222" s="33"/>
      <c r="E1222" s="33" t="s">
        <v>1730</v>
      </c>
      <c r="F1222" s="33" t="s">
        <v>1556</v>
      </c>
      <c r="G1222" s="33" t="s">
        <v>2871</v>
      </c>
      <c r="H1222" s="33" t="s">
        <v>1556</v>
      </c>
    </row>
    <row r="1223" spans="1:8" x14ac:dyDescent="0.25">
      <c r="A1223" s="32">
        <v>33063063600</v>
      </c>
      <c r="B1223" s="33" t="s">
        <v>1739</v>
      </c>
      <c r="C1223" s="33"/>
      <c r="D1223" s="33"/>
      <c r="E1223" s="33" t="s">
        <v>1730</v>
      </c>
      <c r="F1223" s="33" t="s">
        <v>1557</v>
      </c>
      <c r="G1223" s="33" t="s">
        <v>2871</v>
      </c>
      <c r="H1223" s="33" t="s">
        <v>1557</v>
      </c>
    </row>
    <row r="1224" spans="1:8" x14ac:dyDescent="0.25">
      <c r="A1224" s="32">
        <v>33063063601</v>
      </c>
      <c r="B1224" s="33" t="s">
        <v>1739</v>
      </c>
      <c r="C1224" s="33"/>
      <c r="D1224" s="33"/>
      <c r="E1224" s="33" t="s">
        <v>1730</v>
      </c>
      <c r="F1224" s="33" t="s">
        <v>1558</v>
      </c>
      <c r="G1224" s="33" t="s">
        <v>2871</v>
      </c>
      <c r="H1224" s="33" t="s">
        <v>1558</v>
      </c>
    </row>
    <row r="1225" spans="1:8" x14ac:dyDescent="0.25">
      <c r="A1225" s="31">
        <v>33063063602</v>
      </c>
      <c r="B1225" s="1" t="s">
        <v>1739</v>
      </c>
      <c r="E1225" s="1" t="s">
        <v>1730</v>
      </c>
      <c r="F1225" s="1" t="s">
        <v>1559</v>
      </c>
      <c r="G1225" s="1" t="s">
        <v>2871</v>
      </c>
      <c r="H1225" s="1" t="s">
        <v>1559</v>
      </c>
    </row>
    <row r="1226" spans="1:8" x14ac:dyDescent="0.25">
      <c r="A1226" s="31">
        <v>33063063603</v>
      </c>
      <c r="B1226" s="1" t="s">
        <v>1739</v>
      </c>
      <c r="C1226" s="1" t="s">
        <v>2151</v>
      </c>
      <c r="D1226" s="1" t="s">
        <v>2151</v>
      </c>
      <c r="E1226" s="1" t="s">
        <v>1730</v>
      </c>
      <c r="F1226" s="1" t="s">
        <v>1560</v>
      </c>
      <c r="G1226" s="1" t="s">
        <v>2871</v>
      </c>
      <c r="H1226" s="1" t="s">
        <v>1560</v>
      </c>
    </row>
    <row r="1227" spans="1:8" x14ac:dyDescent="0.25">
      <c r="A1227" s="31">
        <v>33063063604</v>
      </c>
      <c r="B1227" s="1" t="s">
        <v>1739</v>
      </c>
      <c r="C1227" s="1" t="s">
        <v>2151</v>
      </c>
      <c r="D1227" s="1" t="s">
        <v>2151</v>
      </c>
      <c r="E1227" s="1" t="s">
        <v>1730</v>
      </c>
      <c r="F1227" s="1" t="s">
        <v>1561</v>
      </c>
      <c r="G1227" s="1" t="s">
        <v>2871</v>
      </c>
      <c r="H1227" s="1" t="s">
        <v>1561</v>
      </c>
    </row>
    <row r="1228" spans="1:8" x14ac:dyDescent="0.25">
      <c r="A1228" s="31">
        <v>33063063605</v>
      </c>
      <c r="B1228" s="1" t="s">
        <v>1739</v>
      </c>
      <c r="C1228" s="1" t="s">
        <v>2156</v>
      </c>
      <c r="D1228" s="1" t="s">
        <v>2156</v>
      </c>
      <c r="E1228" s="1" t="s">
        <v>1730</v>
      </c>
      <c r="F1228" s="1" t="s">
        <v>1562</v>
      </c>
      <c r="G1228" s="1" t="s">
        <v>2871</v>
      </c>
      <c r="H1228" s="1" t="s">
        <v>1562</v>
      </c>
    </row>
    <row r="1229" spans="1:8" x14ac:dyDescent="0.25">
      <c r="A1229" s="32">
        <v>33063063606</v>
      </c>
      <c r="B1229" s="33" t="s">
        <v>1739</v>
      </c>
      <c r="C1229" s="33"/>
      <c r="D1229" s="33"/>
      <c r="E1229" s="33" t="s">
        <v>1730</v>
      </c>
      <c r="F1229" s="33" t="s">
        <v>1563</v>
      </c>
      <c r="G1229" s="33" t="s">
        <v>2871</v>
      </c>
      <c r="H1229" s="33" t="s">
        <v>1563</v>
      </c>
    </row>
    <row r="1230" spans="1:8" x14ac:dyDescent="0.25">
      <c r="A1230" s="32">
        <v>33063063607</v>
      </c>
      <c r="B1230" s="33" t="s">
        <v>1739</v>
      </c>
      <c r="C1230" s="33"/>
      <c r="D1230" s="33"/>
      <c r="E1230" s="33" t="s">
        <v>1730</v>
      </c>
      <c r="F1230" s="33" t="s">
        <v>1564</v>
      </c>
      <c r="G1230" s="33" t="s">
        <v>2871</v>
      </c>
      <c r="H1230" s="33" t="s">
        <v>1564</v>
      </c>
    </row>
    <row r="1231" spans="1:8" x14ac:dyDescent="0.25">
      <c r="A1231" s="32">
        <v>33063063626</v>
      </c>
      <c r="B1231" s="33" t="s">
        <v>1791</v>
      </c>
      <c r="C1231" s="33"/>
      <c r="D1231" s="33"/>
      <c r="E1231" s="33" t="s">
        <v>1730</v>
      </c>
      <c r="F1231" s="33" t="s">
        <v>1583</v>
      </c>
      <c r="G1231" s="33" t="s">
        <v>2871</v>
      </c>
      <c r="H1231" s="33" t="s">
        <v>1583</v>
      </c>
    </row>
    <row r="1232" spans="1:8" x14ac:dyDescent="0.25">
      <c r="A1232" s="32">
        <v>33063063627</v>
      </c>
      <c r="B1232" s="33" t="s">
        <v>1791</v>
      </c>
      <c r="C1232" s="33"/>
      <c r="D1232" s="33"/>
      <c r="E1232" s="33" t="s">
        <v>1730</v>
      </c>
      <c r="F1232" s="33" t="s">
        <v>1584</v>
      </c>
      <c r="G1232" s="33" t="s">
        <v>2871</v>
      </c>
      <c r="H1232" s="33" t="s">
        <v>1584</v>
      </c>
    </row>
    <row r="1233" spans="1:8" x14ac:dyDescent="0.25">
      <c r="A1233" s="32">
        <v>33063063628</v>
      </c>
      <c r="B1233" s="33" t="s">
        <v>1791</v>
      </c>
      <c r="C1233" s="33"/>
      <c r="D1233" s="33"/>
      <c r="E1233" s="33" t="s">
        <v>1730</v>
      </c>
      <c r="F1233" s="33" t="s">
        <v>1585</v>
      </c>
      <c r="G1233" s="33" t="s">
        <v>2871</v>
      </c>
      <c r="H1233" s="33" t="s">
        <v>1585</v>
      </c>
    </row>
    <row r="1234" spans="1:8" x14ac:dyDescent="0.25">
      <c r="A1234" s="32">
        <v>33063063629</v>
      </c>
      <c r="B1234" s="33" t="s">
        <v>1791</v>
      </c>
      <c r="C1234" s="33"/>
      <c r="D1234" s="33"/>
      <c r="E1234" s="33" t="s">
        <v>1730</v>
      </c>
      <c r="F1234" s="33" t="s">
        <v>1586</v>
      </c>
      <c r="G1234" s="33" t="s">
        <v>2871</v>
      </c>
      <c r="H1234" s="33" t="s">
        <v>1586</v>
      </c>
    </row>
    <row r="1235" spans="1:8" x14ac:dyDescent="0.25">
      <c r="A1235" s="32">
        <v>33063063630</v>
      </c>
      <c r="B1235" s="33" t="s">
        <v>1791</v>
      </c>
      <c r="C1235" s="33"/>
      <c r="D1235" s="33"/>
      <c r="E1235" s="33" t="s">
        <v>1730</v>
      </c>
      <c r="F1235" s="33" t="s">
        <v>1587</v>
      </c>
      <c r="G1235" s="33" t="s">
        <v>2871</v>
      </c>
      <c r="H1235" s="33" t="s">
        <v>1587</v>
      </c>
    </row>
    <row r="1236" spans="1:8" x14ac:dyDescent="0.25">
      <c r="A1236" s="32">
        <v>33063063631</v>
      </c>
      <c r="B1236" s="33" t="s">
        <v>1791</v>
      </c>
      <c r="C1236" s="33"/>
      <c r="D1236" s="33"/>
      <c r="E1236" s="33" t="s">
        <v>1730</v>
      </c>
      <c r="F1236" s="33" t="s">
        <v>1588</v>
      </c>
      <c r="G1236" s="33" t="s">
        <v>2871</v>
      </c>
      <c r="H1236" s="33" t="s">
        <v>1588</v>
      </c>
    </row>
    <row r="1237" spans="1:8" x14ac:dyDescent="0.25">
      <c r="A1237" s="32">
        <v>33063063632</v>
      </c>
      <c r="B1237" s="33" t="s">
        <v>1791</v>
      </c>
      <c r="C1237" s="33"/>
      <c r="D1237" s="33"/>
      <c r="E1237" s="33" t="s">
        <v>1730</v>
      </c>
      <c r="F1237" s="33" t="s">
        <v>1589</v>
      </c>
      <c r="G1237" s="33" t="s">
        <v>2871</v>
      </c>
      <c r="H1237" s="33" t="s">
        <v>1589</v>
      </c>
    </row>
    <row r="1238" spans="1:8" x14ac:dyDescent="0.25">
      <c r="A1238" s="32">
        <v>33063063633</v>
      </c>
      <c r="B1238" s="33" t="s">
        <v>1791</v>
      </c>
      <c r="C1238" s="33"/>
      <c r="D1238" s="33"/>
      <c r="E1238" s="33" t="s">
        <v>1730</v>
      </c>
      <c r="F1238" s="33" t="s">
        <v>1590</v>
      </c>
      <c r="G1238" s="33" t="s">
        <v>2871</v>
      </c>
      <c r="H1238" s="33" t="s">
        <v>1590</v>
      </c>
    </row>
    <row r="1239" spans="1:8" x14ac:dyDescent="0.25">
      <c r="A1239" s="32">
        <v>33063063634</v>
      </c>
      <c r="B1239" s="33" t="s">
        <v>1791</v>
      </c>
      <c r="C1239" s="33"/>
      <c r="D1239" s="33"/>
      <c r="E1239" s="33" t="s">
        <v>1730</v>
      </c>
      <c r="F1239" s="33" t="s">
        <v>1591</v>
      </c>
      <c r="G1239" s="33" t="s">
        <v>2871</v>
      </c>
      <c r="H1239" s="33" t="s">
        <v>1591</v>
      </c>
    </row>
    <row r="1240" spans="1:8" x14ac:dyDescent="0.25">
      <c r="A1240" s="32">
        <v>33063063635</v>
      </c>
      <c r="B1240" s="33" t="s">
        <v>1791</v>
      </c>
      <c r="C1240" s="33"/>
      <c r="D1240" s="33"/>
      <c r="E1240" s="33" t="s">
        <v>1730</v>
      </c>
      <c r="F1240" s="33" t="s">
        <v>1592</v>
      </c>
      <c r="G1240" s="33" t="s">
        <v>2871</v>
      </c>
      <c r="H1240" s="33" t="s">
        <v>1592</v>
      </c>
    </row>
    <row r="1241" spans="1:8" x14ac:dyDescent="0.25">
      <c r="A1241" s="32">
        <v>33063063636</v>
      </c>
      <c r="B1241" s="33" t="s">
        <v>1791</v>
      </c>
      <c r="C1241" s="33"/>
      <c r="D1241" s="33"/>
      <c r="E1241" s="33" t="s">
        <v>1730</v>
      </c>
      <c r="F1241" s="33" t="s">
        <v>1593</v>
      </c>
      <c r="G1241" s="33" t="s">
        <v>2871</v>
      </c>
      <c r="H1241" s="33" t="s">
        <v>1593</v>
      </c>
    </row>
    <row r="1242" spans="1:8" x14ac:dyDescent="0.25">
      <c r="A1242" s="32">
        <v>33063063637</v>
      </c>
      <c r="B1242" s="33" t="s">
        <v>1791</v>
      </c>
      <c r="C1242" s="33"/>
      <c r="D1242" s="33"/>
      <c r="E1242" s="33" t="s">
        <v>1730</v>
      </c>
      <c r="F1242" s="33" t="s">
        <v>1594</v>
      </c>
      <c r="G1242" s="33" t="s">
        <v>2871</v>
      </c>
      <c r="H1242" s="33" t="s">
        <v>1594</v>
      </c>
    </row>
    <row r="1243" spans="1:8" x14ac:dyDescent="0.25">
      <c r="A1243" s="32">
        <v>33063063638</v>
      </c>
      <c r="B1243" s="33" t="s">
        <v>1791</v>
      </c>
      <c r="C1243" s="33"/>
      <c r="D1243" s="33"/>
      <c r="E1243" s="33" t="s">
        <v>1730</v>
      </c>
      <c r="F1243" s="33" t="s">
        <v>1595</v>
      </c>
      <c r="G1243" s="33" t="s">
        <v>2871</v>
      </c>
      <c r="H1243" s="33" t="s">
        <v>1595</v>
      </c>
    </row>
    <row r="1244" spans="1:8" x14ac:dyDescent="0.25">
      <c r="A1244" s="32">
        <v>33063063639</v>
      </c>
      <c r="B1244" s="33" t="s">
        <v>1791</v>
      </c>
      <c r="C1244" s="33" t="s">
        <v>1792</v>
      </c>
      <c r="D1244" s="33" t="s">
        <v>1792</v>
      </c>
      <c r="E1244" s="33" t="s">
        <v>1730</v>
      </c>
      <c r="F1244" s="33" t="s">
        <v>1596</v>
      </c>
      <c r="G1244" s="33" t="s">
        <v>2871</v>
      </c>
      <c r="H1244" s="33" t="s">
        <v>1596</v>
      </c>
    </row>
    <row r="1245" spans="1:8" x14ac:dyDescent="0.25">
      <c r="A1245" s="32">
        <v>33063063640</v>
      </c>
      <c r="B1245" s="33" t="s">
        <v>1791</v>
      </c>
      <c r="C1245" s="33"/>
      <c r="D1245" s="33"/>
      <c r="E1245" s="33" t="s">
        <v>1730</v>
      </c>
      <c r="F1245" s="33" t="s">
        <v>1597</v>
      </c>
      <c r="G1245" s="33" t="s">
        <v>2871</v>
      </c>
      <c r="H1245" s="33" t="s">
        <v>1597</v>
      </c>
    </row>
    <row r="1246" spans="1:8" x14ac:dyDescent="0.25">
      <c r="A1246" s="32">
        <v>33063063657</v>
      </c>
      <c r="B1246" s="33" t="s">
        <v>1791</v>
      </c>
      <c r="C1246" s="33"/>
      <c r="D1246" s="33"/>
      <c r="E1246" s="33" t="s">
        <v>1730</v>
      </c>
      <c r="F1246" s="33" t="s">
        <v>1614</v>
      </c>
      <c r="G1246" s="33" t="s">
        <v>2871</v>
      </c>
      <c r="H1246" s="33" t="s">
        <v>1614</v>
      </c>
    </row>
    <row r="1247" spans="1:8" x14ac:dyDescent="0.25">
      <c r="A1247" s="32">
        <v>33063063658</v>
      </c>
      <c r="B1247" s="33" t="s">
        <v>1791</v>
      </c>
      <c r="C1247" s="33"/>
      <c r="D1247" s="33"/>
      <c r="E1247" s="33" t="s">
        <v>1730</v>
      </c>
      <c r="F1247" s="33" t="s">
        <v>1615</v>
      </c>
      <c r="G1247" s="33" t="s">
        <v>2871</v>
      </c>
      <c r="H1247" s="33" t="s">
        <v>1615</v>
      </c>
    </row>
    <row r="1248" spans="1:8" x14ac:dyDescent="0.25">
      <c r="A1248" s="32">
        <v>33063063659</v>
      </c>
      <c r="B1248" s="33" t="s">
        <v>1791</v>
      </c>
      <c r="C1248" s="33"/>
      <c r="D1248" s="33"/>
      <c r="E1248" s="33" t="s">
        <v>1730</v>
      </c>
      <c r="F1248" s="33" t="s">
        <v>1616</v>
      </c>
      <c r="G1248" s="33" t="s">
        <v>2871</v>
      </c>
      <c r="H1248" s="33" t="s">
        <v>1616</v>
      </c>
    </row>
    <row r="1249" spans="1:8" x14ac:dyDescent="0.25">
      <c r="A1249" s="31">
        <v>33063063660</v>
      </c>
      <c r="B1249" s="1" t="s">
        <v>1791</v>
      </c>
      <c r="E1249" s="1" t="s">
        <v>1730</v>
      </c>
      <c r="F1249" s="1" t="s">
        <v>1617</v>
      </c>
      <c r="G1249" s="1" t="s">
        <v>2871</v>
      </c>
      <c r="H1249" s="1" t="s">
        <v>1617</v>
      </c>
    </row>
    <row r="1250" spans="1:8" x14ac:dyDescent="0.25">
      <c r="A1250" s="31">
        <v>33063063661</v>
      </c>
      <c r="B1250" s="1" t="s">
        <v>1791</v>
      </c>
      <c r="E1250" s="1" t="s">
        <v>1730</v>
      </c>
      <c r="F1250" s="1" t="s">
        <v>1618</v>
      </c>
      <c r="G1250" s="1" t="s">
        <v>2871</v>
      </c>
      <c r="H1250" s="1" t="s">
        <v>1618</v>
      </c>
    </row>
    <row r="1251" spans="1:8" x14ac:dyDescent="0.25">
      <c r="A1251" s="32">
        <v>33063063662</v>
      </c>
      <c r="B1251" s="33" t="s">
        <v>1791</v>
      </c>
      <c r="C1251" s="33"/>
      <c r="D1251" s="33"/>
      <c r="E1251" s="33" t="s">
        <v>1730</v>
      </c>
      <c r="F1251" s="33" t="s">
        <v>1619</v>
      </c>
      <c r="G1251" s="33" t="s">
        <v>2871</v>
      </c>
      <c r="H1251" s="33" t="s">
        <v>1619</v>
      </c>
    </row>
    <row r="1252" spans="1:8" x14ac:dyDescent="0.25">
      <c r="A1252" s="32">
        <v>33063063663</v>
      </c>
      <c r="B1252" s="33" t="s">
        <v>1791</v>
      </c>
      <c r="C1252" s="33"/>
      <c r="D1252" s="33"/>
      <c r="E1252" s="33" t="s">
        <v>1730</v>
      </c>
      <c r="F1252" s="33" t="s">
        <v>1620</v>
      </c>
      <c r="G1252" s="33" t="s">
        <v>2871</v>
      </c>
      <c r="H1252" s="33" t="s">
        <v>1620</v>
      </c>
    </row>
    <row r="1253" spans="1:8" x14ac:dyDescent="0.25">
      <c r="A1253" s="32">
        <v>33063063664</v>
      </c>
      <c r="B1253" s="33" t="s">
        <v>1791</v>
      </c>
      <c r="C1253" s="33"/>
      <c r="D1253" s="33"/>
      <c r="E1253" s="33" t="s">
        <v>1730</v>
      </c>
      <c r="F1253" s="33" t="s">
        <v>1621</v>
      </c>
      <c r="G1253" s="33" t="s">
        <v>2871</v>
      </c>
      <c r="H1253" s="33" t="s">
        <v>1621</v>
      </c>
    </row>
    <row r="1254" spans="1:8" x14ac:dyDescent="0.25">
      <c r="A1254" s="32">
        <v>33063063665</v>
      </c>
      <c r="B1254" s="33" t="s">
        <v>1791</v>
      </c>
      <c r="C1254" s="33"/>
      <c r="D1254" s="33"/>
      <c r="E1254" s="33" t="s">
        <v>1730</v>
      </c>
      <c r="F1254" s="33" t="s">
        <v>1622</v>
      </c>
      <c r="G1254" s="33" t="s">
        <v>2871</v>
      </c>
      <c r="H1254" s="33" t="s">
        <v>1622</v>
      </c>
    </row>
    <row r="1255" spans="1:8" x14ac:dyDescent="0.25">
      <c r="A1255" s="32">
        <v>33063063666</v>
      </c>
      <c r="B1255" s="33" t="s">
        <v>1791</v>
      </c>
      <c r="C1255" s="33"/>
      <c r="D1255" s="33"/>
      <c r="E1255" s="33" t="s">
        <v>1730</v>
      </c>
      <c r="F1255" s="33" t="s">
        <v>1623</v>
      </c>
      <c r="G1255" s="33" t="s">
        <v>2871</v>
      </c>
      <c r="H1255" s="33" t="s">
        <v>1623</v>
      </c>
    </row>
    <row r="1256" spans="1:8" x14ac:dyDescent="0.25">
      <c r="A1256" s="32">
        <v>33063063667</v>
      </c>
      <c r="B1256" s="33" t="s">
        <v>1791</v>
      </c>
      <c r="C1256" s="33"/>
      <c r="D1256" s="33"/>
      <c r="E1256" s="33" t="s">
        <v>1730</v>
      </c>
      <c r="F1256" s="33" t="s">
        <v>1624</v>
      </c>
      <c r="G1256" s="33" t="s">
        <v>2871</v>
      </c>
      <c r="H1256" s="33" t="s">
        <v>1624</v>
      </c>
    </row>
    <row r="1257" spans="1:8" x14ac:dyDescent="0.25">
      <c r="A1257" s="32">
        <v>33063063668</v>
      </c>
      <c r="B1257" s="33" t="s">
        <v>1791</v>
      </c>
      <c r="C1257" s="33"/>
      <c r="D1257" s="33"/>
      <c r="E1257" s="33" t="s">
        <v>1730</v>
      </c>
      <c r="F1257" s="33" t="s">
        <v>1625</v>
      </c>
      <c r="G1257" s="33" t="s">
        <v>2871</v>
      </c>
      <c r="H1257" s="33" t="s">
        <v>1625</v>
      </c>
    </row>
    <row r="1258" spans="1:8" x14ac:dyDescent="0.25">
      <c r="A1258" s="32">
        <v>33063063669</v>
      </c>
      <c r="B1258" s="33" t="s">
        <v>1791</v>
      </c>
      <c r="C1258" s="33"/>
      <c r="D1258" s="33"/>
      <c r="E1258" s="33" t="s">
        <v>1730</v>
      </c>
      <c r="F1258" s="33" t="s">
        <v>1626</v>
      </c>
      <c r="G1258" s="33" t="s">
        <v>2871</v>
      </c>
      <c r="H1258" s="33" t="s">
        <v>1626</v>
      </c>
    </row>
    <row r="1259" spans="1:8" x14ac:dyDescent="0.25">
      <c r="A1259" s="32">
        <v>33063063670</v>
      </c>
      <c r="B1259" s="33" t="s">
        <v>1739</v>
      </c>
      <c r="C1259" s="33" t="s">
        <v>2151</v>
      </c>
      <c r="D1259" s="33" t="s">
        <v>2151</v>
      </c>
      <c r="E1259" s="33" t="s">
        <v>1730</v>
      </c>
      <c r="F1259" s="33" t="s">
        <v>1627</v>
      </c>
      <c r="G1259" s="33" t="s">
        <v>2871</v>
      </c>
      <c r="H1259" s="33" t="s">
        <v>1627</v>
      </c>
    </row>
    <row r="1260" spans="1:8" x14ac:dyDescent="0.25">
      <c r="A1260" s="32">
        <v>33063063671</v>
      </c>
      <c r="B1260" s="33" t="s">
        <v>1739</v>
      </c>
      <c r="C1260" s="33" t="s">
        <v>2151</v>
      </c>
      <c r="D1260" s="33" t="s">
        <v>2151</v>
      </c>
      <c r="E1260" s="33" t="s">
        <v>1730</v>
      </c>
      <c r="F1260" s="33" t="s">
        <v>1628</v>
      </c>
      <c r="G1260" s="33" t="s">
        <v>2871</v>
      </c>
      <c r="H1260" s="33" t="s">
        <v>1628</v>
      </c>
    </row>
    <row r="1261" spans="1:8" x14ac:dyDescent="0.25">
      <c r="A1261" s="32">
        <v>33063063672</v>
      </c>
      <c r="B1261" s="33" t="s">
        <v>1739</v>
      </c>
      <c r="C1261" s="33" t="s">
        <v>2151</v>
      </c>
      <c r="D1261" s="33" t="s">
        <v>2151</v>
      </c>
      <c r="E1261" s="33" t="s">
        <v>1730</v>
      </c>
      <c r="F1261" s="33" t="s">
        <v>1629</v>
      </c>
      <c r="G1261" s="33" t="s">
        <v>2871</v>
      </c>
      <c r="H1261" s="33" t="s">
        <v>1629</v>
      </c>
    </row>
    <row r="1262" spans="1:8" x14ac:dyDescent="0.25">
      <c r="A1262" s="32">
        <v>33063063673</v>
      </c>
      <c r="B1262" s="33" t="s">
        <v>1739</v>
      </c>
      <c r="C1262" s="33" t="s">
        <v>2151</v>
      </c>
      <c r="D1262" s="33" t="s">
        <v>2151</v>
      </c>
      <c r="E1262" s="33" t="s">
        <v>1730</v>
      </c>
      <c r="F1262" s="33" t="s">
        <v>1630</v>
      </c>
      <c r="G1262" s="33" t="s">
        <v>2871</v>
      </c>
      <c r="H1262" s="33" t="s">
        <v>1630</v>
      </c>
    </row>
    <row r="1263" spans="1:8" x14ac:dyDescent="0.25">
      <c r="A1263" s="32">
        <v>33063063674</v>
      </c>
      <c r="B1263" s="33" t="s">
        <v>1739</v>
      </c>
      <c r="C1263" s="33" t="s">
        <v>2151</v>
      </c>
      <c r="D1263" s="33" t="s">
        <v>2151</v>
      </c>
      <c r="E1263" s="33" t="s">
        <v>1730</v>
      </c>
      <c r="F1263" s="33" t="s">
        <v>1631</v>
      </c>
      <c r="G1263" s="33" t="s">
        <v>2871</v>
      </c>
      <c r="H1263" s="33" t="s">
        <v>1631</v>
      </c>
    </row>
    <row r="1264" spans="1:8" x14ac:dyDescent="0.25">
      <c r="A1264" s="32">
        <v>33063063675</v>
      </c>
      <c r="B1264" s="33" t="s">
        <v>1739</v>
      </c>
      <c r="C1264" s="33" t="s">
        <v>2151</v>
      </c>
      <c r="D1264" s="33" t="s">
        <v>2151</v>
      </c>
      <c r="E1264" s="33" t="s">
        <v>1730</v>
      </c>
      <c r="F1264" s="33" t="s">
        <v>1632</v>
      </c>
      <c r="G1264" s="33" t="s">
        <v>2871</v>
      </c>
      <c r="H1264" s="33" t="s">
        <v>1632</v>
      </c>
    </row>
    <row r="1265" spans="1:8" x14ac:dyDescent="0.25">
      <c r="A1265" s="32">
        <v>33063063676</v>
      </c>
      <c r="B1265" s="33" t="s">
        <v>1739</v>
      </c>
      <c r="C1265" s="33" t="s">
        <v>2151</v>
      </c>
      <c r="D1265" s="33" t="s">
        <v>2151</v>
      </c>
      <c r="E1265" s="33" t="s">
        <v>1730</v>
      </c>
      <c r="F1265" s="33" t="s">
        <v>1633</v>
      </c>
      <c r="G1265" s="33" t="s">
        <v>2871</v>
      </c>
      <c r="H1265" s="33" t="s">
        <v>1633</v>
      </c>
    </row>
    <row r="1266" spans="1:8" x14ac:dyDescent="0.25">
      <c r="A1266" s="32">
        <v>33063063677</v>
      </c>
      <c r="B1266" s="33" t="s">
        <v>1739</v>
      </c>
      <c r="C1266" s="33" t="s">
        <v>2151</v>
      </c>
      <c r="D1266" s="33" t="s">
        <v>2151</v>
      </c>
      <c r="E1266" s="33" t="s">
        <v>1730</v>
      </c>
      <c r="F1266" s="33" t="s">
        <v>1634</v>
      </c>
      <c r="G1266" s="33" t="s">
        <v>2871</v>
      </c>
      <c r="H1266" s="33" t="s">
        <v>1634</v>
      </c>
    </row>
    <row r="1267" spans="1:8" x14ac:dyDescent="0.25">
      <c r="A1267" s="32">
        <v>33063063746</v>
      </c>
      <c r="B1267" s="33" t="s">
        <v>1739</v>
      </c>
      <c r="C1267" s="33"/>
      <c r="D1267" s="33"/>
      <c r="E1267" s="33" t="s">
        <v>1730</v>
      </c>
      <c r="F1267" s="33" t="s">
        <v>1639</v>
      </c>
      <c r="G1267" s="33" t="s">
        <v>2871</v>
      </c>
      <c r="H1267" s="33" t="s">
        <v>1639</v>
      </c>
    </row>
    <row r="1268" spans="1:8" x14ac:dyDescent="0.25">
      <c r="A1268" s="32">
        <v>33063063747</v>
      </c>
      <c r="B1268" s="33" t="s">
        <v>1739</v>
      </c>
      <c r="C1268" s="33"/>
      <c r="D1268" s="33"/>
      <c r="E1268" s="33" t="s">
        <v>1730</v>
      </c>
      <c r="F1268" s="33" t="s">
        <v>1640</v>
      </c>
      <c r="G1268" s="33" t="s">
        <v>2871</v>
      </c>
      <c r="H1268" s="33" t="s">
        <v>1640</v>
      </c>
    </row>
    <row r="1269" spans="1:8" x14ac:dyDescent="0.25">
      <c r="A1269" s="32">
        <v>33063063748</v>
      </c>
      <c r="B1269" s="33" t="s">
        <v>1739</v>
      </c>
      <c r="C1269" s="33"/>
      <c r="D1269" s="33"/>
      <c r="E1269" s="33" t="s">
        <v>1730</v>
      </c>
      <c r="F1269" s="33" t="s">
        <v>1641</v>
      </c>
      <c r="G1269" s="33" t="s">
        <v>2871</v>
      </c>
      <c r="H1269" s="33" t="s">
        <v>1641</v>
      </c>
    </row>
    <row r="1270" spans="1:8" x14ac:dyDescent="0.25">
      <c r="A1270" s="32">
        <v>33063063749</v>
      </c>
      <c r="B1270" s="33" t="s">
        <v>1739</v>
      </c>
      <c r="C1270" s="33"/>
      <c r="D1270" s="33"/>
      <c r="E1270" s="33" t="s">
        <v>1730</v>
      </c>
      <c r="F1270" s="33" t="s">
        <v>1642</v>
      </c>
      <c r="G1270" s="33" t="s">
        <v>2871</v>
      </c>
      <c r="H1270" s="33" t="s">
        <v>1642</v>
      </c>
    </row>
    <row r="1271" spans="1:8" x14ac:dyDescent="0.25">
      <c r="A1271" s="32">
        <v>33063063773</v>
      </c>
      <c r="B1271" s="33" t="s">
        <v>1739</v>
      </c>
      <c r="C1271" s="33" t="s">
        <v>2146</v>
      </c>
      <c r="D1271" s="33" t="s">
        <v>2146</v>
      </c>
      <c r="E1271" s="33" t="s">
        <v>1730</v>
      </c>
      <c r="F1271" s="33" t="s">
        <v>468</v>
      </c>
      <c r="G1271" s="33" t="s">
        <v>2150</v>
      </c>
      <c r="H1271" s="33" t="s">
        <v>2148</v>
      </c>
    </row>
    <row r="1272" spans="1:8" x14ac:dyDescent="0.25">
      <c r="A1272" s="32">
        <v>33063063774</v>
      </c>
      <c r="B1272" s="33" t="s">
        <v>1739</v>
      </c>
      <c r="C1272" s="33" t="s">
        <v>2146</v>
      </c>
      <c r="D1272" s="33" t="s">
        <v>2146</v>
      </c>
      <c r="E1272" s="33" t="s">
        <v>1730</v>
      </c>
      <c r="F1272" s="33" t="s">
        <v>468</v>
      </c>
      <c r="G1272" s="33" t="s">
        <v>2150</v>
      </c>
      <c r="H1272" s="33" t="s">
        <v>2148</v>
      </c>
    </row>
    <row r="1273" spans="1:8" x14ac:dyDescent="0.25">
      <c r="A1273" s="32">
        <v>33063063775</v>
      </c>
      <c r="B1273" s="33" t="s">
        <v>1739</v>
      </c>
      <c r="C1273" s="33" t="s">
        <v>2146</v>
      </c>
      <c r="D1273" s="33" t="s">
        <v>2146</v>
      </c>
      <c r="E1273" s="33" t="s">
        <v>1730</v>
      </c>
      <c r="F1273" s="33" t="s">
        <v>471</v>
      </c>
      <c r="G1273" s="33" t="s">
        <v>2150</v>
      </c>
      <c r="H1273" s="33" t="s">
        <v>2148</v>
      </c>
    </row>
    <row r="1274" spans="1:8" x14ac:dyDescent="0.25">
      <c r="A1274" s="32">
        <v>33063063776</v>
      </c>
      <c r="B1274" s="33" t="s">
        <v>1739</v>
      </c>
      <c r="C1274" s="33" t="s">
        <v>2146</v>
      </c>
      <c r="D1274" s="33" t="s">
        <v>2146</v>
      </c>
      <c r="E1274" s="33" t="s">
        <v>1730</v>
      </c>
      <c r="F1274" s="33" t="s">
        <v>468</v>
      </c>
      <c r="G1274" s="33" t="s">
        <v>2150</v>
      </c>
      <c r="H1274" s="33" t="s">
        <v>2148</v>
      </c>
    </row>
    <row r="1275" spans="1:8" x14ac:dyDescent="0.25">
      <c r="A1275" s="32">
        <v>33063063777</v>
      </c>
      <c r="B1275" s="33" t="s">
        <v>1739</v>
      </c>
      <c r="C1275" s="33" t="s">
        <v>2146</v>
      </c>
      <c r="D1275" s="33" t="s">
        <v>2146</v>
      </c>
      <c r="E1275" s="33" t="s">
        <v>1730</v>
      </c>
      <c r="F1275" s="33" t="s">
        <v>468</v>
      </c>
      <c r="G1275" s="33" t="s">
        <v>2150</v>
      </c>
      <c r="H1275" s="33" t="s">
        <v>2148</v>
      </c>
    </row>
    <row r="1276" spans="1:8" x14ac:dyDescent="0.25">
      <c r="A1276" s="32">
        <v>33063063779</v>
      </c>
      <c r="B1276" s="33" t="s">
        <v>1739</v>
      </c>
      <c r="C1276" s="33" t="s">
        <v>2146</v>
      </c>
      <c r="D1276" s="33" t="s">
        <v>2146</v>
      </c>
      <c r="E1276" s="33" t="s">
        <v>1730</v>
      </c>
      <c r="F1276" s="33" t="s">
        <v>2149</v>
      </c>
      <c r="G1276" s="33" t="s">
        <v>2150</v>
      </c>
      <c r="H1276" s="33" t="s">
        <v>2148</v>
      </c>
    </row>
    <row r="1277" spans="1:8" x14ac:dyDescent="0.25">
      <c r="A1277" s="32">
        <v>33063063780</v>
      </c>
      <c r="B1277" s="33" t="s">
        <v>1739</v>
      </c>
      <c r="C1277" s="33" t="s">
        <v>2146</v>
      </c>
      <c r="D1277" s="33" t="s">
        <v>2146</v>
      </c>
      <c r="E1277" s="33" t="s">
        <v>1730</v>
      </c>
      <c r="F1277" s="33" t="s">
        <v>468</v>
      </c>
      <c r="G1277" s="33" t="s">
        <v>2150</v>
      </c>
      <c r="H1277" s="33" t="s">
        <v>2148</v>
      </c>
    </row>
    <row r="1278" spans="1:8" x14ac:dyDescent="0.25">
      <c r="A1278" s="32">
        <v>33063063791</v>
      </c>
      <c r="B1278" s="33" t="s">
        <v>1739</v>
      </c>
      <c r="C1278" s="33" t="s">
        <v>2146</v>
      </c>
      <c r="D1278" s="33" t="s">
        <v>2146</v>
      </c>
      <c r="E1278" s="33" t="s">
        <v>1730</v>
      </c>
      <c r="F1278" s="33" t="s">
        <v>467</v>
      </c>
      <c r="G1278" s="33" t="s">
        <v>2150</v>
      </c>
      <c r="H1278" s="33" t="s">
        <v>2148</v>
      </c>
    </row>
    <row r="1279" spans="1:8" x14ac:dyDescent="0.25">
      <c r="A1279" s="32">
        <v>33063063792</v>
      </c>
      <c r="B1279" s="33" t="s">
        <v>1739</v>
      </c>
      <c r="C1279" s="33" t="s">
        <v>2146</v>
      </c>
      <c r="D1279" s="33" t="s">
        <v>2146</v>
      </c>
      <c r="E1279" s="33" t="s">
        <v>1730</v>
      </c>
      <c r="F1279" s="33" t="s">
        <v>467</v>
      </c>
      <c r="G1279" s="33" t="s">
        <v>2150</v>
      </c>
      <c r="H1279" s="33" t="s">
        <v>2148</v>
      </c>
    </row>
    <row r="1280" spans="1:8" x14ac:dyDescent="0.25">
      <c r="A1280" s="32">
        <v>33063063793</v>
      </c>
      <c r="B1280" s="33" t="s">
        <v>1739</v>
      </c>
      <c r="C1280" s="33" t="s">
        <v>2146</v>
      </c>
      <c r="D1280" s="33" t="s">
        <v>2146</v>
      </c>
      <c r="E1280" s="33" t="s">
        <v>1730</v>
      </c>
      <c r="F1280" s="33" t="s">
        <v>470</v>
      </c>
      <c r="G1280" s="33" t="s">
        <v>2150</v>
      </c>
      <c r="H1280" s="33" t="s">
        <v>2148</v>
      </c>
    </row>
    <row r="1281" spans="1:8" x14ac:dyDescent="0.25">
      <c r="A1281" s="32">
        <v>33063063926</v>
      </c>
      <c r="B1281" s="33" t="s">
        <v>1739</v>
      </c>
      <c r="C1281" s="33" t="s">
        <v>2146</v>
      </c>
      <c r="D1281" s="33" t="s">
        <v>2146</v>
      </c>
      <c r="E1281" s="33" t="s">
        <v>1730</v>
      </c>
      <c r="F1281" s="33" t="s">
        <v>1147</v>
      </c>
      <c r="G1281" s="33" t="s">
        <v>2150</v>
      </c>
      <c r="H1281" s="33" t="s">
        <v>2148</v>
      </c>
    </row>
    <row r="1282" spans="1:8" x14ac:dyDescent="0.25">
      <c r="A1282" s="32">
        <v>33063063927</v>
      </c>
      <c r="B1282" s="33" t="s">
        <v>1739</v>
      </c>
      <c r="C1282" s="33" t="s">
        <v>2146</v>
      </c>
      <c r="D1282" s="33" t="s">
        <v>2146</v>
      </c>
      <c r="E1282" s="33" t="s">
        <v>1730</v>
      </c>
      <c r="F1282" s="33" t="s">
        <v>1212</v>
      </c>
      <c r="G1282" s="33" t="s">
        <v>2150</v>
      </c>
      <c r="H1282" s="33" t="s">
        <v>2148</v>
      </c>
    </row>
    <row r="1283" spans="1:8" x14ac:dyDescent="0.25">
      <c r="A1283" s="32">
        <v>33063063928</v>
      </c>
      <c r="B1283" s="33" t="s">
        <v>1739</v>
      </c>
      <c r="C1283" s="33" t="s">
        <v>2146</v>
      </c>
      <c r="D1283" s="33" t="s">
        <v>2146</v>
      </c>
      <c r="E1283" s="33" t="s">
        <v>1730</v>
      </c>
      <c r="F1283" s="33" t="s">
        <v>1149</v>
      </c>
      <c r="G1283" s="33" t="s">
        <v>2150</v>
      </c>
      <c r="H1283" s="33" t="s">
        <v>2148</v>
      </c>
    </row>
    <row r="1284" spans="1:8" x14ac:dyDescent="0.25">
      <c r="A1284" s="32">
        <v>33063063929</v>
      </c>
      <c r="B1284" s="33" t="s">
        <v>1739</v>
      </c>
      <c r="C1284" s="33" t="s">
        <v>2146</v>
      </c>
      <c r="D1284" s="33" t="s">
        <v>2146</v>
      </c>
      <c r="E1284" s="33" t="s">
        <v>1730</v>
      </c>
      <c r="F1284" s="33" t="s">
        <v>1163</v>
      </c>
      <c r="G1284" s="33" t="s">
        <v>2150</v>
      </c>
      <c r="H1284" s="33" t="s">
        <v>2148</v>
      </c>
    </row>
    <row r="1285" spans="1:8" x14ac:dyDescent="0.25">
      <c r="A1285" s="32">
        <v>33063063930</v>
      </c>
      <c r="B1285" s="33" t="s">
        <v>1739</v>
      </c>
      <c r="C1285" s="33" t="s">
        <v>2146</v>
      </c>
      <c r="D1285" s="33" t="s">
        <v>2146</v>
      </c>
      <c r="E1285" s="33" t="s">
        <v>1730</v>
      </c>
      <c r="F1285" s="33" t="s">
        <v>1217</v>
      </c>
      <c r="G1285" s="33" t="s">
        <v>2150</v>
      </c>
      <c r="H1285" s="33" t="s">
        <v>2148</v>
      </c>
    </row>
    <row r="1286" spans="1:8" x14ac:dyDescent="0.25">
      <c r="A1286" s="32">
        <v>33063063931</v>
      </c>
      <c r="B1286" s="33" t="s">
        <v>1739</v>
      </c>
      <c r="C1286" s="33" t="s">
        <v>2146</v>
      </c>
      <c r="D1286" s="33" t="s">
        <v>2146</v>
      </c>
      <c r="E1286" s="33" t="s">
        <v>1730</v>
      </c>
      <c r="F1286" s="33" t="s">
        <v>1127</v>
      </c>
      <c r="G1286" s="33" t="s">
        <v>2150</v>
      </c>
      <c r="H1286" s="33" t="s">
        <v>2148</v>
      </c>
    </row>
    <row r="1287" spans="1:8" x14ac:dyDescent="0.25">
      <c r="A1287" s="32">
        <v>33063063932</v>
      </c>
      <c r="B1287" s="33" t="s">
        <v>1739</v>
      </c>
      <c r="C1287" s="33" t="s">
        <v>2146</v>
      </c>
      <c r="D1287" s="33" t="s">
        <v>2146</v>
      </c>
      <c r="E1287" s="33" t="s">
        <v>1730</v>
      </c>
      <c r="F1287" s="33" t="s">
        <v>996</v>
      </c>
      <c r="G1287" s="33" t="s">
        <v>2150</v>
      </c>
      <c r="H1287" s="33" t="s">
        <v>2148</v>
      </c>
    </row>
    <row r="1288" spans="1:8" x14ac:dyDescent="0.25">
      <c r="A1288" s="32">
        <v>33063063933</v>
      </c>
      <c r="B1288" s="33" t="s">
        <v>1739</v>
      </c>
      <c r="C1288" s="33" t="s">
        <v>2146</v>
      </c>
      <c r="D1288" s="33" t="s">
        <v>2146</v>
      </c>
      <c r="E1288" s="33" t="s">
        <v>1730</v>
      </c>
      <c r="F1288" s="33" t="s">
        <v>1221</v>
      </c>
      <c r="G1288" s="33" t="s">
        <v>2150</v>
      </c>
      <c r="H1288" s="33" t="s">
        <v>2148</v>
      </c>
    </row>
    <row r="1289" spans="1:8" x14ac:dyDescent="0.25">
      <c r="A1289" s="32">
        <v>33063063934</v>
      </c>
      <c r="B1289" s="33" t="s">
        <v>1739</v>
      </c>
      <c r="C1289" s="33" t="s">
        <v>2146</v>
      </c>
      <c r="D1289" s="33" t="s">
        <v>2146</v>
      </c>
      <c r="E1289" s="33" t="s">
        <v>1730</v>
      </c>
      <c r="F1289" s="33" t="s">
        <v>1203</v>
      </c>
      <c r="G1289" s="33" t="s">
        <v>2150</v>
      </c>
      <c r="H1289" s="33" t="s">
        <v>2148</v>
      </c>
    </row>
    <row r="1290" spans="1:8" x14ac:dyDescent="0.25">
      <c r="A1290" s="32">
        <v>33063063935</v>
      </c>
      <c r="B1290" s="33" t="s">
        <v>1739</v>
      </c>
      <c r="C1290" s="33" t="s">
        <v>2146</v>
      </c>
      <c r="D1290" s="33" t="s">
        <v>2146</v>
      </c>
      <c r="E1290" s="33" t="s">
        <v>1730</v>
      </c>
      <c r="F1290" s="33" t="s">
        <v>1126</v>
      </c>
      <c r="G1290" s="33" t="s">
        <v>2150</v>
      </c>
      <c r="H1290" s="33" t="s">
        <v>2148</v>
      </c>
    </row>
    <row r="1291" spans="1:8" x14ac:dyDescent="0.25">
      <c r="A1291" s="32">
        <v>33063163750</v>
      </c>
      <c r="B1291" s="33" t="s">
        <v>1739</v>
      </c>
      <c r="C1291" s="33"/>
      <c r="D1291" s="33"/>
      <c r="E1291" s="33" t="s">
        <v>1730</v>
      </c>
      <c r="F1291" s="33" t="s">
        <v>1643</v>
      </c>
      <c r="G1291" s="33" t="s">
        <v>2871</v>
      </c>
      <c r="H1291" s="33" t="s">
        <v>1643</v>
      </c>
    </row>
    <row r="1292" spans="1:8" x14ac:dyDescent="0.25">
      <c r="A1292" s="32">
        <v>33063163751</v>
      </c>
      <c r="B1292" s="33" t="s">
        <v>1739</v>
      </c>
      <c r="C1292" s="33"/>
      <c r="D1292" s="33"/>
      <c r="E1292" s="33" t="s">
        <v>1730</v>
      </c>
      <c r="F1292" s="33" t="s">
        <v>1644</v>
      </c>
      <c r="G1292" s="33" t="s">
        <v>2871</v>
      </c>
      <c r="H1292" s="33" t="s">
        <v>1644</v>
      </c>
    </row>
    <row r="1293" spans="1:8" x14ac:dyDescent="0.25">
      <c r="A1293" s="32">
        <v>33063263346</v>
      </c>
      <c r="B1293" s="33" t="s">
        <v>2258</v>
      </c>
      <c r="C1293" s="33" t="s">
        <v>2259</v>
      </c>
      <c r="D1293" s="33" t="s">
        <v>2259</v>
      </c>
      <c r="E1293" s="33" t="s">
        <v>1730</v>
      </c>
      <c r="F1293" s="33" t="s">
        <v>1159</v>
      </c>
      <c r="G1293" s="33" t="s">
        <v>2150</v>
      </c>
      <c r="H1293" s="33" t="s">
        <v>2260</v>
      </c>
    </row>
    <row r="1294" spans="1:8" x14ac:dyDescent="0.25">
      <c r="A1294" s="32">
        <v>33063263347</v>
      </c>
      <c r="B1294" s="33" t="s">
        <v>2258</v>
      </c>
      <c r="C1294" s="33" t="s">
        <v>2259</v>
      </c>
      <c r="D1294" s="33" t="s">
        <v>2259</v>
      </c>
      <c r="E1294" s="33" t="s">
        <v>1730</v>
      </c>
      <c r="F1294" s="33" t="s">
        <v>1079</v>
      </c>
      <c r="G1294" s="33" t="s">
        <v>2150</v>
      </c>
      <c r="H1294" s="33" t="s">
        <v>2260</v>
      </c>
    </row>
    <row r="1295" spans="1:8" x14ac:dyDescent="0.25">
      <c r="A1295" s="32">
        <v>33063263348</v>
      </c>
      <c r="B1295" s="33" t="s">
        <v>2258</v>
      </c>
      <c r="C1295" s="33" t="s">
        <v>2259</v>
      </c>
      <c r="D1295" s="33" t="s">
        <v>2259</v>
      </c>
      <c r="E1295" s="33" t="s">
        <v>1730</v>
      </c>
      <c r="F1295" s="33" t="s">
        <v>982</v>
      </c>
      <c r="G1295" s="33" t="s">
        <v>2150</v>
      </c>
      <c r="H1295" s="33" t="s">
        <v>2260</v>
      </c>
    </row>
    <row r="1296" spans="1:8" x14ac:dyDescent="0.25">
      <c r="A1296" s="32">
        <v>33063263349</v>
      </c>
      <c r="B1296" s="33" t="s">
        <v>2258</v>
      </c>
      <c r="C1296" s="33" t="s">
        <v>2259</v>
      </c>
      <c r="D1296" s="33" t="s">
        <v>2259</v>
      </c>
      <c r="E1296" s="33" t="s">
        <v>1730</v>
      </c>
      <c r="F1296" s="33" t="s">
        <v>1039</v>
      </c>
      <c r="G1296" s="33" t="s">
        <v>2150</v>
      </c>
      <c r="H1296" s="33" t="s">
        <v>2260</v>
      </c>
    </row>
    <row r="1297" spans="1:8" x14ac:dyDescent="0.25">
      <c r="A1297" s="32">
        <v>33063263350</v>
      </c>
      <c r="B1297" s="33" t="s">
        <v>2258</v>
      </c>
      <c r="C1297" s="33" t="s">
        <v>2259</v>
      </c>
      <c r="D1297" s="33" t="s">
        <v>2259</v>
      </c>
      <c r="E1297" s="33" t="s">
        <v>1730</v>
      </c>
      <c r="F1297" s="33" t="s">
        <v>1081</v>
      </c>
      <c r="G1297" s="33" t="s">
        <v>2150</v>
      </c>
      <c r="H1297" s="33" t="s">
        <v>2260</v>
      </c>
    </row>
    <row r="1298" spans="1:8" x14ac:dyDescent="0.25">
      <c r="A1298" s="32">
        <v>33063263351</v>
      </c>
      <c r="B1298" s="33" t="s">
        <v>2258</v>
      </c>
      <c r="C1298" s="33" t="s">
        <v>2259</v>
      </c>
      <c r="D1298" s="33" t="s">
        <v>2259</v>
      </c>
      <c r="E1298" s="33" t="s">
        <v>1730</v>
      </c>
      <c r="F1298" s="33" t="s">
        <v>933</v>
      </c>
      <c r="G1298" s="33" t="s">
        <v>2150</v>
      </c>
      <c r="H1298" s="33" t="s">
        <v>2260</v>
      </c>
    </row>
    <row r="1299" spans="1:8" x14ac:dyDescent="0.25">
      <c r="A1299" s="32">
        <v>33063263352</v>
      </c>
      <c r="B1299" s="33" t="s">
        <v>2258</v>
      </c>
      <c r="C1299" s="33" t="s">
        <v>2259</v>
      </c>
      <c r="D1299" s="33" t="s">
        <v>2259</v>
      </c>
      <c r="E1299" s="33" t="s">
        <v>1730</v>
      </c>
      <c r="F1299" s="33" t="s">
        <v>1133</v>
      </c>
      <c r="G1299" s="33" t="s">
        <v>2150</v>
      </c>
      <c r="H1299" s="33" t="s">
        <v>2261</v>
      </c>
    </row>
    <row r="1300" spans="1:8" x14ac:dyDescent="0.25">
      <c r="A1300" s="32">
        <v>33063263353</v>
      </c>
      <c r="B1300" s="33" t="s">
        <v>2258</v>
      </c>
      <c r="C1300" s="33" t="s">
        <v>2259</v>
      </c>
      <c r="D1300" s="33" t="s">
        <v>2259</v>
      </c>
      <c r="E1300" s="33" t="s">
        <v>1730</v>
      </c>
      <c r="F1300" s="33" t="s">
        <v>971</v>
      </c>
      <c r="G1300" s="33" t="s">
        <v>2150</v>
      </c>
      <c r="H1300" s="33" t="s">
        <v>2261</v>
      </c>
    </row>
    <row r="1301" spans="1:8" x14ac:dyDescent="0.25">
      <c r="A1301" s="32">
        <v>33063263354</v>
      </c>
      <c r="B1301" s="33" t="s">
        <v>2258</v>
      </c>
      <c r="C1301" s="33" t="s">
        <v>2259</v>
      </c>
      <c r="D1301" s="33" t="s">
        <v>2259</v>
      </c>
      <c r="E1301" s="33" t="s">
        <v>1730</v>
      </c>
      <c r="F1301" s="33" t="s">
        <v>932</v>
      </c>
      <c r="G1301" s="33" t="s">
        <v>2150</v>
      </c>
      <c r="H1301" s="33" t="s">
        <v>2261</v>
      </c>
    </row>
    <row r="1302" spans="1:8" x14ac:dyDescent="0.25">
      <c r="A1302" s="32">
        <v>33063263355</v>
      </c>
      <c r="B1302" s="33" t="s">
        <v>2258</v>
      </c>
      <c r="C1302" s="33" t="s">
        <v>2259</v>
      </c>
      <c r="D1302" s="33" t="s">
        <v>2259</v>
      </c>
      <c r="E1302" s="33" t="s">
        <v>1730</v>
      </c>
      <c r="F1302" s="33" t="s">
        <v>1097</v>
      </c>
      <c r="G1302" s="33" t="s">
        <v>2150</v>
      </c>
      <c r="H1302" s="33" t="s">
        <v>2261</v>
      </c>
    </row>
    <row r="1303" spans="1:8" x14ac:dyDescent="0.25">
      <c r="A1303" s="32">
        <v>33063263356</v>
      </c>
      <c r="B1303" s="33" t="s">
        <v>2258</v>
      </c>
      <c r="C1303" s="33" t="s">
        <v>2259</v>
      </c>
      <c r="D1303" s="33" t="s">
        <v>2259</v>
      </c>
      <c r="E1303" s="33" t="s">
        <v>1730</v>
      </c>
      <c r="F1303" s="33" t="s">
        <v>978</v>
      </c>
      <c r="G1303" s="33" t="s">
        <v>2150</v>
      </c>
      <c r="H1303" s="33" t="s">
        <v>2261</v>
      </c>
    </row>
    <row r="1304" spans="1:8" x14ac:dyDescent="0.25">
      <c r="A1304" s="32">
        <v>33063263357</v>
      </c>
      <c r="B1304" s="33" t="s">
        <v>2258</v>
      </c>
      <c r="C1304" s="33" t="s">
        <v>2259</v>
      </c>
      <c r="D1304" s="33" t="s">
        <v>2259</v>
      </c>
      <c r="E1304" s="33" t="s">
        <v>1730</v>
      </c>
      <c r="F1304" s="33" t="s">
        <v>966</v>
      </c>
      <c r="G1304" s="33" t="s">
        <v>2150</v>
      </c>
      <c r="H1304" s="33" t="s">
        <v>2262</v>
      </c>
    </row>
    <row r="1305" spans="1:8" x14ac:dyDescent="0.25">
      <c r="A1305" s="32">
        <v>33063263358</v>
      </c>
      <c r="B1305" s="33" t="s">
        <v>2258</v>
      </c>
      <c r="C1305" s="33" t="s">
        <v>2259</v>
      </c>
      <c r="D1305" s="33" t="s">
        <v>2259</v>
      </c>
      <c r="E1305" s="33" t="s">
        <v>1730</v>
      </c>
      <c r="F1305" s="33" t="s">
        <v>967</v>
      </c>
      <c r="G1305" s="33" t="s">
        <v>2150</v>
      </c>
      <c r="H1305" s="33" t="s">
        <v>2262</v>
      </c>
    </row>
    <row r="1306" spans="1:8" x14ac:dyDescent="0.25">
      <c r="A1306" s="32">
        <v>33063263359</v>
      </c>
      <c r="B1306" s="33" t="s">
        <v>2258</v>
      </c>
      <c r="C1306" s="33" t="s">
        <v>2259</v>
      </c>
      <c r="D1306" s="33" t="s">
        <v>2259</v>
      </c>
      <c r="E1306" s="33" t="s">
        <v>1730</v>
      </c>
      <c r="F1306" s="33" t="s">
        <v>1038</v>
      </c>
      <c r="G1306" s="33" t="s">
        <v>2150</v>
      </c>
      <c r="H1306" s="33" t="s">
        <v>2262</v>
      </c>
    </row>
    <row r="1307" spans="1:8" x14ac:dyDescent="0.25">
      <c r="A1307" s="32">
        <v>33063263360</v>
      </c>
      <c r="B1307" s="33" t="s">
        <v>2258</v>
      </c>
      <c r="C1307" s="33" t="s">
        <v>2259</v>
      </c>
      <c r="D1307" s="33" t="s">
        <v>2259</v>
      </c>
      <c r="E1307" s="33" t="s">
        <v>1730</v>
      </c>
      <c r="F1307" s="33" t="s">
        <v>965</v>
      </c>
      <c r="G1307" s="33" t="s">
        <v>2150</v>
      </c>
      <c r="H1307" s="33" t="s">
        <v>2262</v>
      </c>
    </row>
    <row r="1308" spans="1:8" x14ac:dyDescent="0.25">
      <c r="A1308" s="32">
        <v>33063263361</v>
      </c>
      <c r="B1308" s="33" t="s">
        <v>2258</v>
      </c>
      <c r="C1308" s="33" t="s">
        <v>2259</v>
      </c>
      <c r="D1308" s="33" t="s">
        <v>2259</v>
      </c>
      <c r="E1308" s="33" t="s">
        <v>1730</v>
      </c>
      <c r="F1308" s="33" t="s">
        <v>1005</v>
      </c>
      <c r="G1308" s="33" t="s">
        <v>2150</v>
      </c>
      <c r="H1308" s="33" t="s">
        <v>2262</v>
      </c>
    </row>
    <row r="1309" spans="1:8" x14ac:dyDescent="0.25">
      <c r="A1309" s="32">
        <v>33063263622</v>
      </c>
      <c r="B1309" s="33" t="s">
        <v>1739</v>
      </c>
      <c r="C1309" s="33"/>
      <c r="D1309" s="33"/>
      <c r="E1309" s="33" t="s">
        <v>1730</v>
      </c>
      <c r="F1309" s="33" t="s">
        <v>1579</v>
      </c>
      <c r="G1309" s="33" t="s">
        <v>2871</v>
      </c>
      <c r="H1309" s="33" t="s">
        <v>1579</v>
      </c>
    </row>
    <row r="1310" spans="1:8" x14ac:dyDescent="0.25">
      <c r="A1310" s="32">
        <v>33063263623</v>
      </c>
      <c r="B1310" s="33" t="s">
        <v>1739</v>
      </c>
      <c r="C1310" s="33"/>
      <c r="D1310" s="33"/>
      <c r="E1310" s="33" t="s">
        <v>1730</v>
      </c>
      <c r="F1310" s="33" t="s">
        <v>1580</v>
      </c>
      <c r="G1310" s="33" t="s">
        <v>2871</v>
      </c>
      <c r="H1310" s="33" t="s">
        <v>1580</v>
      </c>
    </row>
    <row r="1311" spans="1:8" x14ac:dyDescent="0.25">
      <c r="A1311" s="32">
        <v>33063263624</v>
      </c>
      <c r="B1311" s="33" t="s">
        <v>1739</v>
      </c>
      <c r="C1311" s="33"/>
      <c r="D1311" s="33"/>
      <c r="E1311" s="33" t="s">
        <v>1730</v>
      </c>
      <c r="F1311" s="33" t="s">
        <v>1581</v>
      </c>
      <c r="G1311" s="33" t="s">
        <v>2871</v>
      </c>
      <c r="H1311" s="33" t="s">
        <v>1581</v>
      </c>
    </row>
    <row r="1312" spans="1:8" x14ac:dyDescent="0.25">
      <c r="A1312" s="32">
        <v>33063263625</v>
      </c>
      <c r="B1312" s="33" t="s">
        <v>1739</v>
      </c>
      <c r="C1312" s="33"/>
      <c r="D1312" s="33"/>
      <c r="E1312" s="33" t="s">
        <v>1730</v>
      </c>
      <c r="F1312" s="33" t="s">
        <v>1582</v>
      </c>
      <c r="G1312" s="33" t="s">
        <v>2871</v>
      </c>
      <c r="H1312" s="33" t="s">
        <v>1582</v>
      </c>
    </row>
    <row r="1313" spans="1:8" x14ac:dyDescent="0.25">
      <c r="A1313" s="32">
        <v>33063263692</v>
      </c>
      <c r="B1313" s="33" t="s">
        <v>2258</v>
      </c>
      <c r="C1313" s="33" t="s">
        <v>2259</v>
      </c>
      <c r="D1313" s="33" t="s">
        <v>2259</v>
      </c>
      <c r="E1313" s="33" t="s">
        <v>1730</v>
      </c>
      <c r="F1313" s="33" t="s">
        <v>1542</v>
      </c>
      <c r="G1313" s="33" t="s">
        <v>2871</v>
      </c>
      <c r="H1313" s="33" t="s">
        <v>1542</v>
      </c>
    </row>
    <row r="1314" spans="1:8" x14ac:dyDescent="0.25">
      <c r="A1314" s="32">
        <v>33063263693</v>
      </c>
      <c r="B1314" s="33" t="s">
        <v>2258</v>
      </c>
      <c r="C1314" s="33" t="s">
        <v>2259</v>
      </c>
      <c r="D1314" s="33" t="s">
        <v>2259</v>
      </c>
      <c r="E1314" s="33" t="s">
        <v>1730</v>
      </c>
      <c r="F1314" s="33" t="s">
        <v>1541</v>
      </c>
      <c r="G1314" s="33" t="s">
        <v>2871</v>
      </c>
      <c r="H1314" s="33" t="s">
        <v>1541</v>
      </c>
    </row>
    <row r="1315" spans="1:8" x14ac:dyDescent="0.25">
      <c r="A1315" s="32">
        <v>33063563608</v>
      </c>
      <c r="B1315" s="33" t="s">
        <v>1739</v>
      </c>
      <c r="C1315" s="33"/>
      <c r="D1315" s="33"/>
      <c r="E1315" s="33" t="s">
        <v>1730</v>
      </c>
      <c r="F1315" s="33" t="s">
        <v>1565</v>
      </c>
      <c r="G1315" s="33" t="s">
        <v>2871</v>
      </c>
      <c r="H1315" s="33" t="s">
        <v>1565</v>
      </c>
    </row>
    <row r="1316" spans="1:8" x14ac:dyDescent="0.25">
      <c r="A1316" s="32">
        <v>33063563609</v>
      </c>
      <c r="B1316" s="33" t="s">
        <v>1739</v>
      </c>
      <c r="C1316" s="33"/>
      <c r="D1316" s="33"/>
      <c r="E1316" s="33" t="s">
        <v>1730</v>
      </c>
      <c r="F1316" s="33" t="s">
        <v>1566</v>
      </c>
      <c r="G1316" s="33" t="s">
        <v>2871</v>
      </c>
      <c r="H1316" s="33" t="s">
        <v>1566</v>
      </c>
    </row>
    <row r="1317" spans="1:8" x14ac:dyDescent="0.25">
      <c r="A1317" s="32">
        <v>33063563610</v>
      </c>
      <c r="B1317" s="33" t="s">
        <v>1739</v>
      </c>
      <c r="C1317" s="33"/>
      <c r="D1317" s="33"/>
      <c r="E1317" s="33" t="s">
        <v>1730</v>
      </c>
      <c r="F1317" s="33" t="s">
        <v>1567</v>
      </c>
      <c r="G1317" s="33" t="s">
        <v>2871</v>
      </c>
      <c r="H1317" s="33" t="s">
        <v>1567</v>
      </c>
    </row>
    <row r="1318" spans="1:8" x14ac:dyDescent="0.25">
      <c r="A1318" s="32">
        <v>33063563611</v>
      </c>
      <c r="B1318" s="33" t="s">
        <v>1739</v>
      </c>
      <c r="C1318" s="33"/>
      <c r="D1318" s="33"/>
      <c r="E1318" s="33" t="s">
        <v>1730</v>
      </c>
      <c r="F1318" s="33" t="s">
        <v>1568</v>
      </c>
      <c r="G1318" s="33" t="s">
        <v>2871</v>
      </c>
      <c r="H1318" s="33" t="s">
        <v>1568</v>
      </c>
    </row>
    <row r="1319" spans="1:8" x14ac:dyDescent="0.25">
      <c r="A1319" s="32">
        <v>33063563612</v>
      </c>
      <c r="B1319" s="33" t="s">
        <v>1739</v>
      </c>
      <c r="C1319" s="33"/>
      <c r="D1319" s="33"/>
      <c r="E1319" s="33" t="s">
        <v>1730</v>
      </c>
      <c r="F1319" s="33" t="s">
        <v>1569</v>
      </c>
      <c r="G1319" s="33" t="s">
        <v>2871</v>
      </c>
      <c r="H1319" s="33" t="s">
        <v>1569</v>
      </c>
    </row>
    <row r="1320" spans="1:8" x14ac:dyDescent="0.25">
      <c r="A1320" s="32">
        <v>33063563613</v>
      </c>
      <c r="B1320" s="33" t="s">
        <v>1739</v>
      </c>
      <c r="C1320" s="33"/>
      <c r="D1320" s="33"/>
      <c r="E1320" s="33" t="s">
        <v>1730</v>
      </c>
      <c r="F1320" s="33" t="s">
        <v>1570</v>
      </c>
      <c r="G1320" s="33" t="s">
        <v>2871</v>
      </c>
      <c r="H1320" s="33" t="s">
        <v>1570</v>
      </c>
    </row>
    <row r="1321" spans="1:8" x14ac:dyDescent="0.25">
      <c r="A1321" s="32">
        <v>33063563614</v>
      </c>
      <c r="B1321" s="33" t="s">
        <v>1739</v>
      </c>
      <c r="C1321" s="33"/>
      <c r="D1321" s="33"/>
      <c r="E1321" s="33" t="s">
        <v>1730</v>
      </c>
      <c r="F1321" s="33" t="s">
        <v>1571</v>
      </c>
      <c r="G1321" s="33" t="s">
        <v>2871</v>
      </c>
      <c r="H1321" s="33" t="s">
        <v>1571</v>
      </c>
    </row>
    <row r="1322" spans="1:8" x14ac:dyDescent="0.25">
      <c r="A1322" s="32">
        <v>33063563615</v>
      </c>
      <c r="B1322" s="33" t="s">
        <v>1739</v>
      </c>
      <c r="C1322" s="33"/>
      <c r="D1322" s="33"/>
      <c r="E1322" s="33" t="s">
        <v>1730</v>
      </c>
      <c r="F1322" s="33" t="s">
        <v>1572</v>
      </c>
      <c r="G1322" s="33" t="s">
        <v>2871</v>
      </c>
      <c r="H1322" s="33" t="s">
        <v>1572</v>
      </c>
    </row>
    <row r="1323" spans="1:8" x14ac:dyDescent="0.25">
      <c r="A1323" s="32">
        <v>33063563616</v>
      </c>
      <c r="B1323" s="33" t="s">
        <v>1739</v>
      </c>
      <c r="C1323" s="33"/>
      <c r="D1323" s="33"/>
      <c r="E1323" s="33" t="s">
        <v>1730</v>
      </c>
      <c r="F1323" s="33" t="s">
        <v>1573</v>
      </c>
      <c r="G1323" s="33" t="s">
        <v>2871</v>
      </c>
      <c r="H1323" s="33" t="s">
        <v>1573</v>
      </c>
    </row>
    <row r="1324" spans="1:8" x14ac:dyDescent="0.25">
      <c r="A1324" s="32">
        <v>33063563617</v>
      </c>
      <c r="B1324" s="33" t="s">
        <v>1739</v>
      </c>
      <c r="C1324" s="33"/>
      <c r="D1324" s="33"/>
      <c r="E1324" s="33" t="s">
        <v>1730</v>
      </c>
      <c r="F1324" s="33" t="s">
        <v>1574</v>
      </c>
      <c r="G1324" s="33" t="s">
        <v>2871</v>
      </c>
      <c r="H1324" s="33" t="s">
        <v>1574</v>
      </c>
    </row>
    <row r="1325" spans="1:8" x14ac:dyDescent="0.25">
      <c r="A1325" s="32">
        <v>33063563618</v>
      </c>
      <c r="B1325" s="33" t="s">
        <v>1739</v>
      </c>
      <c r="C1325" s="33"/>
      <c r="D1325" s="33"/>
      <c r="E1325" s="33" t="s">
        <v>1730</v>
      </c>
      <c r="F1325" s="33" t="s">
        <v>1575</v>
      </c>
      <c r="G1325" s="33" t="s">
        <v>2871</v>
      </c>
      <c r="H1325" s="33" t="s">
        <v>1575</v>
      </c>
    </row>
    <row r="1326" spans="1:8" x14ac:dyDescent="0.25">
      <c r="A1326" s="32">
        <v>33063563619</v>
      </c>
      <c r="B1326" s="33" t="s">
        <v>1739</v>
      </c>
      <c r="C1326" s="33"/>
      <c r="D1326" s="33"/>
      <c r="E1326" s="33" t="s">
        <v>1730</v>
      </c>
      <c r="F1326" s="33" t="s">
        <v>1576</v>
      </c>
      <c r="G1326" s="33" t="s">
        <v>2871</v>
      </c>
      <c r="H1326" s="33" t="s">
        <v>1576</v>
      </c>
    </row>
    <row r="1327" spans="1:8" x14ac:dyDescent="0.25">
      <c r="A1327" s="32">
        <v>33063563620</v>
      </c>
      <c r="B1327" s="33" t="s">
        <v>1739</v>
      </c>
      <c r="C1327" s="33"/>
      <c r="D1327" s="33"/>
      <c r="E1327" s="33" t="s">
        <v>1730</v>
      </c>
      <c r="F1327" s="33" t="s">
        <v>1577</v>
      </c>
      <c r="G1327" s="33" t="s">
        <v>2871</v>
      </c>
      <c r="H1327" s="33" t="s">
        <v>1577</v>
      </c>
    </row>
    <row r="1328" spans="1:8" x14ac:dyDescent="0.25">
      <c r="A1328" s="32">
        <v>33063563621</v>
      </c>
      <c r="B1328" s="33" t="s">
        <v>1739</v>
      </c>
      <c r="C1328" s="33"/>
      <c r="D1328" s="33"/>
      <c r="E1328" s="33" t="s">
        <v>1730</v>
      </c>
      <c r="F1328" s="33" t="s">
        <v>1578</v>
      </c>
      <c r="G1328" s="33" t="s">
        <v>2871</v>
      </c>
      <c r="H1328" s="33" t="s">
        <v>1578</v>
      </c>
    </row>
    <row r="1329" spans="1:8" x14ac:dyDescent="0.25">
      <c r="A1329" s="32">
        <v>33069964053</v>
      </c>
      <c r="B1329" s="33" t="s">
        <v>1729</v>
      </c>
      <c r="C1329" s="33" t="s">
        <v>1962</v>
      </c>
      <c r="D1329" s="33" t="s">
        <v>1962</v>
      </c>
      <c r="E1329" s="33" t="s">
        <v>1730</v>
      </c>
      <c r="F1329" s="33" t="s">
        <v>1963</v>
      </c>
      <c r="G1329" s="33" t="s">
        <v>2871</v>
      </c>
      <c r="H1329" s="33" t="s">
        <v>1964</v>
      </c>
    </row>
    <row r="1330" spans="1:8" x14ac:dyDescent="0.25">
      <c r="A1330" s="32">
        <v>33069964054</v>
      </c>
      <c r="B1330" s="33" t="s">
        <v>1729</v>
      </c>
      <c r="C1330" s="33" t="s">
        <v>1962</v>
      </c>
      <c r="D1330" s="33" t="s">
        <v>1962</v>
      </c>
      <c r="E1330" s="33" t="s">
        <v>1730</v>
      </c>
      <c r="F1330" s="33" t="s">
        <v>1965</v>
      </c>
      <c r="G1330" s="33" t="s">
        <v>2871</v>
      </c>
      <c r="H1330" s="33" t="s">
        <v>1966</v>
      </c>
    </row>
    <row r="1331" spans="1:8" x14ac:dyDescent="0.25">
      <c r="A1331" s="32">
        <v>33070063832</v>
      </c>
      <c r="B1331" s="33" t="s">
        <v>2743</v>
      </c>
      <c r="C1331" s="33" t="s">
        <v>2744</v>
      </c>
      <c r="D1331" s="33" t="s">
        <v>2744</v>
      </c>
      <c r="E1331" s="33" t="s">
        <v>2744</v>
      </c>
      <c r="F1331" s="33" t="s">
        <v>2746</v>
      </c>
      <c r="G1331" s="33" t="s">
        <v>2150</v>
      </c>
      <c r="H1331" s="33" t="s">
        <v>2746</v>
      </c>
    </row>
    <row r="1332" spans="1:8" x14ac:dyDescent="0.25">
      <c r="A1332" s="32">
        <v>33070063833</v>
      </c>
      <c r="B1332" s="33" t="s">
        <v>2743</v>
      </c>
      <c r="C1332" s="33" t="s">
        <v>2751</v>
      </c>
      <c r="D1332" s="33" t="s">
        <v>2751</v>
      </c>
      <c r="E1332" s="33" t="s">
        <v>1730</v>
      </c>
      <c r="F1332" s="33" t="s">
        <v>2753</v>
      </c>
      <c r="G1332" s="33" t="s">
        <v>2150</v>
      </c>
      <c r="H1332" s="33" t="s">
        <v>2753</v>
      </c>
    </row>
    <row r="1333" spans="1:8" x14ac:dyDescent="0.25">
      <c r="A1333" s="32">
        <v>33070063834</v>
      </c>
      <c r="B1333" s="33" t="s">
        <v>2743</v>
      </c>
      <c r="C1333" s="33" t="s">
        <v>2751</v>
      </c>
      <c r="D1333" s="33" t="s">
        <v>2751</v>
      </c>
      <c r="E1333" s="33" t="s">
        <v>1730</v>
      </c>
      <c r="F1333" s="33" t="s">
        <v>2754</v>
      </c>
      <c r="G1333" s="33" t="s">
        <v>2150</v>
      </c>
      <c r="H1333" s="33" t="s">
        <v>2754</v>
      </c>
    </row>
    <row r="1334" spans="1:8" x14ac:dyDescent="0.25">
      <c r="A1334" s="32">
        <v>33070063835</v>
      </c>
      <c r="B1334" s="33" t="s">
        <v>2743</v>
      </c>
      <c r="C1334" s="33" t="s">
        <v>2751</v>
      </c>
      <c r="D1334" s="33" t="s">
        <v>2751</v>
      </c>
      <c r="E1334" s="33" t="s">
        <v>1730</v>
      </c>
      <c r="F1334" s="33" t="s">
        <v>2752</v>
      </c>
      <c r="G1334" s="33" t="s">
        <v>2150</v>
      </c>
      <c r="H1334" s="33" t="s">
        <v>2752</v>
      </c>
    </row>
    <row r="1335" spans="1:8" x14ac:dyDescent="0.25">
      <c r="A1335" s="32">
        <v>33070063836</v>
      </c>
      <c r="B1335" s="33" t="s">
        <v>2743</v>
      </c>
      <c r="C1335" s="33" t="s">
        <v>2749</v>
      </c>
      <c r="D1335" s="33" t="s">
        <v>2749</v>
      </c>
      <c r="E1335" s="33" t="s">
        <v>1730</v>
      </c>
      <c r="F1335" s="33" t="s">
        <v>2750</v>
      </c>
      <c r="G1335" s="33" t="s">
        <v>2150</v>
      </c>
      <c r="H1335" s="33" t="s">
        <v>2750</v>
      </c>
    </row>
    <row r="1336" spans="1:8" x14ac:dyDescent="0.25">
      <c r="A1336" s="32">
        <v>33070063837</v>
      </c>
      <c r="B1336" s="33" t="s">
        <v>2743</v>
      </c>
      <c r="C1336" s="33" t="s">
        <v>2747</v>
      </c>
      <c r="D1336" s="33" t="s">
        <v>2747</v>
      </c>
      <c r="E1336" s="33" t="s">
        <v>1730</v>
      </c>
      <c r="F1336" s="33" t="s">
        <v>2748</v>
      </c>
      <c r="G1336" s="33" t="s">
        <v>2150</v>
      </c>
      <c r="H1336" s="33" t="s">
        <v>2748</v>
      </c>
    </row>
    <row r="1337" spans="1:8" x14ac:dyDescent="0.25">
      <c r="A1337" s="32">
        <v>33070063838</v>
      </c>
      <c r="B1337" s="33" t="s">
        <v>2743</v>
      </c>
      <c r="C1337" s="33" t="s">
        <v>2744</v>
      </c>
      <c r="D1337" s="33" t="s">
        <v>2744</v>
      </c>
      <c r="E1337" s="33" t="s">
        <v>2744</v>
      </c>
      <c r="F1337" s="33" t="s">
        <v>2757</v>
      </c>
      <c r="G1337" s="33" t="s">
        <v>2150</v>
      </c>
      <c r="H1337" s="33" t="s">
        <v>2757</v>
      </c>
    </row>
    <row r="1338" spans="1:8" x14ac:dyDescent="0.25">
      <c r="A1338" s="32">
        <v>33070063839</v>
      </c>
      <c r="B1338" s="33" t="s">
        <v>2743</v>
      </c>
      <c r="C1338" s="33" t="s">
        <v>2744</v>
      </c>
      <c r="D1338" s="33" t="s">
        <v>2744</v>
      </c>
      <c r="E1338" s="33" t="s">
        <v>2744</v>
      </c>
      <c r="F1338" s="33" t="s">
        <v>2745</v>
      </c>
      <c r="G1338" s="33" t="s">
        <v>2150</v>
      </c>
      <c r="H1338" s="33" t="s">
        <v>2745</v>
      </c>
    </row>
    <row r="1339" spans="1:8" x14ac:dyDescent="0.25">
      <c r="A1339" s="32">
        <v>33070063840</v>
      </c>
      <c r="B1339" s="33" t="s">
        <v>2743</v>
      </c>
      <c r="C1339" s="33" t="s">
        <v>2744</v>
      </c>
      <c r="D1339" s="33" t="s">
        <v>2744</v>
      </c>
      <c r="E1339" s="33" t="s">
        <v>2744</v>
      </c>
      <c r="F1339" s="33" t="s">
        <v>2756</v>
      </c>
      <c r="G1339" s="33" t="s">
        <v>2150</v>
      </c>
      <c r="H1339" s="33" t="s">
        <v>2756</v>
      </c>
    </row>
    <row r="1340" spans="1:8" x14ac:dyDescent="0.25">
      <c r="A1340" s="32">
        <v>33070063841</v>
      </c>
      <c r="B1340" s="33" t="s">
        <v>2743</v>
      </c>
      <c r="C1340" s="33" t="s">
        <v>2744</v>
      </c>
      <c r="D1340" s="33" t="s">
        <v>2744</v>
      </c>
      <c r="E1340" s="33" t="s">
        <v>2744</v>
      </c>
      <c r="F1340" s="33" t="s">
        <v>2755</v>
      </c>
      <c r="G1340" s="33" t="s">
        <v>2150</v>
      </c>
      <c r="H1340" s="33" t="s">
        <v>2755</v>
      </c>
    </row>
    <row r="1341" spans="1:8" x14ac:dyDescent="0.25">
      <c r="A1341" s="32">
        <v>33070114126</v>
      </c>
      <c r="B1341" s="33" t="s">
        <v>1754</v>
      </c>
      <c r="C1341" s="33" t="s">
        <v>1674</v>
      </c>
      <c r="D1341" s="33" t="s">
        <v>1674</v>
      </c>
      <c r="E1341" s="33" t="s">
        <v>1730</v>
      </c>
      <c r="F1341" s="33" t="s">
        <v>490</v>
      </c>
      <c r="G1341" s="33" t="s">
        <v>2129</v>
      </c>
      <c r="H1341" s="33" t="s">
        <v>2555</v>
      </c>
    </row>
    <row r="1342" spans="1:8" x14ac:dyDescent="0.25">
      <c r="A1342" s="32">
        <v>33070114128</v>
      </c>
      <c r="B1342" s="33" t="s">
        <v>1754</v>
      </c>
      <c r="C1342" s="33" t="s">
        <v>1674</v>
      </c>
      <c r="D1342" s="33" t="s">
        <v>1674</v>
      </c>
      <c r="E1342" s="33" t="s">
        <v>1730</v>
      </c>
      <c r="F1342" s="33" t="s">
        <v>491</v>
      </c>
      <c r="G1342" s="33" t="s">
        <v>2129</v>
      </c>
      <c r="H1342" s="33" t="s">
        <v>2559</v>
      </c>
    </row>
    <row r="1343" spans="1:8" x14ac:dyDescent="0.25">
      <c r="A1343" s="32">
        <v>33070114631</v>
      </c>
      <c r="B1343" s="33" t="s">
        <v>1754</v>
      </c>
      <c r="C1343" s="33" t="s">
        <v>1674</v>
      </c>
      <c r="D1343" s="33" t="s">
        <v>1674</v>
      </c>
      <c r="E1343" s="33" t="s">
        <v>1730</v>
      </c>
      <c r="F1343" s="33" t="s">
        <v>492</v>
      </c>
      <c r="G1343" s="33" t="s">
        <v>1732</v>
      </c>
      <c r="H1343" s="33" t="s">
        <v>2556</v>
      </c>
    </row>
    <row r="1344" spans="1:8" x14ac:dyDescent="0.25">
      <c r="A1344" s="32">
        <v>33070114632</v>
      </c>
      <c r="B1344" s="33" t="s">
        <v>1754</v>
      </c>
      <c r="C1344" s="33" t="s">
        <v>1674</v>
      </c>
      <c r="D1344" s="33" t="s">
        <v>1674</v>
      </c>
      <c r="E1344" s="33" t="s">
        <v>1730</v>
      </c>
      <c r="F1344" s="33" t="s">
        <v>493</v>
      </c>
      <c r="G1344" s="33" t="s">
        <v>1732</v>
      </c>
      <c r="H1344" s="33" t="s">
        <v>2560</v>
      </c>
    </row>
    <row r="1345" spans="1:8" x14ac:dyDescent="0.25">
      <c r="A1345" s="32">
        <v>33070114634</v>
      </c>
      <c r="B1345" s="33" t="s">
        <v>1754</v>
      </c>
      <c r="C1345" s="33" t="s">
        <v>1682</v>
      </c>
      <c r="D1345" s="33" t="s">
        <v>1682</v>
      </c>
      <c r="E1345" s="33" t="s">
        <v>1730</v>
      </c>
      <c r="F1345" s="33" t="s">
        <v>494</v>
      </c>
      <c r="G1345" s="33" t="s">
        <v>1732</v>
      </c>
      <c r="H1345" s="33" t="s">
        <v>2502</v>
      </c>
    </row>
    <row r="1346" spans="1:8" x14ac:dyDescent="0.25">
      <c r="A1346" s="32">
        <v>33070114769</v>
      </c>
      <c r="B1346" s="33" t="s">
        <v>1754</v>
      </c>
      <c r="C1346" s="33" t="s">
        <v>1674</v>
      </c>
      <c r="D1346" s="33" t="s">
        <v>1674</v>
      </c>
      <c r="E1346" s="33" t="s">
        <v>1730</v>
      </c>
      <c r="F1346" s="33" t="s">
        <v>495</v>
      </c>
      <c r="G1346" s="33" t="s">
        <v>1732</v>
      </c>
      <c r="H1346" s="33" t="s">
        <v>2561</v>
      </c>
    </row>
    <row r="1347" spans="1:8" x14ac:dyDescent="0.25">
      <c r="A1347" s="32">
        <v>33070114788</v>
      </c>
      <c r="B1347" s="33" t="s">
        <v>1754</v>
      </c>
      <c r="C1347" s="33" t="s">
        <v>1674</v>
      </c>
      <c r="D1347" s="33" t="s">
        <v>1674</v>
      </c>
      <c r="E1347" s="33" t="s">
        <v>1730</v>
      </c>
      <c r="F1347" s="33" t="s">
        <v>496</v>
      </c>
      <c r="G1347" s="33" t="s">
        <v>2129</v>
      </c>
      <c r="H1347" s="33" t="s">
        <v>2554</v>
      </c>
    </row>
    <row r="1348" spans="1:8" x14ac:dyDescent="0.25">
      <c r="A1348" s="32">
        <v>33070114933</v>
      </c>
      <c r="B1348" s="33" t="s">
        <v>1754</v>
      </c>
      <c r="C1348" s="33" t="s">
        <v>1674</v>
      </c>
      <c r="D1348" s="33" t="s">
        <v>1674</v>
      </c>
      <c r="E1348" s="33" t="s">
        <v>1730</v>
      </c>
      <c r="F1348" s="33" t="s">
        <v>497</v>
      </c>
      <c r="G1348" s="33" t="s">
        <v>1732</v>
      </c>
      <c r="H1348" s="33" t="s">
        <v>2558</v>
      </c>
    </row>
    <row r="1349" spans="1:8" x14ac:dyDescent="0.25">
      <c r="A1349" s="32">
        <v>33070114936</v>
      </c>
      <c r="B1349" s="33" t="s">
        <v>1754</v>
      </c>
      <c r="C1349" s="33" t="s">
        <v>1675</v>
      </c>
      <c r="D1349" s="33" t="s">
        <v>1675</v>
      </c>
      <c r="E1349" s="33" t="s">
        <v>1730</v>
      </c>
      <c r="F1349" s="33" t="s">
        <v>498</v>
      </c>
      <c r="G1349" s="33" t="s">
        <v>1732</v>
      </c>
      <c r="H1349" s="33" t="s">
        <v>498</v>
      </c>
    </row>
    <row r="1350" spans="1:8" x14ac:dyDescent="0.25">
      <c r="A1350" s="32">
        <v>33070114937</v>
      </c>
      <c r="B1350" s="33" t="s">
        <v>1754</v>
      </c>
      <c r="C1350" s="33" t="s">
        <v>1675</v>
      </c>
      <c r="D1350" s="33" t="s">
        <v>1675</v>
      </c>
      <c r="E1350" s="33" t="s">
        <v>1730</v>
      </c>
      <c r="F1350" s="33" t="s">
        <v>1492</v>
      </c>
      <c r="G1350" s="33" t="s">
        <v>1732</v>
      </c>
      <c r="H1350" s="33" t="s">
        <v>1492</v>
      </c>
    </row>
    <row r="1351" spans="1:8" x14ac:dyDescent="0.25">
      <c r="A1351" s="32">
        <v>33070114938</v>
      </c>
      <c r="B1351" s="33" t="s">
        <v>1754</v>
      </c>
      <c r="C1351" s="33" t="s">
        <v>1685</v>
      </c>
      <c r="D1351" s="33" t="s">
        <v>1685</v>
      </c>
      <c r="E1351" s="33" t="s">
        <v>1730</v>
      </c>
      <c r="F1351" s="33" t="s">
        <v>1359</v>
      </c>
      <c r="G1351" s="33" t="s">
        <v>1732</v>
      </c>
      <c r="H1351" s="33" t="s">
        <v>499</v>
      </c>
    </row>
    <row r="1352" spans="1:8" x14ac:dyDescent="0.25">
      <c r="A1352" s="32">
        <v>33070114955</v>
      </c>
      <c r="B1352" s="33" t="s">
        <v>1754</v>
      </c>
      <c r="C1352" s="33" t="s">
        <v>1685</v>
      </c>
      <c r="D1352" s="33" t="s">
        <v>1685</v>
      </c>
      <c r="E1352" s="33" t="s">
        <v>1730</v>
      </c>
      <c r="F1352" s="33" t="s">
        <v>1360</v>
      </c>
      <c r="G1352" s="33" t="s">
        <v>1732</v>
      </c>
      <c r="H1352" s="33" t="s">
        <v>500</v>
      </c>
    </row>
    <row r="1353" spans="1:8" x14ac:dyDescent="0.25">
      <c r="A1353" s="32">
        <v>33070114956</v>
      </c>
      <c r="B1353" s="33" t="s">
        <v>1754</v>
      </c>
      <c r="C1353" s="33" t="s">
        <v>1673</v>
      </c>
      <c r="D1353" s="33" t="s">
        <v>1673</v>
      </c>
      <c r="E1353" s="33" t="s">
        <v>1730</v>
      </c>
      <c r="F1353" s="33" t="s">
        <v>1349</v>
      </c>
      <c r="G1353" s="33" t="s">
        <v>1732</v>
      </c>
      <c r="H1353" s="33" t="s">
        <v>501</v>
      </c>
    </row>
    <row r="1354" spans="1:8" x14ac:dyDescent="0.25">
      <c r="A1354" s="32">
        <v>33070114958</v>
      </c>
      <c r="B1354" s="33" t="s">
        <v>1754</v>
      </c>
      <c r="C1354" s="33" t="s">
        <v>1672</v>
      </c>
      <c r="D1354" s="33" t="s">
        <v>1672</v>
      </c>
      <c r="E1354" s="33" t="s">
        <v>1730</v>
      </c>
      <c r="F1354" s="33" t="s">
        <v>1483</v>
      </c>
      <c r="G1354" s="33" t="s">
        <v>1732</v>
      </c>
      <c r="H1354" s="33" t="s">
        <v>1483</v>
      </c>
    </row>
    <row r="1355" spans="1:8" x14ac:dyDescent="0.25">
      <c r="A1355" s="32">
        <v>33070114959</v>
      </c>
      <c r="B1355" s="33" t="s">
        <v>1754</v>
      </c>
      <c r="C1355" s="33" t="s">
        <v>1679</v>
      </c>
      <c r="D1355" s="33" t="s">
        <v>1679</v>
      </c>
      <c r="E1355" s="33" t="s">
        <v>1730</v>
      </c>
      <c r="F1355" s="33" t="s">
        <v>1356</v>
      </c>
      <c r="G1355" s="33" t="s">
        <v>1732</v>
      </c>
      <c r="H1355" s="33" t="s">
        <v>502</v>
      </c>
    </row>
    <row r="1356" spans="1:8" x14ac:dyDescent="0.25">
      <c r="A1356" s="32">
        <v>33070114960</v>
      </c>
      <c r="B1356" s="33" t="s">
        <v>1754</v>
      </c>
      <c r="C1356" s="33" t="s">
        <v>1679</v>
      </c>
      <c r="D1356" s="33" t="s">
        <v>1679</v>
      </c>
      <c r="E1356" s="33" t="s">
        <v>1730</v>
      </c>
      <c r="F1356" s="33" t="s">
        <v>1505</v>
      </c>
      <c r="G1356" s="33" t="s">
        <v>1732</v>
      </c>
      <c r="H1356" s="33" t="s">
        <v>2270</v>
      </c>
    </row>
    <row r="1357" spans="1:8" x14ac:dyDescent="0.25">
      <c r="A1357" s="32">
        <v>33070118000</v>
      </c>
      <c r="B1357" s="33" t="s">
        <v>2057</v>
      </c>
      <c r="C1357" s="33" t="s">
        <v>2059</v>
      </c>
      <c r="D1357" s="33" t="s">
        <v>2059</v>
      </c>
      <c r="E1357" s="33" t="s">
        <v>1730</v>
      </c>
      <c r="F1357" s="33" t="s">
        <v>503</v>
      </c>
      <c r="G1357" s="33" t="s">
        <v>1732</v>
      </c>
      <c r="H1357" s="33" t="s">
        <v>503</v>
      </c>
    </row>
    <row r="1358" spans="1:8" x14ac:dyDescent="0.25">
      <c r="A1358" s="32">
        <v>33070118001</v>
      </c>
      <c r="B1358" s="33" t="s">
        <v>2057</v>
      </c>
      <c r="C1358" s="33" t="s">
        <v>2059</v>
      </c>
      <c r="D1358" s="33" t="s">
        <v>2059</v>
      </c>
      <c r="E1358" s="33" t="s">
        <v>1730</v>
      </c>
      <c r="F1358" s="33" t="s">
        <v>504</v>
      </c>
      <c r="G1358" s="33" t="s">
        <v>1732</v>
      </c>
      <c r="H1358" s="33" t="s">
        <v>504</v>
      </c>
    </row>
    <row r="1359" spans="1:8" x14ac:dyDescent="0.25">
      <c r="A1359" s="32">
        <v>33070118002</v>
      </c>
      <c r="B1359" s="33" t="s">
        <v>2057</v>
      </c>
      <c r="C1359" s="33" t="s">
        <v>1677</v>
      </c>
      <c r="D1359" s="33" t="s">
        <v>1677</v>
      </c>
      <c r="E1359" s="33" t="s">
        <v>1681</v>
      </c>
      <c r="F1359" s="33" t="s">
        <v>505</v>
      </c>
      <c r="G1359" s="33" t="s">
        <v>1732</v>
      </c>
      <c r="H1359" s="33" t="s">
        <v>505</v>
      </c>
    </row>
    <row r="1360" spans="1:8" x14ac:dyDescent="0.25">
      <c r="A1360" s="32">
        <v>33070118007</v>
      </c>
      <c r="B1360" s="33" t="s">
        <v>2057</v>
      </c>
      <c r="C1360" s="33" t="s">
        <v>2059</v>
      </c>
      <c r="D1360" s="33" t="s">
        <v>2059</v>
      </c>
      <c r="E1360" s="33" t="s">
        <v>1730</v>
      </c>
      <c r="F1360" s="33" t="s">
        <v>506</v>
      </c>
      <c r="G1360" s="33" t="s">
        <v>1732</v>
      </c>
      <c r="H1360" s="33" t="s">
        <v>506</v>
      </c>
    </row>
    <row r="1361" spans="1:8" x14ac:dyDescent="0.25">
      <c r="A1361" s="32">
        <v>33070118008</v>
      </c>
      <c r="B1361" s="33" t="s">
        <v>2057</v>
      </c>
      <c r="C1361" s="33" t="s">
        <v>2058</v>
      </c>
      <c r="D1361" s="33" t="s">
        <v>2058</v>
      </c>
      <c r="E1361" s="33" t="s">
        <v>1730</v>
      </c>
      <c r="F1361" s="33" t="s">
        <v>507</v>
      </c>
      <c r="G1361" s="33" t="s">
        <v>1732</v>
      </c>
      <c r="H1361" s="33" t="s">
        <v>507</v>
      </c>
    </row>
    <row r="1362" spans="1:8" x14ac:dyDescent="0.25">
      <c r="A1362" s="32">
        <v>33070118010</v>
      </c>
      <c r="B1362" s="33" t="s">
        <v>2057</v>
      </c>
      <c r="C1362" s="33" t="s">
        <v>2058</v>
      </c>
      <c r="D1362" s="33" t="s">
        <v>2058</v>
      </c>
      <c r="E1362" s="33" t="s">
        <v>1730</v>
      </c>
      <c r="F1362" s="33" t="s">
        <v>508</v>
      </c>
      <c r="G1362" s="33" t="s">
        <v>1732</v>
      </c>
      <c r="H1362" s="33" t="s">
        <v>508</v>
      </c>
    </row>
    <row r="1363" spans="1:8" x14ac:dyDescent="0.25">
      <c r="A1363" s="32">
        <v>33070118011</v>
      </c>
      <c r="B1363" s="33" t="s">
        <v>2057</v>
      </c>
      <c r="C1363" s="33" t="s">
        <v>2058</v>
      </c>
      <c r="D1363" s="33" t="s">
        <v>2058</v>
      </c>
      <c r="E1363" s="33" t="s">
        <v>1730</v>
      </c>
      <c r="F1363" s="33" t="s">
        <v>509</v>
      </c>
      <c r="G1363" s="33" t="s">
        <v>1732</v>
      </c>
      <c r="H1363" s="33" t="s">
        <v>509</v>
      </c>
    </row>
    <row r="1364" spans="1:8" x14ac:dyDescent="0.25">
      <c r="A1364" s="32">
        <v>33070118012</v>
      </c>
      <c r="B1364" s="33" t="s">
        <v>2057</v>
      </c>
      <c r="C1364" s="33" t="s">
        <v>2062</v>
      </c>
      <c r="D1364" s="33" t="s">
        <v>2062</v>
      </c>
      <c r="E1364" s="33" t="s">
        <v>1730</v>
      </c>
      <c r="F1364" s="33" t="s">
        <v>510</v>
      </c>
      <c r="G1364" s="33" t="s">
        <v>1732</v>
      </c>
      <c r="H1364" s="33" t="s">
        <v>510</v>
      </c>
    </row>
    <row r="1365" spans="1:8" x14ac:dyDescent="0.25">
      <c r="A1365" s="32">
        <v>33070118013</v>
      </c>
      <c r="B1365" s="33" t="s">
        <v>2057</v>
      </c>
      <c r="C1365" s="33" t="s">
        <v>2058</v>
      </c>
      <c r="D1365" s="33" t="s">
        <v>2058</v>
      </c>
      <c r="E1365" s="33" t="s">
        <v>1730</v>
      </c>
      <c r="F1365" s="33" t="s">
        <v>511</v>
      </c>
      <c r="G1365" s="33" t="s">
        <v>1732</v>
      </c>
      <c r="H1365" s="33" t="s">
        <v>511</v>
      </c>
    </row>
    <row r="1366" spans="1:8" x14ac:dyDescent="0.25">
      <c r="A1366" s="32">
        <v>33070118014</v>
      </c>
      <c r="B1366" s="33" t="s">
        <v>2057</v>
      </c>
      <c r="C1366" s="33" t="s">
        <v>2058</v>
      </c>
      <c r="D1366" s="33" t="s">
        <v>2058</v>
      </c>
      <c r="E1366" s="33" t="s">
        <v>1730</v>
      </c>
      <c r="F1366" s="33" t="s">
        <v>512</v>
      </c>
      <c r="G1366" s="33" t="s">
        <v>1732</v>
      </c>
      <c r="H1366" s="33" t="s">
        <v>512</v>
      </c>
    </row>
    <row r="1367" spans="1:8" x14ac:dyDescent="0.25">
      <c r="A1367" s="32">
        <v>33070118015</v>
      </c>
      <c r="B1367" s="33" t="s">
        <v>2057</v>
      </c>
      <c r="C1367" s="33" t="s">
        <v>2058</v>
      </c>
      <c r="D1367" s="33" t="s">
        <v>2058</v>
      </c>
      <c r="E1367" s="33" t="s">
        <v>1730</v>
      </c>
      <c r="F1367" s="33" t="s">
        <v>1477</v>
      </c>
      <c r="G1367" s="33" t="s">
        <v>1732</v>
      </c>
      <c r="H1367" s="33" t="s">
        <v>1477</v>
      </c>
    </row>
    <row r="1368" spans="1:8" x14ac:dyDescent="0.25">
      <c r="A1368" s="32">
        <v>33070118017</v>
      </c>
      <c r="B1368" s="33" t="s">
        <v>2057</v>
      </c>
      <c r="C1368" s="33" t="s">
        <v>2058</v>
      </c>
      <c r="D1368" s="33" t="s">
        <v>2058</v>
      </c>
      <c r="E1368" s="33" t="s">
        <v>1730</v>
      </c>
      <c r="F1368" s="33" t="s">
        <v>513</v>
      </c>
      <c r="G1368" s="33" t="s">
        <v>1732</v>
      </c>
      <c r="H1368" s="33" t="s">
        <v>513</v>
      </c>
    </row>
    <row r="1369" spans="1:8" x14ac:dyDescent="0.25">
      <c r="A1369" s="32">
        <v>33070118018</v>
      </c>
      <c r="B1369" s="33" t="s">
        <v>2057</v>
      </c>
      <c r="C1369" s="33" t="s">
        <v>2058</v>
      </c>
      <c r="D1369" s="33" t="s">
        <v>2058</v>
      </c>
      <c r="E1369" s="33" t="s">
        <v>1730</v>
      </c>
      <c r="F1369" s="33" t="s">
        <v>514</v>
      </c>
      <c r="G1369" s="33" t="s">
        <v>1732</v>
      </c>
      <c r="H1369" s="33" t="s">
        <v>514</v>
      </c>
    </row>
    <row r="1370" spans="1:8" x14ac:dyDescent="0.25">
      <c r="A1370" s="32">
        <v>33070118020</v>
      </c>
      <c r="B1370" s="33" t="s">
        <v>2057</v>
      </c>
      <c r="C1370" s="33" t="s">
        <v>2058</v>
      </c>
      <c r="D1370" s="33" t="s">
        <v>2058</v>
      </c>
      <c r="E1370" s="33" t="s">
        <v>1730</v>
      </c>
      <c r="F1370" s="33" t="s">
        <v>515</v>
      </c>
      <c r="G1370" s="33" t="s">
        <v>1732</v>
      </c>
      <c r="H1370" s="33" t="s">
        <v>515</v>
      </c>
    </row>
    <row r="1371" spans="1:8" x14ac:dyDescent="0.25">
      <c r="A1371" s="32">
        <v>33070118022</v>
      </c>
      <c r="B1371" s="33" t="s">
        <v>2057</v>
      </c>
      <c r="C1371" s="33" t="s">
        <v>2058</v>
      </c>
      <c r="D1371" s="33" t="s">
        <v>2058</v>
      </c>
      <c r="E1371" s="33" t="s">
        <v>1730</v>
      </c>
      <c r="F1371" s="33" t="s">
        <v>516</v>
      </c>
      <c r="G1371" s="33" t="s">
        <v>1732</v>
      </c>
      <c r="H1371" s="33" t="s">
        <v>516</v>
      </c>
    </row>
    <row r="1372" spans="1:8" x14ac:dyDescent="0.25">
      <c r="A1372" s="32">
        <v>33070118024</v>
      </c>
      <c r="B1372" s="33" t="s">
        <v>2057</v>
      </c>
      <c r="C1372" s="33" t="s">
        <v>2058</v>
      </c>
      <c r="D1372" s="33" t="s">
        <v>2058</v>
      </c>
      <c r="E1372" s="33" t="s">
        <v>1730</v>
      </c>
      <c r="F1372" s="33" t="s">
        <v>1475</v>
      </c>
      <c r="G1372" s="33" t="s">
        <v>1732</v>
      </c>
      <c r="H1372" s="33" t="s">
        <v>1475</v>
      </c>
    </row>
    <row r="1373" spans="1:8" x14ac:dyDescent="0.25">
      <c r="A1373" s="32">
        <v>33070118025</v>
      </c>
      <c r="B1373" s="33" t="s">
        <v>2057</v>
      </c>
      <c r="C1373" s="33" t="s">
        <v>2058</v>
      </c>
      <c r="D1373" s="33" t="s">
        <v>2058</v>
      </c>
      <c r="E1373" s="33" t="s">
        <v>1730</v>
      </c>
      <c r="F1373" s="33" t="s">
        <v>517</v>
      </c>
      <c r="G1373" s="33" t="s">
        <v>1732</v>
      </c>
      <c r="H1373" s="33" t="s">
        <v>517</v>
      </c>
    </row>
    <row r="1374" spans="1:8" x14ac:dyDescent="0.25">
      <c r="A1374" s="32">
        <v>33070118027</v>
      </c>
      <c r="B1374" s="33" t="s">
        <v>2057</v>
      </c>
      <c r="C1374" s="33" t="s">
        <v>2058</v>
      </c>
      <c r="D1374" s="33" t="s">
        <v>2058</v>
      </c>
      <c r="E1374" s="33" t="s">
        <v>1730</v>
      </c>
      <c r="F1374" s="33" t="s">
        <v>518</v>
      </c>
      <c r="G1374" s="33" t="s">
        <v>1732</v>
      </c>
      <c r="H1374" s="33" t="s">
        <v>518</v>
      </c>
    </row>
    <row r="1375" spans="1:8" x14ac:dyDescent="0.25">
      <c r="A1375" s="32">
        <v>33070118045</v>
      </c>
      <c r="B1375" s="33" t="s">
        <v>2057</v>
      </c>
      <c r="C1375" s="33" t="s">
        <v>2058</v>
      </c>
      <c r="D1375" s="33" t="s">
        <v>2058</v>
      </c>
      <c r="E1375" s="33" t="s">
        <v>1730</v>
      </c>
      <c r="F1375" s="33" t="s">
        <v>519</v>
      </c>
      <c r="G1375" s="33" t="s">
        <v>1732</v>
      </c>
      <c r="H1375" s="33" t="s">
        <v>519</v>
      </c>
    </row>
    <row r="1376" spans="1:8" x14ac:dyDescent="0.25">
      <c r="A1376" s="32">
        <v>33070124120</v>
      </c>
      <c r="B1376" s="33" t="s">
        <v>1754</v>
      </c>
      <c r="C1376" s="33" t="s">
        <v>1674</v>
      </c>
      <c r="D1376" s="33" t="s">
        <v>1674</v>
      </c>
      <c r="E1376" s="33" t="s">
        <v>1730</v>
      </c>
      <c r="F1376" s="33" t="s">
        <v>1484</v>
      </c>
      <c r="G1376" s="33" t="s">
        <v>1732</v>
      </c>
      <c r="H1376" s="33" t="s">
        <v>2039</v>
      </c>
    </row>
    <row r="1377" spans="1:8" x14ac:dyDescent="0.25">
      <c r="A1377" s="32">
        <v>33070144118</v>
      </c>
      <c r="B1377" s="33" t="s">
        <v>1754</v>
      </c>
      <c r="C1377" s="33" t="s">
        <v>1684</v>
      </c>
      <c r="D1377" s="33" t="s">
        <v>1684</v>
      </c>
      <c r="E1377" s="33" t="s">
        <v>1730</v>
      </c>
      <c r="F1377" s="33" t="s">
        <v>520</v>
      </c>
      <c r="G1377" s="33" t="s">
        <v>1732</v>
      </c>
      <c r="H1377" s="33" t="s">
        <v>2550</v>
      </c>
    </row>
    <row r="1378" spans="1:8" x14ac:dyDescent="0.25">
      <c r="A1378" s="32">
        <v>33070144127</v>
      </c>
      <c r="B1378" s="33" t="s">
        <v>1754</v>
      </c>
      <c r="C1378" s="33" t="s">
        <v>1674</v>
      </c>
      <c r="D1378" s="33" t="s">
        <v>1674</v>
      </c>
      <c r="E1378" s="33" t="s">
        <v>1730</v>
      </c>
      <c r="F1378" s="33" t="s">
        <v>521</v>
      </c>
      <c r="G1378" s="33" t="s">
        <v>1732</v>
      </c>
      <c r="H1378" s="33" t="s">
        <v>2557</v>
      </c>
    </row>
    <row r="1379" spans="1:8" x14ac:dyDescent="0.25">
      <c r="A1379" s="32">
        <v>33070154053</v>
      </c>
      <c r="B1379" s="33" t="s">
        <v>1754</v>
      </c>
      <c r="C1379" s="33" t="s">
        <v>1684</v>
      </c>
      <c r="D1379" s="33" t="s">
        <v>1684</v>
      </c>
      <c r="E1379" s="33" t="s">
        <v>1730</v>
      </c>
      <c r="F1379" s="33" t="s">
        <v>522</v>
      </c>
      <c r="G1379" s="33" t="s">
        <v>2129</v>
      </c>
      <c r="H1379" s="33" t="s">
        <v>2551</v>
      </c>
    </row>
    <row r="1380" spans="1:8" x14ac:dyDescent="0.25">
      <c r="A1380" s="32">
        <v>33070160256</v>
      </c>
      <c r="B1380" s="33" t="s">
        <v>2057</v>
      </c>
      <c r="C1380" s="33" t="s">
        <v>2058</v>
      </c>
      <c r="D1380" s="33" t="s">
        <v>2058</v>
      </c>
      <c r="E1380" s="33" t="s">
        <v>1730</v>
      </c>
      <c r="F1380" s="33" t="s">
        <v>523</v>
      </c>
      <c r="G1380" s="33" t="s">
        <v>1732</v>
      </c>
      <c r="H1380" s="33" t="s">
        <v>523</v>
      </c>
    </row>
    <row r="1381" spans="1:8" x14ac:dyDescent="0.25">
      <c r="A1381" s="32">
        <v>33070160257</v>
      </c>
      <c r="B1381" s="33" t="s">
        <v>2057</v>
      </c>
      <c r="C1381" s="33" t="s">
        <v>2058</v>
      </c>
      <c r="D1381" s="33" t="s">
        <v>2058</v>
      </c>
      <c r="E1381" s="33" t="s">
        <v>1730</v>
      </c>
      <c r="F1381" s="33" t="s">
        <v>524</v>
      </c>
      <c r="G1381" s="33" t="s">
        <v>1732</v>
      </c>
      <c r="H1381" s="33" t="s">
        <v>524</v>
      </c>
    </row>
    <row r="1382" spans="1:8" x14ac:dyDescent="0.25">
      <c r="A1382" s="32">
        <v>33070160258</v>
      </c>
      <c r="B1382" s="33" t="s">
        <v>2057</v>
      </c>
      <c r="C1382" s="33" t="s">
        <v>2058</v>
      </c>
      <c r="D1382" s="33" t="s">
        <v>2058</v>
      </c>
      <c r="E1382" s="33" t="s">
        <v>1730</v>
      </c>
      <c r="F1382" s="33" t="s">
        <v>525</v>
      </c>
      <c r="G1382" s="33" t="s">
        <v>1732</v>
      </c>
      <c r="H1382" s="33" t="s">
        <v>525</v>
      </c>
    </row>
    <row r="1383" spans="1:8" x14ac:dyDescent="0.25">
      <c r="A1383" s="32">
        <v>33070160259</v>
      </c>
      <c r="B1383" s="33" t="s">
        <v>2057</v>
      </c>
      <c r="C1383" s="33" t="s">
        <v>2058</v>
      </c>
      <c r="D1383" s="33" t="s">
        <v>2058</v>
      </c>
      <c r="E1383" s="33" t="s">
        <v>1730</v>
      </c>
      <c r="F1383" s="33" t="s">
        <v>1471</v>
      </c>
      <c r="G1383" s="33" t="s">
        <v>1732</v>
      </c>
      <c r="H1383" s="33" t="s">
        <v>1471</v>
      </c>
    </row>
    <row r="1384" spans="1:8" x14ac:dyDescent="0.25">
      <c r="A1384" s="32">
        <v>33070160714</v>
      </c>
      <c r="B1384" s="33" t="s">
        <v>1754</v>
      </c>
      <c r="C1384" s="33" t="s">
        <v>1674</v>
      </c>
      <c r="D1384" s="33" t="s">
        <v>1674</v>
      </c>
      <c r="E1384" s="33" t="s">
        <v>1730</v>
      </c>
      <c r="F1384" s="33" t="s">
        <v>526</v>
      </c>
      <c r="G1384" s="33" t="s">
        <v>1732</v>
      </c>
      <c r="H1384" s="33" t="s">
        <v>2553</v>
      </c>
    </row>
    <row r="1385" spans="1:8" x14ac:dyDescent="0.25">
      <c r="A1385" s="32">
        <v>33070161319</v>
      </c>
      <c r="B1385" s="33" t="s">
        <v>2057</v>
      </c>
      <c r="C1385" s="33" t="s">
        <v>2058</v>
      </c>
      <c r="D1385" s="33" t="s">
        <v>2058</v>
      </c>
      <c r="E1385" s="33" t="s">
        <v>1730</v>
      </c>
      <c r="F1385" s="33" t="s">
        <v>1480</v>
      </c>
      <c r="G1385" s="33" t="s">
        <v>1732</v>
      </c>
      <c r="H1385" s="33" t="s">
        <v>1480</v>
      </c>
    </row>
    <row r="1386" spans="1:8" x14ac:dyDescent="0.25">
      <c r="A1386" s="32">
        <v>33070163821</v>
      </c>
      <c r="B1386" s="33" t="s">
        <v>2057</v>
      </c>
      <c r="C1386" s="33" t="s">
        <v>2058</v>
      </c>
      <c r="D1386" s="33" t="s">
        <v>2058</v>
      </c>
      <c r="E1386" s="33" t="s">
        <v>1730</v>
      </c>
      <c r="F1386" s="33" t="s">
        <v>1476</v>
      </c>
      <c r="G1386" s="33" t="s">
        <v>1732</v>
      </c>
      <c r="H1386" s="33" t="s">
        <v>1476</v>
      </c>
    </row>
    <row r="1387" spans="1:8" x14ac:dyDescent="0.25">
      <c r="A1387" s="32">
        <v>33070414530</v>
      </c>
      <c r="B1387" s="33" t="s">
        <v>1754</v>
      </c>
      <c r="C1387" s="33" t="s">
        <v>1701</v>
      </c>
      <c r="D1387" s="33" t="s">
        <v>1674</v>
      </c>
      <c r="E1387" s="33" t="s">
        <v>1755</v>
      </c>
      <c r="F1387" s="33" t="s">
        <v>527</v>
      </c>
      <c r="G1387" s="33" t="s">
        <v>1756</v>
      </c>
      <c r="H1387" s="33" t="s">
        <v>527</v>
      </c>
    </row>
    <row r="1388" spans="1:8" x14ac:dyDescent="0.25">
      <c r="A1388" s="32">
        <v>33070418009</v>
      </c>
      <c r="B1388" s="33" t="s">
        <v>2057</v>
      </c>
      <c r="C1388" s="33" t="s">
        <v>1756</v>
      </c>
      <c r="D1388" s="33" t="s">
        <v>1756</v>
      </c>
      <c r="E1388" s="33" t="s">
        <v>1681</v>
      </c>
      <c r="F1388" s="33" t="s">
        <v>528</v>
      </c>
      <c r="G1388" s="33" t="s">
        <v>1732</v>
      </c>
      <c r="H1388" s="33" t="s">
        <v>528</v>
      </c>
    </row>
    <row r="1389" spans="1:8" x14ac:dyDescent="0.25">
      <c r="A1389" s="32">
        <v>33070418016</v>
      </c>
      <c r="B1389" s="33" t="s">
        <v>2057</v>
      </c>
      <c r="C1389" s="33" t="s">
        <v>1756</v>
      </c>
      <c r="D1389" s="33" t="s">
        <v>1756</v>
      </c>
      <c r="E1389" s="33" t="s">
        <v>1681</v>
      </c>
      <c r="F1389" s="33" t="s">
        <v>529</v>
      </c>
      <c r="G1389" s="33" t="s">
        <v>1732</v>
      </c>
      <c r="H1389" s="33" t="s">
        <v>529</v>
      </c>
    </row>
    <row r="1390" spans="1:8" x14ac:dyDescent="0.25">
      <c r="A1390" s="32">
        <v>33070418019</v>
      </c>
      <c r="B1390" s="33" t="s">
        <v>2057</v>
      </c>
      <c r="C1390" s="33" t="s">
        <v>1756</v>
      </c>
      <c r="D1390" s="33" t="s">
        <v>1756</v>
      </c>
      <c r="E1390" s="33" t="s">
        <v>1681</v>
      </c>
      <c r="F1390" s="33" t="s">
        <v>530</v>
      </c>
      <c r="G1390" s="33" t="s">
        <v>1732</v>
      </c>
      <c r="H1390" s="33" t="s">
        <v>530</v>
      </c>
    </row>
    <row r="1391" spans="1:8" x14ac:dyDescent="0.25">
      <c r="A1391" s="32">
        <v>33070418021</v>
      </c>
      <c r="B1391" s="33" t="s">
        <v>2057</v>
      </c>
      <c r="C1391" s="33" t="s">
        <v>1756</v>
      </c>
      <c r="D1391" s="33" t="s">
        <v>1756</v>
      </c>
      <c r="E1391" s="33" t="s">
        <v>1681</v>
      </c>
      <c r="F1391" s="33" t="s">
        <v>531</v>
      </c>
      <c r="G1391" s="33" t="s">
        <v>1732</v>
      </c>
      <c r="H1391" s="33" t="s">
        <v>531</v>
      </c>
    </row>
    <row r="1392" spans="1:8" x14ac:dyDescent="0.25">
      <c r="A1392" s="32">
        <v>33070418023</v>
      </c>
      <c r="B1392" s="33" t="s">
        <v>2057</v>
      </c>
      <c r="C1392" s="33" t="s">
        <v>1756</v>
      </c>
      <c r="D1392" s="33" t="s">
        <v>1756</v>
      </c>
      <c r="E1392" s="33" t="s">
        <v>1681</v>
      </c>
      <c r="F1392" s="33" t="s">
        <v>532</v>
      </c>
      <c r="G1392" s="33" t="s">
        <v>1732</v>
      </c>
      <c r="H1392" s="33" t="s">
        <v>532</v>
      </c>
    </row>
    <row r="1393" spans="1:8" x14ac:dyDescent="0.25">
      <c r="A1393" s="32">
        <v>33070418026</v>
      </c>
      <c r="B1393" s="33" t="s">
        <v>2057</v>
      </c>
      <c r="C1393" s="33" t="s">
        <v>1756</v>
      </c>
      <c r="D1393" s="33" t="s">
        <v>1756</v>
      </c>
      <c r="E1393" s="33" t="s">
        <v>1681</v>
      </c>
      <c r="F1393" s="33" t="s">
        <v>533</v>
      </c>
      <c r="G1393" s="33" t="s">
        <v>1732</v>
      </c>
      <c r="H1393" s="33" t="s">
        <v>533</v>
      </c>
    </row>
    <row r="1394" spans="1:8" x14ac:dyDescent="0.25">
      <c r="A1394" s="32">
        <v>33070418028</v>
      </c>
      <c r="B1394" s="33" t="s">
        <v>2057</v>
      </c>
      <c r="C1394" s="33" t="s">
        <v>1756</v>
      </c>
      <c r="D1394" s="33" t="s">
        <v>1756</v>
      </c>
      <c r="E1394" s="33" t="s">
        <v>1681</v>
      </c>
      <c r="F1394" s="33" t="s">
        <v>534</v>
      </c>
      <c r="G1394" s="33" t="s">
        <v>1732</v>
      </c>
      <c r="H1394" s="33" t="s">
        <v>534</v>
      </c>
    </row>
    <row r="1395" spans="1:8" x14ac:dyDescent="0.25">
      <c r="A1395" s="32">
        <v>33070418040</v>
      </c>
      <c r="B1395" s="33" t="s">
        <v>2057</v>
      </c>
      <c r="C1395" s="33" t="s">
        <v>1756</v>
      </c>
      <c r="D1395" s="33" t="s">
        <v>1756</v>
      </c>
      <c r="E1395" s="33" t="s">
        <v>1681</v>
      </c>
      <c r="F1395" s="33" t="s">
        <v>535</v>
      </c>
      <c r="G1395" s="33" t="s">
        <v>1732</v>
      </c>
      <c r="H1395" s="33" t="s">
        <v>535</v>
      </c>
    </row>
    <row r="1396" spans="1:8" x14ac:dyDescent="0.25">
      <c r="A1396" s="31">
        <v>33070418041</v>
      </c>
      <c r="B1396" s="1" t="s">
        <v>2057</v>
      </c>
      <c r="C1396" s="1" t="s">
        <v>1756</v>
      </c>
      <c r="D1396" s="1" t="s">
        <v>1756</v>
      </c>
      <c r="E1396" s="1" t="s">
        <v>1681</v>
      </c>
      <c r="F1396" s="1" t="s">
        <v>536</v>
      </c>
      <c r="G1396" s="1" t="s">
        <v>1732</v>
      </c>
      <c r="H1396" s="1" t="s">
        <v>536</v>
      </c>
    </row>
    <row r="1397" spans="1:8" x14ac:dyDescent="0.25">
      <c r="A1397" s="32">
        <v>33070418042</v>
      </c>
      <c r="B1397" s="33" t="s">
        <v>2057</v>
      </c>
      <c r="C1397" s="33" t="s">
        <v>1756</v>
      </c>
      <c r="D1397" s="33" t="s">
        <v>1756</v>
      </c>
      <c r="E1397" s="33" t="s">
        <v>1681</v>
      </c>
      <c r="F1397" s="33" t="s">
        <v>537</v>
      </c>
      <c r="G1397" s="33" t="s">
        <v>1732</v>
      </c>
      <c r="H1397" s="33" t="s">
        <v>537</v>
      </c>
    </row>
    <row r="1398" spans="1:8" x14ac:dyDescent="0.25">
      <c r="A1398" s="32">
        <v>33070424531</v>
      </c>
      <c r="B1398" s="33" t="s">
        <v>1754</v>
      </c>
      <c r="C1398" s="33" t="s">
        <v>1701</v>
      </c>
      <c r="D1398" s="33" t="s">
        <v>1674</v>
      </c>
      <c r="E1398" s="33" t="s">
        <v>1755</v>
      </c>
      <c r="F1398" s="33" t="s">
        <v>930</v>
      </c>
      <c r="G1398" s="33" t="s">
        <v>1756</v>
      </c>
      <c r="H1398" s="33" t="s">
        <v>930</v>
      </c>
    </row>
    <row r="1399" spans="1:8" x14ac:dyDescent="0.25">
      <c r="A1399" s="32">
        <v>33070424532</v>
      </c>
      <c r="B1399" s="33" t="s">
        <v>1754</v>
      </c>
      <c r="C1399" s="33" t="s">
        <v>1701</v>
      </c>
      <c r="D1399" s="33" t="s">
        <v>1682</v>
      </c>
      <c r="E1399" s="33" t="s">
        <v>1755</v>
      </c>
      <c r="F1399" s="33" t="s">
        <v>538</v>
      </c>
      <c r="G1399" s="33" t="s">
        <v>1756</v>
      </c>
      <c r="H1399" s="33" t="s">
        <v>538</v>
      </c>
    </row>
    <row r="1400" spans="1:8" x14ac:dyDescent="0.25">
      <c r="A1400" s="32">
        <v>33070424533</v>
      </c>
      <c r="B1400" s="33" t="s">
        <v>1754</v>
      </c>
      <c r="C1400" s="33" t="s">
        <v>1701</v>
      </c>
      <c r="D1400" s="33" t="s">
        <v>1682</v>
      </c>
      <c r="E1400" s="33" t="s">
        <v>1755</v>
      </c>
      <c r="F1400" s="33" t="s">
        <v>539</v>
      </c>
      <c r="G1400" s="33" t="s">
        <v>1756</v>
      </c>
      <c r="H1400" s="33" t="s">
        <v>539</v>
      </c>
    </row>
    <row r="1401" spans="1:8" x14ac:dyDescent="0.25">
      <c r="A1401" s="32">
        <v>33070424534</v>
      </c>
      <c r="B1401" s="33" t="s">
        <v>1754</v>
      </c>
      <c r="C1401" s="33" t="s">
        <v>1701</v>
      </c>
      <c r="D1401" s="33" t="s">
        <v>1684</v>
      </c>
      <c r="E1401" s="33" t="s">
        <v>1755</v>
      </c>
      <c r="F1401" s="33" t="s">
        <v>1519</v>
      </c>
      <c r="G1401" s="33" t="s">
        <v>1732</v>
      </c>
      <c r="H1401" s="33" t="s">
        <v>1519</v>
      </c>
    </row>
    <row r="1402" spans="1:8" x14ac:dyDescent="0.25">
      <c r="A1402" s="32">
        <v>33070424535</v>
      </c>
      <c r="B1402" s="33" t="s">
        <v>1754</v>
      </c>
      <c r="C1402" s="33" t="s">
        <v>1701</v>
      </c>
      <c r="D1402" s="33" t="s">
        <v>1684</v>
      </c>
      <c r="E1402" s="33" t="s">
        <v>1755</v>
      </c>
      <c r="F1402" s="33" t="s">
        <v>1521</v>
      </c>
      <c r="G1402" s="33" t="s">
        <v>1756</v>
      </c>
      <c r="H1402" s="33" t="s">
        <v>1521</v>
      </c>
    </row>
    <row r="1403" spans="1:8" x14ac:dyDescent="0.25">
      <c r="A1403" s="32">
        <v>33070454047</v>
      </c>
      <c r="B1403" s="33" t="s">
        <v>1754</v>
      </c>
      <c r="C1403" s="33" t="s">
        <v>1701</v>
      </c>
      <c r="D1403" s="33" t="s">
        <v>1674</v>
      </c>
      <c r="E1403" s="33" t="s">
        <v>1755</v>
      </c>
      <c r="F1403" s="33" t="s">
        <v>540</v>
      </c>
      <c r="G1403" s="33" t="s">
        <v>1756</v>
      </c>
      <c r="H1403" s="33" t="s">
        <v>540</v>
      </c>
    </row>
    <row r="1404" spans="1:8" x14ac:dyDescent="0.25">
      <c r="A1404" s="32">
        <v>33070460223</v>
      </c>
      <c r="B1404" s="33" t="s">
        <v>2057</v>
      </c>
      <c r="C1404" s="33" t="s">
        <v>1756</v>
      </c>
      <c r="D1404" s="33" t="s">
        <v>1756</v>
      </c>
      <c r="E1404" s="33" t="s">
        <v>1681</v>
      </c>
      <c r="F1404" s="33" t="s">
        <v>1479</v>
      </c>
      <c r="G1404" s="33" t="s">
        <v>1732</v>
      </c>
      <c r="H1404" s="33" t="s">
        <v>1479</v>
      </c>
    </row>
    <row r="1405" spans="1:8" x14ac:dyDescent="0.25">
      <c r="A1405" s="32">
        <v>33070460260</v>
      </c>
      <c r="B1405" s="33" t="s">
        <v>2057</v>
      </c>
      <c r="C1405" s="33" t="s">
        <v>1756</v>
      </c>
      <c r="D1405" s="33" t="s">
        <v>1756</v>
      </c>
      <c r="E1405" s="33" t="s">
        <v>1681</v>
      </c>
      <c r="F1405" s="33" t="s">
        <v>541</v>
      </c>
      <c r="G1405" s="33" t="s">
        <v>1732</v>
      </c>
      <c r="H1405" s="33" t="s">
        <v>541</v>
      </c>
    </row>
    <row r="1406" spans="1:8" x14ac:dyDescent="0.25">
      <c r="A1406" s="32">
        <v>33070460261</v>
      </c>
      <c r="B1406" s="33" t="s">
        <v>2057</v>
      </c>
      <c r="C1406" s="33" t="s">
        <v>1756</v>
      </c>
      <c r="D1406" s="33" t="s">
        <v>1756</v>
      </c>
      <c r="E1406" s="33" t="s">
        <v>1681</v>
      </c>
      <c r="F1406" s="33" t="s">
        <v>542</v>
      </c>
      <c r="G1406" s="33" t="s">
        <v>1732</v>
      </c>
      <c r="H1406" s="33" t="s">
        <v>542</v>
      </c>
    </row>
    <row r="1407" spans="1:8" x14ac:dyDescent="0.25">
      <c r="A1407" s="32">
        <v>33070460262</v>
      </c>
      <c r="B1407" s="33" t="s">
        <v>2057</v>
      </c>
      <c r="C1407" s="33" t="s">
        <v>1756</v>
      </c>
      <c r="D1407" s="33" t="s">
        <v>1756</v>
      </c>
      <c r="E1407" s="33" t="s">
        <v>1681</v>
      </c>
      <c r="F1407" s="33" t="s">
        <v>543</v>
      </c>
      <c r="G1407" s="33" t="s">
        <v>1732</v>
      </c>
      <c r="H1407" s="33" t="s">
        <v>543</v>
      </c>
    </row>
    <row r="1408" spans="1:8" x14ac:dyDescent="0.25">
      <c r="A1408" s="32">
        <v>33070460771</v>
      </c>
      <c r="B1408" s="33" t="s">
        <v>1754</v>
      </c>
      <c r="C1408" s="33" t="s">
        <v>1701</v>
      </c>
      <c r="D1408" s="33" t="s">
        <v>1674</v>
      </c>
      <c r="E1408" s="33" t="s">
        <v>1755</v>
      </c>
      <c r="F1408" s="33" t="s">
        <v>540</v>
      </c>
      <c r="G1408" s="33" t="s">
        <v>1756</v>
      </c>
      <c r="H1408" s="33" t="s">
        <v>540</v>
      </c>
    </row>
    <row r="1409" spans="1:8" x14ac:dyDescent="0.25">
      <c r="A1409" s="32">
        <v>33070460772</v>
      </c>
      <c r="B1409" s="33" t="s">
        <v>1754</v>
      </c>
      <c r="C1409" s="33" t="s">
        <v>1701</v>
      </c>
      <c r="D1409" s="33" t="s">
        <v>1682</v>
      </c>
      <c r="E1409" s="33" t="s">
        <v>1755</v>
      </c>
      <c r="F1409" s="33" t="s">
        <v>544</v>
      </c>
      <c r="G1409" s="33" t="s">
        <v>1756</v>
      </c>
      <c r="H1409" s="33" t="s">
        <v>544</v>
      </c>
    </row>
    <row r="1410" spans="1:8" x14ac:dyDescent="0.25">
      <c r="A1410" s="32">
        <v>33070460773</v>
      </c>
      <c r="B1410" s="33" t="s">
        <v>1754</v>
      </c>
      <c r="C1410" s="33" t="s">
        <v>1701</v>
      </c>
      <c r="D1410" s="33" t="s">
        <v>1673</v>
      </c>
      <c r="E1410" s="33" t="s">
        <v>1755</v>
      </c>
      <c r="F1410" s="33" t="s">
        <v>2412</v>
      </c>
      <c r="G1410" s="33" t="s">
        <v>1732</v>
      </c>
      <c r="H1410" s="33" t="s">
        <v>2412</v>
      </c>
    </row>
    <row r="1411" spans="1:8" x14ac:dyDescent="0.25">
      <c r="A1411" s="32">
        <v>33070460774</v>
      </c>
      <c r="B1411" s="33" t="s">
        <v>1754</v>
      </c>
      <c r="C1411" s="33" t="s">
        <v>1701</v>
      </c>
      <c r="D1411" s="33" t="s">
        <v>1673</v>
      </c>
      <c r="E1411" s="33" t="s">
        <v>1755</v>
      </c>
      <c r="F1411" s="33" t="s">
        <v>294</v>
      </c>
      <c r="G1411" s="33" t="s">
        <v>1756</v>
      </c>
      <c r="H1411" s="33" t="s">
        <v>294</v>
      </c>
    </row>
    <row r="1412" spans="1:8" x14ac:dyDescent="0.25">
      <c r="A1412" s="32">
        <v>33070460775</v>
      </c>
      <c r="B1412" s="33" t="s">
        <v>1754</v>
      </c>
      <c r="C1412" s="33" t="s">
        <v>1701</v>
      </c>
      <c r="D1412" s="33" t="s">
        <v>1673</v>
      </c>
      <c r="E1412" s="33" t="s">
        <v>1755</v>
      </c>
      <c r="F1412" s="33" t="s">
        <v>545</v>
      </c>
      <c r="G1412" s="33" t="s">
        <v>1756</v>
      </c>
      <c r="H1412" s="33" t="s">
        <v>545</v>
      </c>
    </row>
    <row r="1413" spans="1:8" x14ac:dyDescent="0.25">
      <c r="A1413" s="32">
        <v>33070460776</v>
      </c>
      <c r="B1413" s="33" t="s">
        <v>1754</v>
      </c>
      <c r="C1413" s="33" t="s">
        <v>1701</v>
      </c>
      <c r="D1413" s="33" t="s">
        <v>1673</v>
      </c>
      <c r="E1413" s="33" t="s">
        <v>1755</v>
      </c>
      <c r="F1413" s="33" t="s">
        <v>546</v>
      </c>
      <c r="G1413" s="33" t="s">
        <v>1756</v>
      </c>
      <c r="H1413" s="33" t="s">
        <v>546</v>
      </c>
    </row>
    <row r="1414" spans="1:8" x14ac:dyDescent="0.25">
      <c r="A1414" s="32">
        <v>33070460896</v>
      </c>
      <c r="B1414" s="33" t="s">
        <v>2057</v>
      </c>
      <c r="C1414" s="33" t="s">
        <v>1756</v>
      </c>
      <c r="D1414" s="33" t="s">
        <v>1756</v>
      </c>
      <c r="E1414" s="33" t="s">
        <v>1681</v>
      </c>
      <c r="F1414" s="33" t="s">
        <v>1478</v>
      </c>
      <c r="G1414" s="33" t="s">
        <v>1732</v>
      </c>
      <c r="H1414" s="33" t="s">
        <v>1478</v>
      </c>
    </row>
    <row r="1415" spans="1:8" x14ac:dyDescent="0.25">
      <c r="A1415" s="32">
        <v>33070463938</v>
      </c>
      <c r="B1415" s="33" t="s">
        <v>2057</v>
      </c>
      <c r="C1415" s="33" t="s">
        <v>2058</v>
      </c>
      <c r="D1415" s="33" t="s">
        <v>2058</v>
      </c>
      <c r="E1415" s="33" t="s">
        <v>1730</v>
      </c>
      <c r="F1415" s="33" t="s">
        <v>1346</v>
      </c>
      <c r="G1415" s="33" t="s">
        <v>1732</v>
      </c>
      <c r="H1415" s="33" t="s">
        <v>1346</v>
      </c>
    </row>
    <row r="1416" spans="1:8" x14ac:dyDescent="0.25">
      <c r="A1416" s="32">
        <v>33070463939</v>
      </c>
      <c r="B1416" s="33" t="s">
        <v>2057</v>
      </c>
      <c r="C1416" s="33" t="s">
        <v>2058</v>
      </c>
      <c r="D1416" s="33" t="s">
        <v>2058</v>
      </c>
      <c r="E1416" s="33" t="s">
        <v>1730</v>
      </c>
      <c r="F1416" s="33" t="s">
        <v>1347</v>
      </c>
      <c r="G1416" s="33" t="s">
        <v>1732</v>
      </c>
      <c r="H1416" s="33" t="s">
        <v>1347</v>
      </c>
    </row>
    <row r="1417" spans="1:8" x14ac:dyDescent="0.25">
      <c r="A1417" s="32">
        <v>33070464908</v>
      </c>
      <c r="B1417" s="33" t="s">
        <v>1754</v>
      </c>
      <c r="C1417" s="33" t="s">
        <v>1701</v>
      </c>
      <c r="D1417" s="33" t="s">
        <v>1673</v>
      </c>
      <c r="E1417" s="33" t="s">
        <v>1755</v>
      </c>
      <c r="F1417" s="33" t="s">
        <v>1704</v>
      </c>
      <c r="G1417" s="33" t="s">
        <v>1732</v>
      </c>
      <c r="H1417" s="33" t="s">
        <v>1704</v>
      </c>
    </row>
    <row r="1418" spans="1:8" x14ac:dyDescent="0.25">
      <c r="A1418" s="32">
        <v>33070464909</v>
      </c>
      <c r="B1418" s="33" t="s">
        <v>1754</v>
      </c>
      <c r="C1418" s="33" t="s">
        <v>1701</v>
      </c>
      <c r="D1418" s="33" t="s">
        <v>1673</v>
      </c>
      <c r="E1418" s="33" t="s">
        <v>1755</v>
      </c>
      <c r="F1418" s="33" t="s">
        <v>1702</v>
      </c>
      <c r="G1418" s="33" t="s">
        <v>1732</v>
      </c>
      <c r="H1418" s="33" t="s">
        <v>1702</v>
      </c>
    </row>
    <row r="1419" spans="1:8" x14ac:dyDescent="0.25">
      <c r="A1419" s="32">
        <v>33070464910</v>
      </c>
      <c r="B1419" s="33" t="s">
        <v>1754</v>
      </c>
      <c r="C1419" s="33" t="s">
        <v>1701</v>
      </c>
      <c r="D1419" s="33" t="s">
        <v>1673</v>
      </c>
      <c r="E1419" s="33" t="s">
        <v>1755</v>
      </c>
      <c r="F1419" s="33" t="s">
        <v>1703</v>
      </c>
      <c r="G1419" s="33" t="s">
        <v>1732</v>
      </c>
      <c r="H1419" s="33" t="s">
        <v>1703</v>
      </c>
    </row>
    <row r="1420" spans="1:8" x14ac:dyDescent="0.25">
      <c r="A1420" s="32">
        <v>33070514630</v>
      </c>
      <c r="B1420" s="33" t="s">
        <v>1754</v>
      </c>
      <c r="C1420" s="33" t="s">
        <v>1677</v>
      </c>
      <c r="D1420" s="33" t="s">
        <v>1682</v>
      </c>
      <c r="E1420" s="33" t="s">
        <v>1681</v>
      </c>
      <c r="F1420" s="33" t="s">
        <v>1177</v>
      </c>
      <c r="G1420" s="33" t="s">
        <v>1732</v>
      </c>
      <c r="H1420" s="33" t="s">
        <v>2588</v>
      </c>
    </row>
    <row r="1421" spans="1:8" x14ac:dyDescent="0.25">
      <c r="A1421" s="32">
        <v>33070514642</v>
      </c>
      <c r="B1421" s="33" t="s">
        <v>1754</v>
      </c>
      <c r="C1421" s="33" t="s">
        <v>1677</v>
      </c>
      <c r="D1421" s="33"/>
      <c r="E1421" s="33" t="s">
        <v>1681</v>
      </c>
      <c r="F1421" s="33" t="s">
        <v>1500</v>
      </c>
      <c r="G1421" s="33" t="s">
        <v>1732</v>
      </c>
      <c r="H1421" s="33" t="s">
        <v>1500</v>
      </c>
    </row>
    <row r="1422" spans="1:8" x14ac:dyDescent="0.25">
      <c r="A1422" s="32">
        <v>33070514644</v>
      </c>
      <c r="B1422" s="33" t="s">
        <v>1754</v>
      </c>
      <c r="C1422" s="33" t="s">
        <v>1677</v>
      </c>
      <c r="D1422" s="33"/>
      <c r="E1422" s="33" t="s">
        <v>1681</v>
      </c>
      <c r="F1422" s="33" t="s">
        <v>550</v>
      </c>
      <c r="G1422" s="33" t="s">
        <v>1732</v>
      </c>
      <c r="H1422" s="33" t="s">
        <v>2587</v>
      </c>
    </row>
    <row r="1423" spans="1:8" x14ac:dyDescent="0.25">
      <c r="A1423" s="32">
        <v>33070514645</v>
      </c>
      <c r="B1423" s="33" t="s">
        <v>1754</v>
      </c>
      <c r="C1423" s="33" t="s">
        <v>1677</v>
      </c>
      <c r="D1423" s="33"/>
      <c r="E1423" s="33" t="s">
        <v>1681</v>
      </c>
      <c r="F1423" s="33" t="s">
        <v>551</v>
      </c>
      <c r="G1423" s="33" t="s">
        <v>1732</v>
      </c>
      <c r="H1423" s="33" t="s">
        <v>2586</v>
      </c>
    </row>
    <row r="1424" spans="1:8" x14ac:dyDescent="0.25">
      <c r="A1424" s="32">
        <v>33070514646</v>
      </c>
      <c r="B1424" s="33" t="s">
        <v>1754</v>
      </c>
      <c r="C1424" s="33" t="s">
        <v>1677</v>
      </c>
      <c r="D1424" s="33"/>
      <c r="E1424" s="33" t="s">
        <v>1681</v>
      </c>
      <c r="F1424" s="33" t="s">
        <v>552</v>
      </c>
      <c r="G1424" s="33" t="s">
        <v>1732</v>
      </c>
      <c r="H1424" s="33" t="s">
        <v>2584</v>
      </c>
    </row>
    <row r="1425" spans="1:8" x14ac:dyDescent="0.25">
      <c r="A1425" s="32">
        <v>33070514647</v>
      </c>
      <c r="B1425" s="33" t="s">
        <v>1754</v>
      </c>
      <c r="C1425" s="33" t="s">
        <v>1677</v>
      </c>
      <c r="D1425" s="33"/>
      <c r="E1425" s="33" t="s">
        <v>1681</v>
      </c>
      <c r="F1425" s="33" t="s">
        <v>553</v>
      </c>
      <c r="G1425" s="33" t="s">
        <v>1732</v>
      </c>
      <c r="H1425" s="33" t="s">
        <v>2585</v>
      </c>
    </row>
    <row r="1426" spans="1:8" x14ac:dyDescent="0.25">
      <c r="A1426" s="32">
        <v>33070514765</v>
      </c>
      <c r="B1426" s="33" t="s">
        <v>1754</v>
      </c>
      <c r="C1426" s="33" t="s">
        <v>1680</v>
      </c>
      <c r="D1426" s="33" t="s">
        <v>1674</v>
      </c>
      <c r="E1426" s="33" t="s">
        <v>1681</v>
      </c>
      <c r="F1426" s="33" t="s">
        <v>554</v>
      </c>
      <c r="G1426" s="33" t="s">
        <v>1732</v>
      </c>
      <c r="H1426" s="33" t="s">
        <v>2612</v>
      </c>
    </row>
    <row r="1427" spans="1:8" x14ac:dyDescent="0.25">
      <c r="A1427" s="32">
        <v>33070514779</v>
      </c>
      <c r="B1427" s="33" t="s">
        <v>1754</v>
      </c>
      <c r="C1427" s="33" t="s">
        <v>1677</v>
      </c>
      <c r="D1427" s="33" t="s">
        <v>1674</v>
      </c>
      <c r="E1427" s="33" t="s">
        <v>1681</v>
      </c>
      <c r="F1427" s="33" t="s">
        <v>1196</v>
      </c>
      <c r="G1427" s="33" t="s">
        <v>1732</v>
      </c>
      <c r="H1427" s="33" t="s">
        <v>2573</v>
      </c>
    </row>
    <row r="1428" spans="1:8" x14ac:dyDescent="0.25">
      <c r="A1428" s="32">
        <v>33070514780</v>
      </c>
      <c r="B1428" s="33" t="s">
        <v>1754</v>
      </c>
      <c r="C1428" s="33" t="s">
        <v>1677</v>
      </c>
      <c r="D1428" s="33" t="s">
        <v>1674</v>
      </c>
      <c r="E1428" s="33" t="s">
        <v>1681</v>
      </c>
      <c r="F1428" s="33" t="s">
        <v>1160</v>
      </c>
      <c r="G1428" s="33" t="s">
        <v>1732</v>
      </c>
      <c r="H1428" s="33" t="s">
        <v>2571</v>
      </c>
    </row>
    <row r="1429" spans="1:8" x14ac:dyDescent="0.25">
      <c r="A1429" s="32">
        <v>33070514934</v>
      </c>
      <c r="B1429" s="33" t="s">
        <v>1754</v>
      </c>
      <c r="C1429" s="33" t="s">
        <v>1680</v>
      </c>
      <c r="D1429" s="33" t="s">
        <v>1674</v>
      </c>
      <c r="E1429" s="33" t="s">
        <v>1681</v>
      </c>
      <c r="F1429" s="33" t="s">
        <v>1506</v>
      </c>
      <c r="G1429" s="33" t="s">
        <v>1732</v>
      </c>
      <c r="H1429" s="33" t="s">
        <v>2276</v>
      </c>
    </row>
    <row r="1430" spans="1:8" x14ac:dyDescent="0.25">
      <c r="A1430" s="32">
        <v>33070514935</v>
      </c>
      <c r="B1430" s="33" t="s">
        <v>1754</v>
      </c>
      <c r="C1430" s="33" t="s">
        <v>1677</v>
      </c>
      <c r="D1430" s="33"/>
      <c r="E1430" s="33" t="s">
        <v>1681</v>
      </c>
      <c r="F1430" s="33" t="s">
        <v>1350</v>
      </c>
      <c r="G1430" s="33" t="s">
        <v>1732</v>
      </c>
      <c r="H1430" s="33" t="s">
        <v>1350</v>
      </c>
    </row>
    <row r="1431" spans="1:8" x14ac:dyDescent="0.25">
      <c r="A1431" s="32">
        <v>33070514948</v>
      </c>
      <c r="B1431" s="33" t="s">
        <v>1754</v>
      </c>
      <c r="C1431" s="33" t="s">
        <v>1677</v>
      </c>
      <c r="D1431" s="33" t="s">
        <v>1674</v>
      </c>
      <c r="E1431" s="33" t="s">
        <v>1681</v>
      </c>
      <c r="F1431" s="33" t="s">
        <v>558</v>
      </c>
      <c r="G1431" s="33" t="s">
        <v>1732</v>
      </c>
      <c r="H1431" s="33" t="s">
        <v>2572</v>
      </c>
    </row>
    <row r="1432" spans="1:8" x14ac:dyDescent="0.25">
      <c r="A1432" s="32">
        <v>33070514949</v>
      </c>
      <c r="B1432" s="33" t="s">
        <v>1754</v>
      </c>
      <c r="C1432" s="33" t="s">
        <v>1677</v>
      </c>
      <c r="D1432" s="33" t="s">
        <v>1674</v>
      </c>
      <c r="E1432" s="33" t="s">
        <v>1681</v>
      </c>
      <c r="F1432" s="33" t="s">
        <v>559</v>
      </c>
      <c r="G1432" s="33" t="s">
        <v>1732</v>
      </c>
      <c r="H1432" s="33" t="s">
        <v>2570</v>
      </c>
    </row>
    <row r="1433" spans="1:8" x14ac:dyDescent="0.25">
      <c r="A1433" s="32">
        <v>33070514950</v>
      </c>
      <c r="B1433" s="33" t="s">
        <v>1754</v>
      </c>
      <c r="C1433" s="33" t="s">
        <v>1677</v>
      </c>
      <c r="D1433" s="33"/>
      <c r="E1433" s="33" t="s">
        <v>1681</v>
      </c>
      <c r="F1433" s="33" t="s">
        <v>560</v>
      </c>
      <c r="G1433" s="33" t="s">
        <v>1732</v>
      </c>
      <c r="H1433" s="33" t="s">
        <v>2589</v>
      </c>
    </row>
    <row r="1434" spans="1:8" x14ac:dyDescent="0.25">
      <c r="A1434" s="32">
        <v>33070514951</v>
      </c>
      <c r="B1434" s="33" t="s">
        <v>1754</v>
      </c>
      <c r="C1434" s="33" t="s">
        <v>1680</v>
      </c>
      <c r="D1434" s="33" t="s">
        <v>1674</v>
      </c>
      <c r="E1434" s="33" t="s">
        <v>1681</v>
      </c>
      <c r="F1434" s="33" t="s">
        <v>1507</v>
      </c>
      <c r="G1434" s="33" t="s">
        <v>1732</v>
      </c>
      <c r="H1434" s="33" t="s">
        <v>2277</v>
      </c>
    </row>
    <row r="1435" spans="1:8" x14ac:dyDescent="0.25">
      <c r="A1435" s="32">
        <v>33070514952</v>
      </c>
      <c r="B1435" s="33" t="s">
        <v>1754</v>
      </c>
      <c r="C1435" s="33" t="s">
        <v>1677</v>
      </c>
      <c r="D1435" s="33"/>
      <c r="E1435" s="33" t="s">
        <v>1681</v>
      </c>
      <c r="F1435" s="33" t="s">
        <v>561</v>
      </c>
      <c r="G1435" s="33" t="s">
        <v>1732</v>
      </c>
      <c r="H1435" s="33" t="s">
        <v>2590</v>
      </c>
    </row>
    <row r="1436" spans="1:8" x14ac:dyDescent="0.25">
      <c r="A1436" s="32">
        <v>33070514953</v>
      </c>
      <c r="B1436" s="33" t="s">
        <v>1754</v>
      </c>
      <c r="C1436" s="33" t="s">
        <v>1677</v>
      </c>
      <c r="D1436" s="33" t="s">
        <v>1674</v>
      </c>
      <c r="E1436" s="33" t="s">
        <v>1681</v>
      </c>
      <c r="F1436" s="33" t="s">
        <v>1357</v>
      </c>
      <c r="G1436" s="33" t="s">
        <v>1732</v>
      </c>
      <c r="H1436" s="33" t="s">
        <v>2575</v>
      </c>
    </row>
    <row r="1437" spans="1:8" x14ac:dyDescent="0.25">
      <c r="A1437" s="32">
        <v>33070514954</v>
      </c>
      <c r="B1437" s="33" t="s">
        <v>1754</v>
      </c>
      <c r="C1437" s="33" t="s">
        <v>1677</v>
      </c>
      <c r="D1437" s="33" t="s">
        <v>1674</v>
      </c>
      <c r="E1437" s="33" t="s">
        <v>1681</v>
      </c>
      <c r="F1437" s="33" t="s">
        <v>563</v>
      </c>
      <c r="G1437" s="33" t="s">
        <v>1732</v>
      </c>
      <c r="H1437" s="33" t="s">
        <v>2574</v>
      </c>
    </row>
    <row r="1438" spans="1:8" x14ac:dyDescent="0.25">
      <c r="A1438" s="32">
        <v>33070514957</v>
      </c>
      <c r="B1438" s="33" t="s">
        <v>1754</v>
      </c>
      <c r="C1438" s="33" t="s">
        <v>1670</v>
      </c>
      <c r="D1438" s="33" t="s">
        <v>1679</v>
      </c>
      <c r="E1438" s="33" t="s">
        <v>1681</v>
      </c>
      <c r="F1438" s="33" t="s">
        <v>1348</v>
      </c>
      <c r="G1438" s="33" t="s">
        <v>1732</v>
      </c>
      <c r="H1438" s="33" t="s">
        <v>1348</v>
      </c>
    </row>
    <row r="1439" spans="1:8" x14ac:dyDescent="0.25">
      <c r="A1439" s="32">
        <v>33070518003</v>
      </c>
      <c r="B1439" s="33" t="s">
        <v>2057</v>
      </c>
      <c r="C1439" s="33" t="s">
        <v>1680</v>
      </c>
      <c r="D1439" s="33" t="s">
        <v>1680</v>
      </c>
      <c r="E1439" s="33" t="s">
        <v>1681</v>
      </c>
      <c r="F1439" s="33" t="s">
        <v>565</v>
      </c>
      <c r="G1439" s="33" t="s">
        <v>1732</v>
      </c>
      <c r="H1439" s="33" t="s">
        <v>565</v>
      </c>
    </row>
    <row r="1440" spans="1:8" x14ac:dyDescent="0.25">
      <c r="A1440" s="32">
        <v>33070518004</v>
      </c>
      <c r="B1440" s="33" t="s">
        <v>2057</v>
      </c>
      <c r="C1440" s="33" t="s">
        <v>1680</v>
      </c>
      <c r="D1440" s="33" t="s">
        <v>1680</v>
      </c>
      <c r="E1440" s="33" t="s">
        <v>1681</v>
      </c>
      <c r="F1440" s="33" t="s">
        <v>566</v>
      </c>
      <c r="G1440" s="33" t="s">
        <v>1732</v>
      </c>
      <c r="H1440" s="33" t="s">
        <v>566</v>
      </c>
    </row>
    <row r="1441" spans="1:8" x14ac:dyDescent="0.25">
      <c r="A1441" s="32">
        <v>33070518005</v>
      </c>
      <c r="B1441" s="33" t="s">
        <v>2057</v>
      </c>
      <c r="C1441" s="33" t="s">
        <v>1680</v>
      </c>
      <c r="D1441" s="33" t="s">
        <v>1680</v>
      </c>
      <c r="E1441" s="33" t="s">
        <v>1681</v>
      </c>
      <c r="F1441" s="33" t="s">
        <v>567</v>
      </c>
      <c r="G1441" s="33" t="s">
        <v>1732</v>
      </c>
      <c r="H1441" s="33" t="s">
        <v>567</v>
      </c>
    </row>
    <row r="1442" spans="1:8" x14ac:dyDescent="0.25">
      <c r="A1442" s="32">
        <v>33070518006</v>
      </c>
      <c r="B1442" s="33" t="s">
        <v>2057</v>
      </c>
      <c r="C1442" s="33" t="s">
        <v>1677</v>
      </c>
      <c r="D1442" s="33" t="s">
        <v>1677</v>
      </c>
      <c r="E1442" s="33" t="s">
        <v>1681</v>
      </c>
      <c r="F1442" s="33" t="s">
        <v>568</v>
      </c>
      <c r="G1442" s="33" t="s">
        <v>1732</v>
      </c>
      <c r="H1442" s="33" t="s">
        <v>568</v>
      </c>
    </row>
    <row r="1443" spans="1:8" x14ac:dyDescent="0.25">
      <c r="A1443" s="32">
        <v>33070518029</v>
      </c>
      <c r="B1443" s="33" t="s">
        <v>2057</v>
      </c>
      <c r="C1443" s="33" t="s">
        <v>1677</v>
      </c>
      <c r="D1443" s="33" t="s">
        <v>1677</v>
      </c>
      <c r="E1443" s="33" t="s">
        <v>1681</v>
      </c>
      <c r="F1443" s="33" t="s">
        <v>569</v>
      </c>
      <c r="G1443" s="33" t="s">
        <v>1732</v>
      </c>
      <c r="H1443" s="33" t="s">
        <v>569</v>
      </c>
    </row>
    <row r="1444" spans="1:8" x14ac:dyDescent="0.25">
      <c r="A1444" s="32">
        <v>33070518030</v>
      </c>
      <c r="B1444" s="33" t="s">
        <v>2057</v>
      </c>
      <c r="C1444" s="33" t="s">
        <v>1677</v>
      </c>
      <c r="D1444" s="33" t="s">
        <v>1677</v>
      </c>
      <c r="E1444" s="33" t="s">
        <v>1681</v>
      </c>
      <c r="F1444" s="33" t="s">
        <v>570</v>
      </c>
      <c r="G1444" s="33" t="s">
        <v>1732</v>
      </c>
      <c r="H1444" s="33" t="s">
        <v>570</v>
      </c>
    </row>
    <row r="1445" spans="1:8" x14ac:dyDescent="0.25">
      <c r="A1445" s="32">
        <v>33070518031</v>
      </c>
      <c r="B1445" s="33" t="s">
        <v>2057</v>
      </c>
      <c r="C1445" s="33" t="s">
        <v>1677</v>
      </c>
      <c r="D1445" s="33" t="s">
        <v>1677</v>
      </c>
      <c r="E1445" s="33" t="s">
        <v>1681</v>
      </c>
      <c r="F1445" s="33" t="s">
        <v>1472</v>
      </c>
      <c r="G1445" s="33" t="s">
        <v>1732</v>
      </c>
      <c r="H1445" s="33" t="s">
        <v>1472</v>
      </c>
    </row>
    <row r="1446" spans="1:8" x14ac:dyDescent="0.25">
      <c r="A1446" s="32">
        <v>33070518032</v>
      </c>
      <c r="B1446" s="33" t="s">
        <v>2057</v>
      </c>
      <c r="C1446" s="33" t="s">
        <v>1677</v>
      </c>
      <c r="D1446" s="33" t="s">
        <v>1677</v>
      </c>
      <c r="E1446" s="33" t="s">
        <v>1681</v>
      </c>
      <c r="F1446" s="33" t="s">
        <v>571</v>
      </c>
      <c r="G1446" s="33" t="s">
        <v>1732</v>
      </c>
      <c r="H1446" s="33" t="s">
        <v>571</v>
      </c>
    </row>
    <row r="1447" spans="1:8" x14ac:dyDescent="0.25">
      <c r="A1447" s="32">
        <v>33070518033</v>
      </c>
      <c r="B1447" s="33" t="s">
        <v>2057</v>
      </c>
      <c r="C1447" s="33" t="s">
        <v>1677</v>
      </c>
      <c r="D1447" s="33" t="s">
        <v>1677</v>
      </c>
      <c r="E1447" s="33" t="s">
        <v>1681</v>
      </c>
      <c r="F1447" s="33" t="s">
        <v>572</v>
      </c>
      <c r="G1447" s="33" t="s">
        <v>1732</v>
      </c>
      <c r="H1447" s="33" t="s">
        <v>572</v>
      </c>
    </row>
    <row r="1448" spans="1:8" x14ac:dyDescent="0.25">
      <c r="A1448" s="32">
        <v>33070518034</v>
      </c>
      <c r="B1448" s="33" t="s">
        <v>2057</v>
      </c>
      <c r="C1448" s="33" t="s">
        <v>1677</v>
      </c>
      <c r="D1448" s="33" t="s">
        <v>1677</v>
      </c>
      <c r="E1448" s="33" t="s">
        <v>1681</v>
      </c>
      <c r="F1448" s="33" t="s">
        <v>573</v>
      </c>
      <c r="G1448" s="33" t="s">
        <v>1732</v>
      </c>
      <c r="H1448" s="33" t="s">
        <v>573</v>
      </c>
    </row>
    <row r="1449" spans="1:8" x14ac:dyDescent="0.25">
      <c r="A1449" s="32">
        <v>33070518035</v>
      </c>
      <c r="B1449" s="33" t="s">
        <v>2057</v>
      </c>
      <c r="C1449" s="33" t="s">
        <v>1677</v>
      </c>
      <c r="D1449" s="33" t="s">
        <v>1677</v>
      </c>
      <c r="E1449" s="33" t="s">
        <v>1681</v>
      </c>
      <c r="F1449" s="33" t="s">
        <v>574</v>
      </c>
      <c r="G1449" s="33" t="s">
        <v>1732</v>
      </c>
      <c r="H1449" s="33" t="s">
        <v>574</v>
      </c>
    </row>
    <row r="1450" spans="1:8" x14ac:dyDescent="0.25">
      <c r="A1450" s="32">
        <v>33070518036</v>
      </c>
      <c r="B1450" s="33" t="s">
        <v>2057</v>
      </c>
      <c r="C1450" s="33" t="s">
        <v>1677</v>
      </c>
      <c r="D1450" s="33" t="s">
        <v>1677</v>
      </c>
      <c r="E1450" s="33" t="s">
        <v>1681</v>
      </c>
      <c r="F1450" s="33" t="s">
        <v>575</v>
      </c>
      <c r="G1450" s="33" t="s">
        <v>1732</v>
      </c>
      <c r="H1450" s="33" t="s">
        <v>575</v>
      </c>
    </row>
    <row r="1451" spans="1:8" x14ac:dyDescent="0.25">
      <c r="A1451" s="32">
        <v>33070518037</v>
      </c>
      <c r="B1451" s="33" t="s">
        <v>2057</v>
      </c>
      <c r="C1451" s="33" t="s">
        <v>1677</v>
      </c>
      <c r="D1451" s="33" t="s">
        <v>1677</v>
      </c>
      <c r="E1451" s="33" t="s">
        <v>1681</v>
      </c>
      <c r="F1451" s="33" t="s">
        <v>576</v>
      </c>
      <c r="G1451" s="33" t="s">
        <v>1732</v>
      </c>
      <c r="H1451" s="33" t="s">
        <v>576</v>
      </c>
    </row>
    <row r="1452" spans="1:8" x14ac:dyDescent="0.25">
      <c r="A1452" s="32">
        <v>33070518038</v>
      </c>
      <c r="B1452" s="33" t="s">
        <v>2057</v>
      </c>
      <c r="C1452" s="33" t="s">
        <v>1677</v>
      </c>
      <c r="D1452" s="33" t="s">
        <v>1677</v>
      </c>
      <c r="E1452" s="33" t="s">
        <v>1681</v>
      </c>
      <c r="F1452" s="33" t="s">
        <v>1473</v>
      </c>
      <c r="G1452" s="33" t="s">
        <v>1732</v>
      </c>
      <c r="H1452" s="33" t="s">
        <v>1473</v>
      </c>
    </row>
    <row r="1453" spans="1:8" x14ac:dyDescent="0.25">
      <c r="A1453" s="32">
        <v>33070518039</v>
      </c>
      <c r="B1453" s="33" t="s">
        <v>2057</v>
      </c>
      <c r="C1453" s="33" t="s">
        <v>1677</v>
      </c>
      <c r="D1453" s="33" t="s">
        <v>1677</v>
      </c>
      <c r="E1453" s="33" t="s">
        <v>1681</v>
      </c>
      <c r="F1453" s="33" t="s">
        <v>577</v>
      </c>
      <c r="G1453" s="33" t="s">
        <v>1732</v>
      </c>
      <c r="H1453" s="33" t="s">
        <v>577</v>
      </c>
    </row>
    <row r="1454" spans="1:8" x14ac:dyDescent="0.25">
      <c r="A1454" s="32">
        <v>33070518043</v>
      </c>
      <c r="B1454" s="33" t="s">
        <v>2057</v>
      </c>
      <c r="C1454" s="33" t="s">
        <v>1677</v>
      </c>
      <c r="D1454" s="33" t="s">
        <v>1677</v>
      </c>
      <c r="E1454" s="33" t="s">
        <v>1681</v>
      </c>
      <c r="F1454" s="33" t="s">
        <v>578</v>
      </c>
      <c r="G1454" s="33" t="s">
        <v>1732</v>
      </c>
      <c r="H1454" s="33" t="s">
        <v>578</v>
      </c>
    </row>
    <row r="1455" spans="1:8" x14ac:dyDescent="0.25">
      <c r="A1455" s="32">
        <v>33070518044</v>
      </c>
      <c r="B1455" s="33" t="s">
        <v>2057</v>
      </c>
      <c r="C1455" s="33" t="s">
        <v>1677</v>
      </c>
      <c r="D1455" s="33" t="s">
        <v>1677</v>
      </c>
      <c r="E1455" s="33" t="s">
        <v>1681</v>
      </c>
      <c r="F1455" s="33" t="s">
        <v>579</v>
      </c>
      <c r="G1455" s="33" t="s">
        <v>1732</v>
      </c>
      <c r="H1455" s="33" t="s">
        <v>579</v>
      </c>
    </row>
    <row r="1456" spans="1:8" x14ac:dyDescent="0.25">
      <c r="A1456" s="32">
        <v>33070560224</v>
      </c>
      <c r="B1456" s="33" t="s">
        <v>2057</v>
      </c>
      <c r="C1456" s="33" t="s">
        <v>1677</v>
      </c>
      <c r="D1456" s="33" t="s">
        <v>1677</v>
      </c>
      <c r="E1456" s="33" t="s">
        <v>1681</v>
      </c>
      <c r="F1456" s="33" t="s">
        <v>2063</v>
      </c>
      <c r="G1456" s="33" t="s">
        <v>1732</v>
      </c>
      <c r="H1456" s="33" t="s">
        <v>2063</v>
      </c>
    </row>
    <row r="1457" spans="1:8" x14ac:dyDescent="0.25">
      <c r="A1457" s="32">
        <v>33070560225</v>
      </c>
      <c r="B1457" s="33" t="s">
        <v>2057</v>
      </c>
      <c r="C1457" s="33" t="s">
        <v>1677</v>
      </c>
      <c r="D1457" s="33" t="s">
        <v>1677</v>
      </c>
      <c r="E1457" s="33" t="s">
        <v>1681</v>
      </c>
      <c r="F1457" s="33" t="s">
        <v>2064</v>
      </c>
      <c r="G1457" s="33" t="s">
        <v>1732</v>
      </c>
      <c r="H1457" s="33" t="s">
        <v>2064</v>
      </c>
    </row>
    <row r="1458" spans="1:8" x14ac:dyDescent="0.25">
      <c r="A1458" s="32">
        <v>33070560248</v>
      </c>
      <c r="B1458" s="33" t="s">
        <v>2057</v>
      </c>
      <c r="C1458" s="33" t="s">
        <v>1677</v>
      </c>
      <c r="D1458" s="33" t="s">
        <v>1677</v>
      </c>
      <c r="E1458" s="33" t="s">
        <v>1681</v>
      </c>
      <c r="F1458" s="33" t="s">
        <v>1474</v>
      </c>
      <c r="G1458" s="33" t="s">
        <v>1732</v>
      </c>
      <c r="H1458" s="33" t="s">
        <v>1474</v>
      </c>
    </row>
    <row r="1459" spans="1:8" x14ac:dyDescent="0.25">
      <c r="A1459" s="32">
        <v>33070560249</v>
      </c>
      <c r="B1459" s="33" t="s">
        <v>2057</v>
      </c>
      <c r="C1459" s="33" t="s">
        <v>1677</v>
      </c>
      <c r="D1459" s="33" t="s">
        <v>1677</v>
      </c>
      <c r="E1459" s="33" t="s">
        <v>1681</v>
      </c>
      <c r="F1459" s="33" t="s">
        <v>580</v>
      </c>
      <c r="G1459" s="33" t="s">
        <v>1732</v>
      </c>
      <c r="H1459" s="33" t="s">
        <v>580</v>
      </c>
    </row>
    <row r="1460" spans="1:8" x14ac:dyDescent="0.25">
      <c r="A1460" s="32">
        <v>33070560250</v>
      </c>
      <c r="B1460" s="33" t="s">
        <v>2057</v>
      </c>
      <c r="C1460" s="33" t="s">
        <v>1677</v>
      </c>
      <c r="D1460" s="33" t="s">
        <v>1677</v>
      </c>
      <c r="E1460" s="33" t="s">
        <v>1681</v>
      </c>
      <c r="F1460" s="33" t="s">
        <v>581</v>
      </c>
      <c r="G1460" s="33" t="s">
        <v>1732</v>
      </c>
      <c r="H1460" s="33" t="s">
        <v>581</v>
      </c>
    </row>
    <row r="1461" spans="1:8" x14ac:dyDescent="0.25">
      <c r="A1461" s="32">
        <v>33070560251</v>
      </c>
      <c r="B1461" s="33" t="s">
        <v>2057</v>
      </c>
      <c r="C1461" s="33" t="s">
        <v>1677</v>
      </c>
      <c r="D1461" s="33" t="s">
        <v>1677</v>
      </c>
      <c r="E1461" s="33" t="s">
        <v>1681</v>
      </c>
      <c r="F1461" s="33" t="s">
        <v>582</v>
      </c>
      <c r="G1461" s="33" t="s">
        <v>1732</v>
      </c>
      <c r="H1461" s="33" t="s">
        <v>582</v>
      </c>
    </row>
    <row r="1462" spans="1:8" x14ac:dyDescent="0.25">
      <c r="A1462" s="32">
        <v>33070560252</v>
      </c>
      <c r="B1462" s="33" t="s">
        <v>2057</v>
      </c>
      <c r="C1462" s="33" t="s">
        <v>1677</v>
      </c>
      <c r="D1462" s="33" t="s">
        <v>1677</v>
      </c>
      <c r="E1462" s="33" t="s">
        <v>1681</v>
      </c>
      <c r="F1462" s="33" t="s">
        <v>583</v>
      </c>
      <c r="G1462" s="33" t="s">
        <v>1732</v>
      </c>
      <c r="H1462" s="33" t="s">
        <v>583</v>
      </c>
    </row>
    <row r="1463" spans="1:8" x14ac:dyDescent="0.25">
      <c r="A1463" s="32">
        <v>33070560253</v>
      </c>
      <c r="B1463" s="33" t="s">
        <v>2057</v>
      </c>
      <c r="C1463" s="33" t="s">
        <v>1677</v>
      </c>
      <c r="D1463" s="33" t="s">
        <v>1677</v>
      </c>
      <c r="E1463" s="33" t="s">
        <v>1681</v>
      </c>
      <c r="F1463" s="33" t="s">
        <v>584</v>
      </c>
      <c r="G1463" s="33" t="s">
        <v>1732</v>
      </c>
      <c r="H1463" s="33" t="s">
        <v>584</v>
      </c>
    </row>
    <row r="1464" spans="1:8" x14ac:dyDescent="0.25">
      <c r="A1464" s="32">
        <v>33070560254</v>
      </c>
      <c r="B1464" s="33" t="s">
        <v>2057</v>
      </c>
      <c r="C1464" s="33" t="s">
        <v>1677</v>
      </c>
      <c r="D1464" s="33" t="s">
        <v>1677</v>
      </c>
      <c r="E1464" s="33" t="s">
        <v>1681</v>
      </c>
      <c r="F1464" s="33" t="s">
        <v>585</v>
      </c>
      <c r="G1464" s="33" t="s">
        <v>1732</v>
      </c>
      <c r="H1464" s="33" t="s">
        <v>585</v>
      </c>
    </row>
    <row r="1465" spans="1:8" x14ac:dyDescent="0.25">
      <c r="A1465" s="32">
        <v>33070560255</v>
      </c>
      <c r="B1465" s="33" t="s">
        <v>2057</v>
      </c>
      <c r="C1465" s="33" t="s">
        <v>1677</v>
      </c>
      <c r="D1465" s="33" t="s">
        <v>1677</v>
      </c>
      <c r="E1465" s="33" t="s">
        <v>1681</v>
      </c>
      <c r="F1465" s="33" t="s">
        <v>586</v>
      </c>
      <c r="G1465" s="33" t="s">
        <v>1732</v>
      </c>
      <c r="H1465" s="33" t="s">
        <v>586</v>
      </c>
    </row>
    <row r="1466" spans="1:8" x14ac:dyDescent="0.25">
      <c r="A1466" s="32">
        <v>33070561320</v>
      </c>
      <c r="B1466" s="33" t="s">
        <v>2057</v>
      </c>
      <c r="C1466" s="33" t="s">
        <v>1677</v>
      </c>
      <c r="D1466" s="33" t="s">
        <v>1677</v>
      </c>
      <c r="E1466" s="33" t="s">
        <v>1681</v>
      </c>
      <c r="F1466" s="33" t="s">
        <v>587</v>
      </c>
      <c r="G1466" s="33" t="s">
        <v>1732</v>
      </c>
      <c r="H1466" s="33" t="s">
        <v>587</v>
      </c>
    </row>
    <row r="1467" spans="1:8" x14ac:dyDescent="0.25">
      <c r="A1467" s="32">
        <v>33070561586</v>
      </c>
      <c r="B1467" s="33" t="s">
        <v>1754</v>
      </c>
      <c r="C1467" s="33" t="s">
        <v>1677</v>
      </c>
      <c r="D1467" s="33" t="s">
        <v>1674</v>
      </c>
      <c r="E1467" s="33" t="s">
        <v>1681</v>
      </c>
      <c r="F1467" s="33" t="s">
        <v>588</v>
      </c>
      <c r="G1467" s="33" t="s">
        <v>1732</v>
      </c>
      <c r="H1467" s="33" t="s">
        <v>2576</v>
      </c>
    </row>
    <row r="1468" spans="1:8" x14ac:dyDescent="0.25">
      <c r="A1468" s="32">
        <v>33070561587</v>
      </c>
      <c r="B1468" s="33" t="s">
        <v>1754</v>
      </c>
      <c r="C1468" s="33" t="s">
        <v>1677</v>
      </c>
      <c r="D1468" s="33" t="s">
        <v>1674</v>
      </c>
      <c r="E1468" s="33" t="s">
        <v>1681</v>
      </c>
      <c r="F1468" s="33" t="s">
        <v>589</v>
      </c>
      <c r="G1468" s="33" t="s">
        <v>2129</v>
      </c>
      <c r="H1468" s="33" t="s">
        <v>2577</v>
      </c>
    </row>
    <row r="1469" spans="1:8" x14ac:dyDescent="0.25">
      <c r="A1469" s="32">
        <v>33070561588</v>
      </c>
      <c r="B1469" s="33" t="s">
        <v>1754</v>
      </c>
      <c r="C1469" s="33" t="s">
        <v>1677</v>
      </c>
      <c r="D1469" s="33" t="s">
        <v>1674</v>
      </c>
      <c r="E1469" s="33" t="s">
        <v>1681</v>
      </c>
      <c r="F1469" s="33" t="s">
        <v>590</v>
      </c>
      <c r="G1469" s="33" t="s">
        <v>2129</v>
      </c>
      <c r="H1469" s="33" t="s">
        <v>2568</v>
      </c>
    </row>
    <row r="1470" spans="1:8" x14ac:dyDescent="0.25">
      <c r="A1470" s="32">
        <v>33070561589</v>
      </c>
      <c r="B1470" s="33" t="s">
        <v>1754</v>
      </c>
      <c r="C1470" s="33" t="s">
        <v>1677</v>
      </c>
      <c r="D1470" s="33" t="s">
        <v>1674</v>
      </c>
      <c r="E1470" s="33" t="s">
        <v>1681</v>
      </c>
      <c r="F1470" s="33" t="s">
        <v>591</v>
      </c>
      <c r="G1470" s="33" t="s">
        <v>2129</v>
      </c>
      <c r="H1470" s="33" t="s">
        <v>2569</v>
      </c>
    </row>
    <row r="1471" spans="1:8" x14ac:dyDescent="0.25">
      <c r="A1471" s="32">
        <v>33070561590</v>
      </c>
      <c r="B1471" s="33" t="s">
        <v>1754</v>
      </c>
      <c r="C1471" s="33" t="s">
        <v>1677</v>
      </c>
      <c r="D1471" s="33" t="s">
        <v>1674</v>
      </c>
      <c r="E1471" s="33" t="s">
        <v>1681</v>
      </c>
      <c r="F1471" s="33" t="s">
        <v>592</v>
      </c>
      <c r="G1471" s="33" t="s">
        <v>2129</v>
      </c>
      <c r="H1471" s="33" t="s">
        <v>2567</v>
      </c>
    </row>
    <row r="1472" spans="1:8" x14ac:dyDescent="0.25">
      <c r="A1472" s="32">
        <v>33070614012</v>
      </c>
      <c r="B1472" s="33" t="s">
        <v>2179</v>
      </c>
      <c r="C1472" s="33" t="s">
        <v>1656</v>
      </c>
      <c r="D1472" s="33" t="s">
        <v>1656</v>
      </c>
      <c r="E1472" s="33" t="s">
        <v>1730</v>
      </c>
      <c r="F1472" s="33" t="s">
        <v>593</v>
      </c>
      <c r="G1472" s="33" t="s">
        <v>1732</v>
      </c>
      <c r="H1472" s="33" t="s">
        <v>593</v>
      </c>
    </row>
    <row r="1473" spans="1:8" x14ac:dyDescent="0.25">
      <c r="A1473" s="32">
        <v>33070614013</v>
      </c>
      <c r="B1473" s="33" t="s">
        <v>2179</v>
      </c>
      <c r="C1473" s="33" t="s">
        <v>1650</v>
      </c>
      <c r="D1473" s="33" t="s">
        <v>1656</v>
      </c>
      <c r="E1473" s="33" t="s">
        <v>1681</v>
      </c>
      <c r="F1473" s="33" t="s">
        <v>594</v>
      </c>
      <c r="G1473" s="33" t="s">
        <v>1732</v>
      </c>
      <c r="H1473" s="33" t="s">
        <v>594</v>
      </c>
    </row>
    <row r="1474" spans="1:8" x14ac:dyDescent="0.25">
      <c r="A1474" s="32">
        <v>33070614014</v>
      </c>
      <c r="B1474" s="33" t="s">
        <v>2179</v>
      </c>
      <c r="C1474" s="33" t="s">
        <v>1650</v>
      </c>
      <c r="D1474" s="33" t="s">
        <v>2181</v>
      </c>
      <c r="E1474" s="33" t="s">
        <v>1681</v>
      </c>
      <c r="F1474" s="33" t="s">
        <v>595</v>
      </c>
      <c r="G1474" s="33" t="s">
        <v>1732</v>
      </c>
      <c r="H1474" s="33" t="s">
        <v>595</v>
      </c>
    </row>
    <row r="1475" spans="1:8" x14ac:dyDescent="0.25">
      <c r="A1475" s="32">
        <v>33070614015</v>
      </c>
      <c r="B1475" s="33" t="s">
        <v>2179</v>
      </c>
      <c r="C1475" s="33" t="s">
        <v>1650</v>
      </c>
      <c r="D1475" s="33" t="s">
        <v>2181</v>
      </c>
      <c r="E1475" s="33" t="s">
        <v>1681</v>
      </c>
      <c r="F1475" s="33" t="s">
        <v>596</v>
      </c>
      <c r="G1475" s="33" t="s">
        <v>2129</v>
      </c>
      <c r="H1475" s="33" t="s">
        <v>596</v>
      </c>
    </row>
    <row r="1476" spans="1:8" x14ac:dyDescent="0.25">
      <c r="A1476" s="32">
        <v>33070614016</v>
      </c>
      <c r="B1476" s="33" t="s">
        <v>2179</v>
      </c>
      <c r="C1476" s="33" t="s">
        <v>1650</v>
      </c>
      <c r="D1476" s="33" t="s">
        <v>2181</v>
      </c>
      <c r="E1476" s="33" t="s">
        <v>1681</v>
      </c>
      <c r="F1476" s="33" t="s">
        <v>597</v>
      </c>
      <c r="G1476" s="33" t="s">
        <v>2129</v>
      </c>
      <c r="H1476" s="33" t="s">
        <v>597</v>
      </c>
    </row>
    <row r="1477" spans="1:8" x14ac:dyDescent="0.25">
      <c r="A1477" s="32">
        <v>33070614017</v>
      </c>
      <c r="B1477" s="33" t="s">
        <v>2179</v>
      </c>
      <c r="C1477" s="33" t="s">
        <v>1662</v>
      </c>
      <c r="D1477" s="33" t="s">
        <v>2181</v>
      </c>
      <c r="E1477" s="33" t="s">
        <v>1730</v>
      </c>
      <c r="F1477" s="33" t="s">
        <v>980</v>
      </c>
      <c r="G1477" s="33" t="s">
        <v>1732</v>
      </c>
      <c r="H1477" s="33" t="s">
        <v>980</v>
      </c>
    </row>
    <row r="1478" spans="1:8" x14ac:dyDescent="0.25">
      <c r="A1478" s="32">
        <v>33070614018</v>
      </c>
      <c r="B1478" s="33" t="s">
        <v>2179</v>
      </c>
      <c r="C1478" s="33" t="s">
        <v>1662</v>
      </c>
      <c r="D1478" s="33" t="s">
        <v>2181</v>
      </c>
      <c r="E1478" s="33" t="s">
        <v>1730</v>
      </c>
      <c r="F1478" s="33" t="s">
        <v>1439</v>
      </c>
      <c r="G1478" s="33" t="s">
        <v>1732</v>
      </c>
      <c r="H1478" s="33" t="s">
        <v>1439</v>
      </c>
    </row>
    <row r="1479" spans="1:8" x14ac:dyDescent="0.25">
      <c r="A1479" s="32">
        <v>33070614019</v>
      </c>
      <c r="B1479" s="33" t="s">
        <v>2179</v>
      </c>
      <c r="C1479" s="33" t="s">
        <v>1662</v>
      </c>
      <c r="D1479" s="33" t="s">
        <v>2181</v>
      </c>
      <c r="E1479" s="33" t="s">
        <v>1730</v>
      </c>
      <c r="F1479" s="33" t="s">
        <v>598</v>
      </c>
      <c r="G1479" s="33" t="s">
        <v>2129</v>
      </c>
      <c r="H1479" s="33" t="s">
        <v>598</v>
      </c>
    </row>
    <row r="1480" spans="1:8" x14ac:dyDescent="0.25">
      <c r="A1480" s="32">
        <v>33070614020</v>
      </c>
      <c r="B1480" s="33" t="s">
        <v>2179</v>
      </c>
      <c r="C1480" s="33" t="s">
        <v>1662</v>
      </c>
      <c r="D1480" s="33" t="s">
        <v>2181</v>
      </c>
      <c r="E1480" s="33" t="s">
        <v>1730</v>
      </c>
      <c r="F1480" s="33" t="s">
        <v>1440</v>
      </c>
      <c r="G1480" s="33" t="s">
        <v>1732</v>
      </c>
      <c r="H1480" s="33" t="s">
        <v>1440</v>
      </c>
    </row>
    <row r="1481" spans="1:8" x14ac:dyDescent="0.25">
      <c r="A1481" s="32">
        <v>33070614021</v>
      </c>
      <c r="B1481" s="33" t="s">
        <v>2179</v>
      </c>
      <c r="C1481" s="33" t="s">
        <v>1662</v>
      </c>
      <c r="D1481" s="33" t="s">
        <v>2181</v>
      </c>
      <c r="E1481" s="33" t="s">
        <v>1730</v>
      </c>
      <c r="F1481" s="33" t="s">
        <v>599</v>
      </c>
      <c r="G1481" s="33" t="s">
        <v>2129</v>
      </c>
      <c r="H1481" s="33" t="s">
        <v>599</v>
      </c>
    </row>
    <row r="1482" spans="1:8" x14ac:dyDescent="0.25">
      <c r="A1482" s="32">
        <v>33070614022</v>
      </c>
      <c r="B1482" s="33" t="s">
        <v>2179</v>
      </c>
      <c r="C1482" s="33" t="s">
        <v>1660</v>
      </c>
      <c r="D1482" s="33" t="s">
        <v>2180</v>
      </c>
      <c r="E1482" s="33" t="s">
        <v>1730</v>
      </c>
      <c r="F1482" s="33" t="s">
        <v>1219</v>
      </c>
      <c r="G1482" s="33" t="s">
        <v>2129</v>
      </c>
      <c r="H1482" s="33" t="s">
        <v>1219</v>
      </c>
    </row>
    <row r="1483" spans="1:8" x14ac:dyDescent="0.25">
      <c r="A1483" s="32">
        <v>33070614023</v>
      </c>
      <c r="B1483" s="33" t="s">
        <v>2179</v>
      </c>
      <c r="C1483" s="33" t="s">
        <v>1661</v>
      </c>
      <c r="D1483" s="33" t="s">
        <v>2181</v>
      </c>
      <c r="E1483" s="33" t="s">
        <v>1730</v>
      </c>
      <c r="F1483" s="33" t="s">
        <v>601</v>
      </c>
      <c r="G1483" s="33" t="s">
        <v>2129</v>
      </c>
      <c r="H1483" s="33" t="s">
        <v>601</v>
      </c>
    </row>
    <row r="1484" spans="1:8" x14ac:dyDescent="0.25">
      <c r="A1484" s="32">
        <v>33070614024</v>
      </c>
      <c r="B1484" s="33" t="s">
        <v>2179</v>
      </c>
      <c r="C1484" s="33" t="s">
        <v>1661</v>
      </c>
      <c r="D1484" s="33" t="s">
        <v>2181</v>
      </c>
      <c r="E1484" s="33" t="s">
        <v>1730</v>
      </c>
      <c r="F1484" s="33" t="s">
        <v>602</v>
      </c>
      <c r="G1484" s="33" t="s">
        <v>2129</v>
      </c>
      <c r="H1484" s="33" t="s">
        <v>602</v>
      </c>
    </row>
    <row r="1485" spans="1:8" x14ac:dyDescent="0.25">
      <c r="A1485" s="32">
        <v>33070614026</v>
      </c>
      <c r="B1485" s="33" t="s">
        <v>2179</v>
      </c>
      <c r="C1485" s="33" t="s">
        <v>1662</v>
      </c>
      <c r="D1485" s="33" t="s">
        <v>2181</v>
      </c>
      <c r="E1485" s="33" t="s">
        <v>1730</v>
      </c>
      <c r="F1485" s="33" t="s">
        <v>1216</v>
      </c>
      <c r="G1485" s="33" t="s">
        <v>2129</v>
      </c>
      <c r="H1485" s="33" t="s">
        <v>1216</v>
      </c>
    </row>
    <row r="1486" spans="1:8" x14ac:dyDescent="0.25">
      <c r="A1486" s="32">
        <v>33070614027</v>
      </c>
      <c r="B1486" s="33" t="s">
        <v>2179</v>
      </c>
      <c r="C1486" s="33" t="s">
        <v>1659</v>
      </c>
      <c r="D1486" s="33" t="s">
        <v>2180</v>
      </c>
      <c r="E1486" s="33" t="s">
        <v>1730</v>
      </c>
      <c r="F1486" s="33" t="s">
        <v>2190</v>
      </c>
      <c r="G1486" s="33" t="s">
        <v>1732</v>
      </c>
      <c r="H1486" s="33" t="s">
        <v>2191</v>
      </c>
    </row>
    <row r="1487" spans="1:8" x14ac:dyDescent="0.25">
      <c r="A1487" s="32">
        <v>33070614028</v>
      </c>
      <c r="B1487" s="33" t="s">
        <v>2179</v>
      </c>
      <c r="C1487" s="33" t="s">
        <v>1652</v>
      </c>
      <c r="D1487" s="33" t="s">
        <v>2182</v>
      </c>
      <c r="E1487" s="33" t="s">
        <v>1730</v>
      </c>
      <c r="F1487" s="33" t="s">
        <v>604</v>
      </c>
      <c r="G1487" s="33" t="s">
        <v>2129</v>
      </c>
      <c r="H1487" s="33" t="s">
        <v>604</v>
      </c>
    </row>
    <row r="1488" spans="1:8" x14ac:dyDescent="0.25">
      <c r="A1488" s="32">
        <v>33070614029</v>
      </c>
      <c r="B1488" s="33" t="s">
        <v>2179</v>
      </c>
      <c r="C1488" s="33" t="s">
        <v>1650</v>
      </c>
      <c r="D1488" s="33" t="s">
        <v>2180</v>
      </c>
      <c r="E1488" s="33" t="s">
        <v>1681</v>
      </c>
      <c r="F1488" s="33" t="s">
        <v>1052</v>
      </c>
      <c r="G1488" s="33" t="s">
        <v>1732</v>
      </c>
      <c r="H1488" s="33" t="s">
        <v>1240</v>
      </c>
    </row>
    <row r="1489" spans="1:8" x14ac:dyDescent="0.25">
      <c r="A1489" s="32">
        <v>33070614030</v>
      </c>
      <c r="B1489" s="33" t="s">
        <v>2179</v>
      </c>
      <c r="C1489" s="33" t="s">
        <v>1650</v>
      </c>
      <c r="D1489" s="33" t="s">
        <v>2181</v>
      </c>
      <c r="E1489" s="33" t="s">
        <v>1681</v>
      </c>
      <c r="F1489" s="33" t="s">
        <v>605</v>
      </c>
      <c r="G1489" s="33" t="s">
        <v>2129</v>
      </c>
      <c r="H1489" s="33" t="s">
        <v>605</v>
      </c>
    </row>
    <row r="1490" spans="1:8" x14ac:dyDescent="0.25">
      <c r="A1490" s="32">
        <v>33070614705</v>
      </c>
      <c r="B1490" s="33" t="s">
        <v>2179</v>
      </c>
      <c r="C1490" s="33" t="s">
        <v>1659</v>
      </c>
      <c r="D1490" s="33" t="s">
        <v>2180</v>
      </c>
      <c r="E1490" s="33" t="s">
        <v>1730</v>
      </c>
      <c r="F1490" s="33" t="s">
        <v>1441</v>
      </c>
      <c r="G1490" s="33" t="s">
        <v>1732</v>
      </c>
      <c r="H1490" s="33" t="s">
        <v>673</v>
      </c>
    </row>
    <row r="1491" spans="1:8" x14ac:dyDescent="0.25">
      <c r="A1491" s="32">
        <v>33070614716</v>
      </c>
      <c r="B1491" s="33" t="s">
        <v>2179</v>
      </c>
      <c r="C1491" s="33" t="s">
        <v>1652</v>
      </c>
      <c r="D1491" s="33" t="s">
        <v>2182</v>
      </c>
      <c r="E1491" s="33" t="s">
        <v>1730</v>
      </c>
      <c r="F1491" s="33" t="s">
        <v>606</v>
      </c>
      <c r="G1491" s="33" t="s">
        <v>2129</v>
      </c>
      <c r="H1491" s="33" t="s">
        <v>606</v>
      </c>
    </row>
    <row r="1492" spans="1:8" x14ac:dyDescent="0.25">
      <c r="A1492" s="32">
        <v>33070614717</v>
      </c>
      <c r="B1492" s="33" t="s">
        <v>2179</v>
      </c>
      <c r="C1492" s="33" t="s">
        <v>1659</v>
      </c>
      <c r="D1492" s="33" t="s">
        <v>2180</v>
      </c>
      <c r="E1492" s="33" t="s">
        <v>1730</v>
      </c>
      <c r="F1492" s="33" t="s">
        <v>607</v>
      </c>
      <c r="G1492" s="33" t="s">
        <v>2129</v>
      </c>
      <c r="H1492" s="33" t="s">
        <v>607</v>
      </c>
    </row>
    <row r="1493" spans="1:8" x14ac:dyDescent="0.25">
      <c r="A1493" s="32">
        <v>33070614718</v>
      </c>
      <c r="B1493" s="33" t="s">
        <v>2179</v>
      </c>
      <c r="C1493" s="33" t="s">
        <v>1659</v>
      </c>
      <c r="D1493" s="33" t="s">
        <v>2180</v>
      </c>
      <c r="E1493" s="33" t="s">
        <v>1730</v>
      </c>
      <c r="F1493" s="33" t="s">
        <v>608</v>
      </c>
      <c r="G1493" s="33" t="s">
        <v>2129</v>
      </c>
      <c r="H1493" s="33" t="s">
        <v>608</v>
      </c>
    </row>
    <row r="1494" spans="1:8" x14ac:dyDescent="0.25">
      <c r="A1494" s="32">
        <v>33070614719</v>
      </c>
      <c r="B1494" s="33" t="s">
        <v>2179</v>
      </c>
      <c r="C1494" s="33" t="s">
        <v>1659</v>
      </c>
      <c r="D1494" s="33" t="s">
        <v>2180</v>
      </c>
      <c r="E1494" s="33" t="s">
        <v>1730</v>
      </c>
      <c r="F1494" s="33" t="s">
        <v>609</v>
      </c>
      <c r="G1494" s="33" t="s">
        <v>2129</v>
      </c>
      <c r="H1494" s="33" t="s">
        <v>609</v>
      </c>
    </row>
    <row r="1495" spans="1:8" x14ac:dyDescent="0.25">
      <c r="A1495" s="32">
        <v>33070614720</v>
      </c>
      <c r="B1495" s="33" t="s">
        <v>2179</v>
      </c>
      <c r="C1495" s="33" t="s">
        <v>1659</v>
      </c>
      <c r="D1495" s="33" t="s">
        <v>2180</v>
      </c>
      <c r="E1495" s="33" t="s">
        <v>1730</v>
      </c>
      <c r="F1495" s="33" t="s">
        <v>610</v>
      </c>
      <c r="G1495" s="33" t="s">
        <v>2129</v>
      </c>
      <c r="H1495" s="33" t="s">
        <v>610</v>
      </c>
    </row>
    <row r="1496" spans="1:8" x14ac:dyDescent="0.25">
      <c r="A1496" s="32">
        <v>33070614721</v>
      </c>
      <c r="B1496" s="33" t="s">
        <v>2179</v>
      </c>
      <c r="C1496" s="33" t="s">
        <v>1659</v>
      </c>
      <c r="D1496" s="33" t="s">
        <v>2180</v>
      </c>
      <c r="E1496" s="33" t="s">
        <v>1730</v>
      </c>
      <c r="F1496" s="33" t="s">
        <v>611</v>
      </c>
      <c r="G1496" s="33" t="s">
        <v>2129</v>
      </c>
      <c r="H1496" s="33" t="s">
        <v>611</v>
      </c>
    </row>
    <row r="1497" spans="1:8" x14ac:dyDescent="0.25">
      <c r="A1497" s="32">
        <v>33070614722</v>
      </c>
      <c r="B1497" s="33" t="s">
        <v>2179</v>
      </c>
      <c r="C1497" s="33" t="s">
        <v>1652</v>
      </c>
      <c r="D1497" s="33" t="s">
        <v>2182</v>
      </c>
      <c r="E1497" s="33" t="s">
        <v>1730</v>
      </c>
      <c r="F1497" s="33" t="s">
        <v>612</v>
      </c>
      <c r="G1497" s="33" t="s">
        <v>2129</v>
      </c>
      <c r="H1497" s="33" t="s">
        <v>612</v>
      </c>
    </row>
    <row r="1498" spans="1:8" x14ac:dyDescent="0.25">
      <c r="A1498" s="32">
        <v>33070614723</v>
      </c>
      <c r="B1498" s="33" t="s">
        <v>2179</v>
      </c>
      <c r="C1498" s="33" t="s">
        <v>1652</v>
      </c>
      <c r="D1498" s="33" t="s">
        <v>2182</v>
      </c>
      <c r="E1498" s="33" t="s">
        <v>1730</v>
      </c>
      <c r="F1498" s="33" t="s">
        <v>613</v>
      </c>
      <c r="G1498" s="33" t="s">
        <v>2129</v>
      </c>
      <c r="H1498" s="33" t="s">
        <v>613</v>
      </c>
    </row>
    <row r="1499" spans="1:8" x14ac:dyDescent="0.25">
      <c r="A1499" s="32">
        <v>33070614724</v>
      </c>
      <c r="B1499" s="33" t="s">
        <v>2179</v>
      </c>
      <c r="C1499" s="33" t="s">
        <v>1652</v>
      </c>
      <c r="D1499" s="33" t="s">
        <v>2182</v>
      </c>
      <c r="E1499" s="33" t="s">
        <v>1730</v>
      </c>
      <c r="F1499" s="33" t="s">
        <v>614</v>
      </c>
      <c r="G1499" s="33" t="s">
        <v>2129</v>
      </c>
      <c r="H1499" s="33" t="s">
        <v>614</v>
      </c>
    </row>
    <row r="1500" spans="1:8" x14ac:dyDescent="0.25">
      <c r="A1500" s="32">
        <v>33070614725</v>
      </c>
      <c r="B1500" s="33" t="s">
        <v>2179</v>
      </c>
      <c r="C1500" s="33" t="s">
        <v>1657</v>
      </c>
      <c r="D1500" s="33" t="s">
        <v>2184</v>
      </c>
      <c r="E1500" s="33" t="s">
        <v>1730</v>
      </c>
      <c r="F1500" s="33" t="s">
        <v>615</v>
      </c>
      <c r="G1500" s="33" t="s">
        <v>1732</v>
      </c>
      <c r="H1500" s="33" t="s">
        <v>615</v>
      </c>
    </row>
    <row r="1501" spans="1:8" x14ac:dyDescent="0.25">
      <c r="A1501" s="32">
        <v>33070614726</v>
      </c>
      <c r="B1501" s="33" t="s">
        <v>2179</v>
      </c>
      <c r="C1501" s="33" t="s">
        <v>1652</v>
      </c>
      <c r="D1501" s="33" t="s">
        <v>2182</v>
      </c>
      <c r="E1501" s="33" t="s">
        <v>1730</v>
      </c>
      <c r="F1501" s="33" t="s">
        <v>1442</v>
      </c>
      <c r="G1501" s="33" t="s">
        <v>1732</v>
      </c>
      <c r="H1501" s="33" t="s">
        <v>1442</v>
      </c>
    </row>
    <row r="1502" spans="1:8" x14ac:dyDescent="0.25">
      <c r="A1502" s="32">
        <v>33070614727</v>
      </c>
      <c r="B1502" s="33" t="s">
        <v>2179</v>
      </c>
      <c r="C1502" s="33" t="s">
        <v>1652</v>
      </c>
      <c r="D1502" s="33" t="s">
        <v>2182</v>
      </c>
      <c r="E1502" s="33" t="s">
        <v>1730</v>
      </c>
      <c r="F1502" s="33" t="s">
        <v>616</v>
      </c>
      <c r="G1502" s="33" t="s">
        <v>2129</v>
      </c>
      <c r="H1502" s="33" t="s">
        <v>616</v>
      </c>
    </row>
    <row r="1503" spans="1:8" x14ac:dyDescent="0.25">
      <c r="A1503" s="32">
        <v>33070614728</v>
      </c>
      <c r="B1503" s="33" t="s">
        <v>2179</v>
      </c>
      <c r="C1503" s="33" t="s">
        <v>1652</v>
      </c>
      <c r="D1503" s="33" t="s">
        <v>2182</v>
      </c>
      <c r="E1503" s="33" t="s">
        <v>1730</v>
      </c>
      <c r="F1503" s="33" t="s">
        <v>617</v>
      </c>
      <c r="G1503" s="33" t="s">
        <v>1732</v>
      </c>
      <c r="H1503" s="33" t="s">
        <v>617</v>
      </c>
    </row>
    <row r="1504" spans="1:8" x14ac:dyDescent="0.25">
      <c r="A1504" s="32">
        <v>33070614729</v>
      </c>
      <c r="B1504" s="33" t="s">
        <v>2179</v>
      </c>
      <c r="C1504" s="33" t="s">
        <v>1652</v>
      </c>
      <c r="D1504" s="33" t="s">
        <v>2182</v>
      </c>
      <c r="E1504" s="33" t="s">
        <v>1730</v>
      </c>
      <c r="F1504" s="33" t="s">
        <v>618</v>
      </c>
      <c r="G1504" s="33" t="s">
        <v>2129</v>
      </c>
      <c r="H1504" s="33" t="s">
        <v>618</v>
      </c>
    </row>
    <row r="1505" spans="1:8" x14ac:dyDescent="0.25">
      <c r="A1505" s="32">
        <v>33070614730</v>
      </c>
      <c r="B1505" s="33" t="s">
        <v>2179</v>
      </c>
      <c r="C1505" s="33" t="s">
        <v>1657</v>
      </c>
      <c r="D1505" s="33" t="s">
        <v>2184</v>
      </c>
      <c r="E1505" s="33" t="s">
        <v>1730</v>
      </c>
      <c r="F1505" s="33" t="s">
        <v>619</v>
      </c>
      <c r="G1505" s="33" t="s">
        <v>2129</v>
      </c>
      <c r="H1505" s="33" t="s">
        <v>619</v>
      </c>
    </row>
    <row r="1506" spans="1:8" x14ac:dyDescent="0.25">
      <c r="A1506" s="32">
        <v>33070614731</v>
      </c>
      <c r="B1506" s="33" t="s">
        <v>2179</v>
      </c>
      <c r="C1506" s="33" t="s">
        <v>1657</v>
      </c>
      <c r="D1506" s="33" t="s">
        <v>2184</v>
      </c>
      <c r="E1506" s="33" t="s">
        <v>1730</v>
      </c>
      <c r="F1506" s="33" t="s">
        <v>620</v>
      </c>
      <c r="G1506" s="33" t="s">
        <v>2129</v>
      </c>
      <c r="H1506" s="33" t="s">
        <v>620</v>
      </c>
    </row>
    <row r="1507" spans="1:8" x14ac:dyDescent="0.25">
      <c r="A1507" s="32">
        <v>33070614732</v>
      </c>
      <c r="B1507" s="33" t="s">
        <v>2179</v>
      </c>
      <c r="C1507" s="33" t="s">
        <v>1657</v>
      </c>
      <c r="D1507" s="33" t="s">
        <v>2184</v>
      </c>
      <c r="E1507" s="33" t="s">
        <v>1730</v>
      </c>
      <c r="F1507" s="33" t="s">
        <v>621</v>
      </c>
      <c r="G1507" s="33" t="s">
        <v>2129</v>
      </c>
      <c r="H1507" s="33" t="s">
        <v>621</v>
      </c>
    </row>
    <row r="1508" spans="1:8" x14ac:dyDescent="0.25">
      <c r="A1508" s="32">
        <v>33070614733</v>
      </c>
      <c r="B1508" s="33" t="s">
        <v>2179</v>
      </c>
      <c r="C1508" s="33" t="s">
        <v>1657</v>
      </c>
      <c r="D1508" s="33" t="s">
        <v>2184</v>
      </c>
      <c r="E1508" s="33" t="s">
        <v>1730</v>
      </c>
      <c r="F1508" s="33" t="s">
        <v>622</v>
      </c>
      <c r="G1508" s="33" t="s">
        <v>2129</v>
      </c>
      <c r="H1508" s="33" t="s">
        <v>622</v>
      </c>
    </row>
    <row r="1509" spans="1:8" x14ac:dyDescent="0.25">
      <c r="A1509" s="32">
        <v>33070614735</v>
      </c>
      <c r="B1509" s="33" t="s">
        <v>2179</v>
      </c>
      <c r="C1509" s="33" t="s">
        <v>1657</v>
      </c>
      <c r="D1509" s="33" t="s">
        <v>2184</v>
      </c>
      <c r="E1509" s="33" t="s">
        <v>1730</v>
      </c>
      <c r="F1509" s="33" t="s">
        <v>623</v>
      </c>
      <c r="G1509" s="33" t="s">
        <v>1732</v>
      </c>
      <c r="H1509" s="33" t="s">
        <v>623</v>
      </c>
    </row>
    <row r="1510" spans="1:8" x14ac:dyDescent="0.25">
      <c r="A1510" s="32">
        <v>33070614736</v>
      </c>
      <c r="B1510" s="33" t="s">
        <v>2179</v>
      </c>
      <c r="C1510" s="33" t="s">
        <v>1657</v>
      </c>
      <c r="D1510" s="33" t="s">
        <v>2184</v>
      </c>
      <c r="E1510" s="33" t="s">
        <v>1730</v>
      </c>
      <c r="F1510" s="33" t="s">
        <v>624</v>
      </c>
      <c r="G1510" s="33" t="s">
        <v>1732</v>
      </c>
      <c r="H1510" s="33" t="s">
        <v>624</v>
      </c>
    </row>
    <row r="1511" spans="1:8" x14ac:dyDescent="0.25">
      <c r="A1511" s="32">
        <v>33070614737</v>
      </c>
      <c r="B1511" s="33" t="s">
        <v>2179</v>
      </c>
      <c r="C1511" s="33" t="s">
        <v>1662</v>
      </c>
      <c r="D1511" s="33" t="s">
        <v>2181</v>
      </c>
      <c r="E1511" s="33" t="s">
        <v>1730</v>
      </c>
      <c r="F1511" s="33" t="s">
        <v>1443</v>
      </c>
      <c r="G1511" s="33" t="s">
        <v>1732</v>
      </c>
      <c r="H1511" s="33" t="s">
        <v>1443</v>
      </c>
    </row>
    <row r="1512" spans="1:8" x14ac:dyDescent="0.25">
      <c r="A1512" s="32">
        <v>33070614739</v>
      </c>
      <c r="B1512" s="33" t="s">
        <v>2179</v>
      </c>
      <c r="C1512" s="33" t="s">
        <v>1657</v>
      </c>
      <c r="D1512" s="33" t="s">
        <v>2184</v>
      </c>
      <c r="E1512" s="33" t="s">
        <v>1730</v>
      </c>
      <c r="F1512" s="33" t="s">
        <v>1444</v>
      </c>
      <c r="G1512" s="33" t="s">
        <v>1732</v>
      </c>
      <c r="H1512" s="33" t="s">
        <v>682</v>
      </c>
    </row>
    <row r="1513" spans="1:8" x14ac:dyDescent="0.25">
      <c r="A1513" s="32">
        <v>33070614740</v>
      </c>
      <c r="B1513" s="33" t="s">
        <v>2179</v>
      </c>
      <c r="C1513" s="33" t="s">
        <v>1652</v>
      </c>
      <c r="D1513" s="33" t="s">
        <v>2182</v>
      </c>
      <c r="E1513" s="33" t="s">
        <v>1730</v>
      </c>
      <c r="F1513" s="33" t="s">
        <v>1445</v>
      </c>
      <c r="G1513" s="33" t="s">
        <v>1732</v>
      </c>
      <c r="H1513" s="33" t="s">
        <v>1445</v>
      </c>
    </row>
    <row r="1514" spans="1:8" x14ac:dyDescent="0.25">
      <c r="A1514" s="32">
        <v>33070614741</v>
      </c>
      <c r="B1514" s="33" t="s">
        <v>2179</v>
      </c>
      <c r="C1514" s="33" t="s">
        <v>1662</v>
      </c>
      <c r="D1514" s="33" t="s">
        <v>2181</v>
      </c>
      <c r="E1514" s="33" t="s">
        <v>1730</v>
      </c>
      <c r="F1514" s="33" t="s">
        <v>625</v>
      </c>
      <c r="G1514" s="33" t="s">
        <v>2129</v>
      </c>
      <c r="H1514" s="33" t="s">
        <v>625</v>
      </c>
    </row>
    <row r="1515" spans="1:8" x14ac:dyDescent="0.25">
      <c r="A1515" s="32">
        <v>33070614742</v>
      </c>
      <c r="B1515" s="33" t="s">
        <v>2179</v>
      </c>
      <c r="C1515" s="33" t="s">
        <v>1662</v>
      </c>
      <c r="D1515" s="33" t="s">
        <v>2181</v>
      </c>
      <c r="E1515" s="33" t="s">
        <v>1730</v>
      </c>
      <c r="F1515" s="33" t="s">
        <v>626</v>
      </c>
      <c r="G1515" s="33" t="s">
        <v>2129</v>
      </c>
      <c r="H1515" s="33" t="s">
        <v>626</v>
      </c>
    </row>
    <row r="1516" spans="1:8" x14ac:dyDescent="0.25">
      <c r="A1516" s="32">
        <v>33070614743</v>
      </c>
      <c r="B1516" s="33" t="s">
        <v>2179</v>
      </c>
      <c r="C1516" s="33" t="s">
        <v>1657</v>
      </c>
      <c r="D1516" s="33" t="s">
        <v>2184</v>
      </c>
      <c r="E1516" s="33" t="s">
        <v>1730</v>
      </c>
      <c r="F1516" s="33" t="s">
        <v>1446</v>
      </c>
      <c r="G1516" s="33" t="s">
        <v>1732</v>
      </c>
      <c r="H1516" s="33" t="s">
        <v>683</v>
      </c>
    </row>
    <row r="1517" spans="1:8" x14ac:dyDescent="0.25">
      <c r="A1517" s="32">
        <v>33070614744</v>
      </c>
      <c r="B1517" s="33" t="s">
        <v>2179</v>
      </c>
      <c r="C1517" s="33" t="s">
        <v>1650</v>
      </c>
      <c r="D1517" s="33" t="s">
        <v>2180</v>
      </c>
      <c r="E1517" s="33" t="s">
        <v>1681</v>
      </c>
      <c r="F1517" s="33" t="s">
        <v>627</v>
      </c>
      <c r="G1517" s="33" t="s">
        <v>2129</v>
      </c>
      <c r="H1517" s="33" t="s">
        <v>627</v>
      </c>
    </row>
    <row r="1518" spans="1:8" x14ac:dyDescent="0.25">
      <c r="A1518" s="32">
        <v>33070614745</v>
      </c>
      <c r="B1518" s="33" t="s">
        <v>2179</v>
      </c>
      <c r="C1518" s="33" t="s">
        <v>1650</v>
      </c>
      <c r="D1518" s="33" t="s">
        <v>2182</v>
      </c>
      <c r="E1518" s="33" t="s">
        <v>1681</v>
      </c>
      <c r="F1518" s="33" t="s">
        <v>628</v>
      </c>
      <c r="G1518" s="33" t="s">
        <v>2129</v>
      </c>
      <c r="H1518" s="33" t="s">
        <v>628</v>
      </c>
    </row>
    <row r="1519" spans="1:8" x14ac:dyDescent="0.25">
      <c r="A1519" s="32">
        <v>33070614746</v>
      </c>
      <c r="B1519" s="33" t="s">
        <v>2179</v>
      </c>
      <c r="C1519" s="33" t="s">
        <v>1650</v>
      </c>
      <c r="D1519" s="33" t="s">
        <v>2182</v>
      </c>
      <c r="E1519" s="33" t="s">
        <v>1681</v>
      </c>
      <c r="F1519" s="33" t="s">
        <v>629</v>
      </c>
      <c r="G1519" s="33" t="s">
        <v>1732</v>
      </c>
      <c r="H1519" s="33" t="s">
        <v>1245</v>
      </c>
    </row>
    <row r="1520" spans="1:8" x14ac:dyDescent="0.25">
      <c r="A1520" s="32">
        <v>33070614747</v>
      </c>
      <c r="B1520" s="33" t="s">
        <v>2179</v>
      </c>
      <c r="C1520" s="33" t="s">
        <v>1650</v>
      </c>
      <c r="D1520" s="33" t="s">
        <v>2184</v>
      </c>
      <c r="E1520" s="33" t="s">
        <v>1681</v>
      </c>
      <c r="F1520" s="33" t="s">
        <v>630</v>
      </c>
      <c r="G1520" s="33" t="s">
        <v>2129</v>
      </c>
      <c r="H1520" s="33" t="s">
        <v>630</v>
      </c>
    </row>
    <row r="1521" spans="1:8" x14ac:dyDescent="0.25">
      <c r="A1521" s="32">
        <v>33070614748</v>
      </c>
      <c r="B1521" s="33" t="s">
        <v>2179</v>
      </c>
      <c r="C1521" s="33" t="s">
        <v>1650</v>
      </c>
      <c r="D1521" s="33" t="s">
        <v>2184</v>
      </c>
      <c r="E1521" s="33" t="s">
        <v>1681</v>
      </c>
      <c r="F1521" s="33" t="s">
        <v>631</v>
      </c>
      <c r="G1521" s="33" t="s">
        <v>2129</v>
      </c>
      <c r="H1521" s="33" t="s">
        <v>631</v>
      </c>
    </row>
    <row r="1522" spans="1:8" x14ac:dyDescent="0.25">
      <c r="A1522" s="32">
        <v>33070614749</v>
      </c>
      <c r="B1522" s="33" t="s">
        <v>2179</v>
      </c>
      <c r="C1522" s="33" t="s">
        <v>1650</v>
      </c>
      <c r="D1522" s="33" t="s">
        <v>2184</v>
      </c>
      <c r="E1522" s="33" t="s">
        <v>1681</v>
      </c>
      <c r="F1522" s="33" t="s">
        <v>632</v>
      </c>
      <c r="G1522" s="33" t="s">
        <v>2129</v>
      </c>
      <c r="H1522" s="33" t="s">
        <v>632</v>
      </c>
    </row>
    <row r="1523" spans="1:8" x14ac:dyDescent="0.25">
      <c r="A1523" s="32">
        <v>33070614750</v>
      </c>
      <c r="B1523" s="33" t="s">
        <v>2179</v>
      </c>
      <c r="C1523" s="33" t="s">
        <v>1650</v>
      </c>
      <c r="D1523" s="33" t="s">
        <v>2181</v>
      </c>
      <c r="E1523" s="33" t="s">
        <v>1681</v>
      </c>
      <c r="F1523" s="33" t="s">
        <v>1241</v>
      </c>
      <c r="G1523" s="33" t="s">
        <v>2129</v>
      </c>
      <c r="H1523" s="33" t="s">
        <v>1241</v>
      </c>
    </row>
    <row r="1524" spans="1:8" x14ac:dyDescent="0.25">
      <c r="A1524" s="32">
        <v>33070614751</v>
      </c>
      <c r="B1524" s="33" t="s">
        <v>2179</v>
      </c>
      <c r="C1524" s="33" t="s">
        <v>1650</v>
      </c>
      <c r="D1524" s="33" t="s">
        <v>2184</v>
      </c>
      <c r="E1524" s="33" t="s">
        <v>1681</v>
      </c>
      <c r="F1524" s="33" t="s">
        <v>633</v>
      </c>
      <c r="G1524" s="33" t="s">
        <v>2129</v>
      </c>
      <c r="H1524" s="33" t="s">
        <v>633</v>
      </c>
    </row>
    <row r="1525" spans="1:8" x14ac:dyDescent="0.25">
      <c r="A1525" s="32">
        <v>33070614752</v>
      </c>
      <c r="B1525" s="33" t="s">
        <v>2179</v>
      </c>
      <c r="C1525" s="33" t="s">
        <v>1650</v>
      </c>
      <c r="D1525" s="33" t="s">
        <v>2184</v>
      </c>
      <c r="E1525" s="33" t="s">
        <v>1681</v>
      </c>
      <c r="F1525" s="33" t="s">
        <v>634</v>
      </c>
      <c r="G1525" s="33" t="s">
        <v>2129</v>
      </c>
      <c r="H1525" s="33" t="s">
        <v>634</v>
      </c>
    </row>
    <row r="1526" spans="1:8" x14ac:dyDescent="0.25">
      <c r="A1526" s="32">
        <v>33070614753</v>
      </c>
      <c r="B1526" s="33" t="s">
        <v>2179</v>
      </c>
      <c r="C1526" s="33" t="s">
        <v>1650</v>
      </c>
      <c r="D1526" s="33" t="s">
        <v>2184</v>
      </c>
      <c r="E1526" s="33" t="s">
        <v>1681</v>
      </c>
      <c r="F1526" s="33" t="s">
        <v>635</v>
      </c>
      <c r="G1526" s="33" t="s">
        <v>2129</v>
      </c>
      <c r="H1526" s="33" t="s">
        <v>635</v>
      </c>
    </row>
    <row r="1527" spans="1:8" x14ac:dyDescent="0.25">
      <c r="A1527" s="32">
        <v>33070614754</v>
      </c>
      <c r="B1527" s="33" t="s">
        <v>2179</v>
      </c>
      <c r="C1527" s="33" t="s">
        <v>1650</v>
      </c>
      <c r="D1527" s="33" t="s">
        <v>2181</v>
      </c>
      <c r="E1527" s="33" t="s">
        <v>1681</v>
      </c>
      <c r="F1527" s="33" t="s">
        <v>1447</v>
      </c>
      <c r="G1527" s="33" t="s">
        <v>1732</v>
      </c>
      <c r="H1527" s="33" t="s">
        <v>1447</v>
      </c>
    </row>
    <row r="1528" spans="1:8" x14ac:dyDescent="0.25">
      <c r="A1528" s="32">
        <v>33070614755</v>
      </c>
      <c r="B1528" s="33" t="s">
        <v>2179</v>
      </c>
      <c r="C1528" s="33" t="s">
        <v>1650</v>
      </c>
      <c r="D1528" s="33" t="s">
        <v>2184</v>
      </c>
      <c r="E1528" s="33" t="s">
        <v>1681</v>
      </c>
      <c r="F1528" s="33" t="s">
        <v>1448</v>
      </c>
      <c r="G1528" s="33" t="s">
        <v>1732</v>
      </c>
      <c r="H1528" s="33" t="s">
        <v>1448</v>
      </c>
    </row>
    <row r="1529" spans="1:8" x14ac:dyDescent="0.25">
      <c r="A1529" s="32">
        <v>33070614756</v>
      </c>
      <c r="B1529" s="33" t="s">
        <v>2179</v>
      </c>
      <c r="C1529" s="33" t="s">
        <v>1650</v>
      </c>
      <c r="D1529" s="33" t="s">
        <v>2181</v>
      </c>
      <c r="E1529" s="33" t="s">
        <v>1681</v>
      </c>
      <c r="F1529" s="33" t="s">
        <v>636</v>
      </c>
      <c r="G1529" s="33" t="s">
        <v>2129</v>
      </c>
      <c r="H1529" s="33" t="s">
        <v>636</v>
      </c>
    </row>
    <row r="1530" spans="1:8" x14ac:dyDescent="0.25">
      <c r="A1530" s="32">
        <v>33070614757</v>
      </c>
      <c r="B1530" s="33" t="s">
        <v>2179</v>
      </c>
      <c r="C1530" s="33" t="s">
        <v>1660</v>
      </c>
      <c r="D1530" s="33" t="s">
        <v>2181</v>
      </c>
      <c r="E1530" s="33" t="s">
        <v>1730</v>
      </c>
      <c r="F1530" s="33" t="s">
        <v>1220</v>
      </c>
      <c r="G1530" s="33" t="s">
        <v>2129</v>
      </c>
      <c r="H1530" s="33" t="s">
        <v>1220</v>
      </c>
    </row>
    <row r="1531" spans="1:8" x14ac:dyDescent="0.25">
      <c r="A1531" s="32">
        <v>33070614758</v>
      </c>
      <c r="B1531" s="33" t="s">
        <v>2179</v>
      </c>
      <c r="C1531" s="33" t="s">
        <v>1660</v>
      </c>
      <c r="D1531" s="33" t="s">
        <v>2181</v>
      </c>
      <c r="E1531" s="33" t="s">
        <v>1730</v>
      </c>
      <c r="F1531" s="33" t="s">
        <v>1228</v>
      </c>
      <c r="G1531" s="33" t="s">
        <v>2129</v>
      </c>
      <c r="H1531" s="33" t="s">
        <v>1228</v>
      </c>
    </row>
    <row r="1532" spans="1:8" x14ac:dyDescent="0.25">
      <c r="A1532" s="32">
        <v>33070614759</v>
      </c>
      <c r="B1532" s="33" t="s">
        <v>2179</v>
      </c>
      <c r="C1532" s="33" t="s">
        <v>1660</v>
      </c>
      <c r="D1532" s="33" t="s">
        <v>2181</v>
      </c>
      <c r="E1532" s="33" t="s">
        <v>1730</v>
      </c>
      <c r="F1532" s="33" t="s">
        <v>1233</v>
      </c>
      <c r="G1532" s="33" t="s">
        <v>2129</v>
      </c>
      <c r="H1532" s="33" t="s">
        <v>1233</v>
      </c>
    </row>
    <row r="1533" spans="1:8" x14ac:dyDescent="0.25">
      <c r="A1533" s="32">
        <v>33070614776</v>
      </c>
      <c r="B1533" s="33" t="s">
        <v>2179</v>
      </c>
      <c r="C1533" s="33" t="s">
        <v>1650</v>
      </c>
      <c r="D1533" s="33" t="s">
        <v>2184</v>
      </c>
      <c r="E1533" s="33" t="s">
        <v>1681</v>
      </c>
      <c r="F1533" s="33" t="s">
        <v>640</v>
      </c>
      <c r="G1533" s="33" t="s">
        <v>2129</v>
      </c>
      <c r="H1533" s="33" t="s">
        <v>640</v>
      </c>
    </row>
    <row r="1534" spans="1:8" x14ac:dyDescent="0.25">
      <c r="A1534" s="32">
        <v>33070614777</v>
      </c>
      <c r="B1534" s="33" t="s">
        <v>2179</v>
      </c>
      <c r="C1534" s="33" t="s">
        <v>1650</v>
      </c>
      <c r="D1534" s="33" t="s">
        <v>2184</v>
      </c>
      <c r="E1534" s="33" t="s">
        <v>1681</v>
      </c>
      <c r="F1534" s="33" t="s">
        <v>641</v>
      </c>
      <c r="G1534" s="33" t="s">
        <v>1732</v>
      </c>
      <c r="H1534" s="33" t="s">
        <v>641</v>
      </c>
    </row>
    <row r="1535" spans="1:8" x14ac:dyDescent="0.25">
      <c r="A1535" s="32">
        <v>33070614778</v>
      </c>
      <c r="B1535" s="33" t="s">
        <v>2179</v>
      </c>
      <c r="C1535" s="33" t="s">
        <v>1651</v>
      </c>
      <c r="D1535" s="33" t="s">
        <v>2183</v>
      </c>
      <c r="E1535" s="33" t="s">
        <v>1730</v>
      </c>
      <c r="F1535" s="33" t="s">
        <v>642</v>
      </c>
      <c r="G1535" s="33" t="s">
        <v>2129</v>
      </c>
      <c r="H1535" s="33" t="s">
        <v>642</v>
      </c>
    </row>
    <row r="1536" spans="1:8" x14ac:dyDescent="0.25">
      <c r="A1536" s="32">
        <v>33070614812</v>
      </c>
      <c r="B1536" s="33" t="s">
        <v>2179</v>
      </c>
      <c r="C1536" s="33" t="s">
        <v>1660</v>
      </c>
      <c r="D1536" s="33" t="s">
        <v>2180</v>
      </c>
      <c r="E1536" s="33" t="s">
        <v>1730</v>
      </c>
      <c r="F1536" s="33" t="s">
        <v>643</v>
      </c>
      <c r="G1536" s="33" t="s">
        <v>2129</v>
      </c>
      <c r="H1536" s="33" t="s">
        <v>643</v>
      </c>
    </row>
    <row r="1537" spans="1:8" x14ac:dyDescent="0.25">
      <c r="A1537" s="32">
        <v>33070614813</v>
      </c>
      <c r="B1537" s="33" t="s">
        <v>2179</v>
      </c>
      <c r="C1537" s="33" t="s">
        <v>1660</v>
      </c>
      <c r="D1537" s="33" t="s">
        <v>2180</v>
      </c>
      <c r="E1537" s="33" t="s">
        <v>1730</v>
      </c>
      <c r="F1537" s="33" t="s">
        <v>644</v>
      </c>
      <c r="G1537" s="33" t="s">
        <v>2129</v>
      </c>
      <c r="H1537" s="33" t="s">
        <v>644</v>
      </c>
    </row>
    <row r="1538" spans="1:8" x14ac:dyDescent="0.25">
      <c r="A1538" s="32">
        <v>33070614826</v>
      </c>
      <c r="B1538" s="33" t="s">
        <v>2179</v>
      </c>
      <c r="C1538" s="33" t="s">
        <v>1654</v>
      </c>
      <c r="D1538" s="33" t="s">
        <v>2181</v>
      </c>
      <c r="E1538" s="33" t="s">
        <v>1654</v>
      </c>
      <c r="F1538" s="33" t="s">
        <v>1449</v>
      </c>
      <c r="G1538" s="33" t="s">
        <v>1732</v>
      </c>
      <c r="H1538" s="33" t="s">
        <v>1449</v>
      </c>
    </row>
    <row r="1539" spans="1:8" x14ac:dyDescent="0.25">
      <c r="A1539" s="32">
        <v>33070614827</v>
      </c>
      <c r="B1539" s="33" t="s">
        <v>2179</v>
      </c>
      <c r="C1539" s="33" t="s">
        <v>1657</v>
      </c>
      <c r="D1539" s="33" t="s">
        <v>2184</v>
      </c>
      <c r="E1539" s="33" t="s">
        <v>1730</v>
      </c>
      <c r="F1539" s="33" t="s">
        <v>1450</v>
      </c>
      <c r="G1539" s="33" t="s">
        <v>1732</v>
      </c>
      <c r="H1539" s="33" t="s">
        <v>1450</v>
      </c>
    </row>
    <row r="1540" spans="1:8" x14ac:dyDescent="0.25">
      <c r="A1540" s="32">
        <v>33070614828</v>
      </c>
      <c r="B1540" s="33" t="s">
        <v>2179</v>
      </c>
      <c r="C1540" s="33" t="s">
        <v>1654</v>
      </c>
      <c r="D1540" s="33" t="s">
        <v>2181</v>
      </c>
      <c r="E1540" s="33" t="s">
        <v>1654</v>
      </c>
      <c r="F1540" s="33" t="s">
        <v>645</v>
      </c>
      <c r="G1540" s="33" t="s">
        <v>1732</v>
      </c>
      <c r="H1540" s="33" t="s">
        <v>645</v>
      </c>
    </row>
    <row r="1541" spans="1:8" x14ac:dyDescent="0.25">
      <c r="A1541" s="32">
        <v>33070614829</v>
      </c>
      <c r="B1541" s="33" t="s">
        <v>2179</v>
      </c>
      <c r="C1541" s="33" t="s">
        <v>1660</v>
      </c>
      <c r="D1541" s="33" t="s">
        <v>2180</v>
      </c>
      <c r="E1541" s="33" t="s">
        <v>1730</v>
      </c>
      <c r="F1541" s="33" t="s">
        <v>646</v>
      </c>
      <c r="G1541" s="33" t="s">
        <v>2129</v>
      </c>
      <c r="H1541" s="33" t="s">
        <v>646</v>
      </c>
    </row>
    <row r="1542" spans="1:8" x14ac:dyDescent="0.25">
      <c r="A1542" s="32">
        <v>33070614830</v>
      </c>
      <c r="B1542" s="33" t="s">
        <v>2179</v>
      </c>
      <c r="C1542" s="33" t="s">
        <v>1660</v>
      </c>
      <c r="D1542" s="33" t="s">
        <v>2180</v>
      </c>
      <c r="E1542" s="33" t="s">
        <v>1730</v>
      </c>
      <c r="F1542" s="33" t="s">
        <v>647</v>
      </c>
      <c r="G1542" s="33" t="s">
        <v>2129</v>
      </c>
      <c r="H1542" s="33" t="s">
        <v>647</v>
      </c>
    </row>
    <row r="1543" spans="1:8" x14ac:dyDescent="0.25">
      <c r="A1543" s="32">
        <v>33070614831</v>
      </c>
      <c r="B1543" s="33" t="s">
        <v>2179</v>
      </c>
      <c r="C1543" s="33" t="s">
        <v>1657</v>
      </c>
      <c r="D1543" s="33" t="s">
        <v>2184</v>
      </c>
      <c r="E1543" s="33" t="s">
        <v>1730</v>
      </c>
      <c r="F1543" s="33" t="s">
        <v>648</v>
      </c>
      <c r="G1543" s="33" t="s">
        <v>2129</v>
      </c>
      <c r="H1543" s="33" t="s">
        <v>648</v>
      </c>
    </row>
    <row r="1544" spans="1:8" x14ac:dyDescent="0.25">
      <c r="A1544" s="32">
        <v>33070614895</v>
      </c>
      <c r="B1544" s="33" t="s">
        <v>2179</v>
      </c>
      <c r="C1544" s="33" t="s">
        <v>1650</v>
      </c>
      <c r="D1544" s="33" t="s">
        <v>2181</v>
      </c>
      <c r="E1544" s="33" t="s">
        <v>1681</v>
      </c>
      <c r="F1544" s="33" t="s">
        <v>649</v>
      </c>
      <c r="G1544" s="33" t="s">
        <v>2129</v>
      </c>
      <c r="H1544" s="33" t="s">
        <v>649</v>
      </c>
    </row>
    <row r="1545" spans="1:8" x14ac:dyDescent="0.25">
      <c r="A1545" s="32">
        <v>33070614896</v>
      </c>
      <c r="B1545" s="33" t="s">
        <v>2179</v>
      </c>
      <c r="C1545" s="33" t="s">
        <v>1662</v>
      </c>
      <c r="D1545" s="33" t="s">
        <v>2181</v>
      </c>
      <c r="E1545" s="33" t="s">
        <v>1730</v>
      </c>
      <c r="F1545" s="33" t="s">
        <v>1451</v>
      </c>
      <c r="G1545" s="33" t="s">
        <v>1732</v>
      </c>
      <c r="H1545" s="33" t="s">
        <v>1451</v>
      </c>
    </row>
    <row r="1546" spans="1:8" x14ac:dyDescent="0.25">
      <c r="A1546" s="32">
        <v>33070614897</v>
      </c>
      <c r="B1546" s="33" t="s">
        <v>2179</v>
      </c>
      <c r="C1546" s="33" t="s">
        <v>1657</v>
      </c>
      <c r="D1546" s="33" t="s">
        <v>2184</v>
      </c>
      <c r="E1546" s="33" t="s">
        <v>1730</v>
      </c>
      <c r="F1546" s="33" t="s">
        <v>650</v>
      </c>
      <c r="G1546" s="33" t="s">
        <v>2129</v>
      </c>
      <c r="H1546" s="33" t="s">
        <v>650</v>
      </c>
    </row>
    <row r="1547" spans="1:8" x14ac:dyDescent="0.25">
      <c r="A1547" s="32">
        <v>33070614898</v>
      </c>
      <c r="B1547" s="33" t="s">
        <v>2179</v>
      </c>
      <c r="C1547" s="33" t="s">
        <v>1650</v>
      </c>
      <c r="D1547" s="33" t="s">
        <v>2180</v>
      </c>
      <c r="E1547" s="33" t="s">
        <v>1681</v>
      </c>
      <c r="F1547" s="33" t="s">
        <v>651</v>
      </c>
      <c r="G1547" s="33" t="s">
        <v>2129</v>
      </c>
      <c r="H1547" s="33" t="s">
        <v>651</v>
      </c>
    </row>
    <row r="1548" spans="1:8" x14ac:dyDescent="0.25">
      <c r="A1548" s="32">
        <v>33070614906</v>
      </c>
      <c r="B1548" s="33" t="s">
        <v>2179</v>
      </c>
      <c r="C1548" s="33" t="s">
        <v>1662</v>
      </c>
      <c r="D1548" s="33" t="s">
        <v>2181</v>
      </c>
      <c r="E1548" s="33" t="s">
        <v>1730</v>
      </c>
      <c r="F1548" s="33" t="s">
        <v>652</v>
      </c>
      <c r="G1548" s="33" t="s">
        <v>2129</v>
      </c>
      <c r="H1548" s="33" t="s">
        <v>652</v>
      </c>
    </row>
    <row r="1549" spans="1:8" x14ac:dyDescent="0.25">
      <c r="A1549" s="32">
        <v>33070614907</v>
      </c>
      <c r="B1549" s="33" t="s">
        <v>2179</v>
      </c>
      <c r="C1549" s="33" t="s">
        <v>1650</v>
      </c>
      <c r="D1549" s="33" t="s">
        <v>2181</v>
      </c>
      <c r="E1549" s="33" t="s">
        <v>1681</v>
      </c>
      <c r="F1549" s="33" t="s">
        <v>653</v>
      </c>
      <c r="G1549" s="33" t="s">
        <v>2129</v>
      </c>
      <c r="H1549" s="33" t="s">
        <v>653</v>
      </c>
    </row>
    <row r="1550" spans="1:8" x14ac:dyDescent="0.25">
      <c r="A1550" s="32">
        <v>33070614908</v>
      </c>
      <c r="B1550" s="33" t="s">
        <v>2179</v>
      </c>
      <c r="C1550" s="33" t="s">
        <v>1657</v>
      </c>
      <c r="D1550" s="33" t="s">
        <v>2184</v>
      </c>
      <c r="E1550" s="33" t="s">
        <v>1730</v>
      </c>
      <c r="F1550" s="33" t="s">
        <v>654</v>
      </c>
      <c r="G1550" s="33" t="s">
        <v>2129</v>
      </c>
      <c r="H1550" s="33" t="s">
        <v>654</v>
      </c>
    </row>
    <row r="1551" spans="1:8" x14ac:dyDescent="0.25">
      <c r="A1551" s="32">
        <v>33070614909</v>
      </c>
      <c r="B1551" s="33" t="s">
        <v>2179</v>
      </c>
      <c r="C1551" s="33" t="s">
        <v>1650</v>
      </c>
      <c r="D1551" s="33" t="s">
        <v>2181</v>
      </c>
      <c r="E1551" s="33" t="s">
        <v>1681</v>
      </c>
      <c r="F1551" s="33" t="s">
        <v>655</v>
      </c>
      <c r="G1551" s="33" t="s">
        <v>2129</v>
      </c>
      <c r="H1551" s="33" t="s">
        <v>655</v>
      </c>
    </row>
    <row r="1552" spans="1:8" x14ac:dyDescent="0.25">
      <c r="A1552" s="32">
        <v>33070614910</v>
      </c>
      <c r="B1552" s="33" t="s">
        <v>2179</v>
      </c>
      <c r="C1552" s="33" t="s">
        <v>1662</v>
      </c>
      <c r="D1552" s="33" t="s">
        <v>2181</v>
      </c>
      <c r="E1552" s="33" t="s">
        <v>1730</v>
      </c>
      <c r="F1552" s="33" t="s">
        <v>656</v>
      </c>
      <c r="G1552" s="33" t="s">
        <v>2129</v>
      </c>
      <c r="H1552" s="33" t="s">
        <v>656</v>
      </c>
    </row>
    <row r="1553" spans="1:8" x14ac:dyDescent="0.25">
      <c r="A1553" s="32">
        <v>33070614911</v>
      </c>
      <c r="B1553" s="33" t="s">
        <v>2179</v>
      </c>
      <c r="C1553" s="33" t="s">
        <v>1657</v>
      </c>
      <c r="D1553" s="33" t="s">
        <v>2184</v>
      </c>
      <c r="E1553" s="33" t="s">
        <v>1730</v>
      </c>
      <c r="F1553" s="33" t="s">
        <v>1452</v>
      </c>
      <c r="G1553" s="33" t="s">
        <v>1732</v>
      </c>
      <c r="H1553" s="33" t="s">
        <v>1452</v>
      </c>
    </row>
    <row r="1554" spans="1:8" x14ac:dyDescent="0.25">
      <c r="A1554" s="32">
        <v>33070614912</v>
      </c>
      <c r="B1554" s="33" t="s">
        <v>2179</v>
      </c>
      <c r="C1554" s="33" t="s">
        <v>1657</v>
      </c>
      <c r="D1554" s="33" t="s">
        <v>2184</v>
      </c>
      <c r="E1554" s="33" t="s">
        <v>1730</v>
      </c>
      <c r="F1554" s="33" t="s">
        <v>657</v>
      </c>
      <c r="G1554" s="33" t="s">
        <v>2129</v>
      </c>
      <c r="H1554" s="33" t="s">
        <v>657</v>
      </c>
    </row>
    <row r="1555" spans="1:8" x14ac:dyDescent="0.25">
      <c r="A1555" s="32">
        <v>33070614913</v>
      </c>
      <c r="B1555" s="33" t="s">
        <v>2179</v>
      </c>
      <c r="C1555" s="33" t="s">
        <v>1650</v>
      </c>
      <c r="D1555" s="33" t="s">
        <v>2184</v>
      </c>
      <c r="E1555" s="33" t="s">
        <v>1681</v>
      </c>
      <c r="F1555" s="33" t="s">
        <v>658</v>
      </c>
      <c r="G1555" s="33" t="s">
        <v>2129</v>
      </c>
      <c r="H1555" s="33" t="s">
        <v>658</v>
      </c>
    </row>
    <row r="1556" spans="1:8" x14ac:dyDescent="0.25">
      <c r="A1556" s="32">
        <v>33070614922</v>
      </c>
      <c r="B1556" s="33" t="s">
        <v>2179</v>
      </c>
      <c r="C1556" s="33" t="s">
        <v>1656</v>
      </c>
      <c r="D1556" s="33" t="s">
        <v>1656</v>
      </c>
      <c r="E1556" s="33" t="s">
        <v>1730</v>
      </c>
      <c r="F1556" s="33" t="s">
        <v>659</v>
      </c>
      <c r="G1556" s="33" t="s">
        <v>1732</v>
      </c>
      <c r="H1556" s="33" t="s">
        <v>659</v>
      </c>
    </row>
    <row r="1557" spans="1:8" x14ac:dyDescent="0.25">
      <c r="A1557" s="32">
        <v>33070614923</v>
      </c>
      <c r="B1557" s="33" t="s">
        <v>2179</v>
      </c>
      <c r="C1557" s="33" t="s">
        <v>1661</v>
      </c>
      <c r="D1557" s="33" t="s">
        <v>2181</v>
      </c>
      <c r="E1557" s="33" t="s">
        <v>1730</v>
      </c>
      <c r="F1557" s="33" t="s">
        <v>660</v>
      </c>
      <c r="G1557" s="33" t="s">
        <v>2129</v>
      </c>
      <c r="H1557" s="33" t="s">
        <v>660</v>
      </c>
    </row>
    <row r="1558" spans="1:8" x14ac:dyDescent="0.25">
      <c r="A1558" s="32">
        <v>33070614924</v>
      </c>
      <c r="B1558" s="33" t="s">
        <v>2179</v>
      </c>
      <c r="C1558" s="33" t="s">
        <v>1661</v>
      </c>
      <c r="D1558" s="33" t="s">
        <v>2181</v>
      </c>
      <c r="E1558" s="33" t="s">
        <v>1730</v>
      </c>
      <c r="F1558" s="33" t="s">
        <v>661</v>
      </c>
      <c r="G1558" s="33" t="s">
        <v>2129</v>
      </c>
      <c r="H1558" s="33" t="s">
        <v>661</v>
      </c>
    </row>
    <row r="1559" spans="1:8" x14ac:dyDescent="0.25">
      <c r="A1559" s="32">
        <v>33070614925</v>
      </c>
      <c r="B1559" s="33" t="s">
        <v>2179</v>
      </c>
      <c r="C1559" s="33" t="s">
        <v>2872</v>
      </c>
      <c r="D1559" s="33" t="s">
        <v>2872</v>
      </c>
      <c r="E1559" s="33" t="s">
        <v>1730</v>
      </c>
      <c r="F1559" s="33" t="s">
        <v>662</v>
      </c>
      <c r="G1559" s="33" t="s">
        <v>2129</v>
      </c>
      <c r="H1559" s="33" t="s">
        <v>662</v>
      </c>
    </row>
    <row r="1560" spans="1:8" x14ac:dyDescent="0.25">
      <c r="A1560" s="32">
        <v>33070614926</v>
      </c>
      <c r="B1560" s="33" t="s">
        <v>2179</v>
      </c>
      <c r="C1560" s="33" t="s">
        <v>1661</v>
      </c>
      <c r="D1560" s="33" t="s">
        <v>2181</v>
      </c>
      <c r="E1560" s="33" t="s">
        <v>1730</v>
      </c>
      <c r="F1560" s="33" t="s">
        <v>663</v>
      </c>
      <c r="G1560" s="33" t="s">
        <v>2129</v>
      </c>
      <c r="H1560" s="33" t="s">
        <v>663</v>
      </c>
    </row>
    <row r="1561" spans="1:8" x14ac:dyDescent="0.25">
      <c r="A1561" s="32">
        <v>33070614927</v>
      </c>
      <c r="B1561" s="33" t="s">
        <v>2179</v>
      </c>
      <c r="C1561" s="33" t="s">
        <v>1661</v>
      </c>
      <c r="D1561" s="33" t="s">
        <v>2181</v>
      </c>
      <c r="E1561" s="33" t="s">
        <v>1730</v>
      </c>
      <c r="F1561" s="33" t="s">
        <v>664</v>
      </c>
      <c r="G1561" s="33" t="s">
        <v>2129</v>
      </c>
      <c r="H1561" s="33" t="s">
        <v>664</v>
      </c>
    </row>
    <row r="1562" spans="1:8" x14ac:dyDescent="0.25">
      <c r="A1562" s="32">
        <v>33070614998</v>
      </c>
      <c r="B1562" s="33" t="s">
        <v>2179</v>
      </c>
      <c r="C1562" s="33" t="s">
        <v>1650</v>
      </c>
      <c r="D1562" s="33" t="s">
        <v>2182</v>
      </c>
      <c r="E1562" s="33" t="s">
        <v>1681</v>
      </c>
      <c r="F1562" s="33" t="s">
        <v>1453</v>
      </c>
      <c r="G1562" s="33" t="s">
        <v>1732</v>
      </c>
      <c r="H1562" s="33" t="s">
        <v>1236</v>
      </c>
    </row>
    <row r="1563" spans="1:8" x14ac:dyDescent="0.25">
      <c r="A1563" s="32">
        <v>33070614999</v>
      </c>
      <c r="B1563" s="33" t="s">
        <v>2179</v>
      </c>
      <c r="C1563" s="33" t="s">
        <v>1650</v>
      </c>
      <c r="D1563" s="33" t="s">
        <v>2184</v>
      </c>
      <c r="E1563" s="33" t="s">
        <v>1681</v>
      </c>
      <c r="F1563" s="33" t="s">
        <v>665</v>
      </c>
      <c r="G1563" s="33" t="s">
        <v>2129</v>
      </c>
      <c r="H1563" s="33" t="s">
        <v>665</v>
      </c>
    </row>
    <row r="1564" spans="1:8" x14ac:dyDescent="0.25">
      <c r="A1564" s="32">
        <v>33070654000</v>
      </c>
      <c r="B1564" s="33" t="s">
        <v>2179</v>
      </c>
      <c r="C1564" s="33" t="s">
        <v>1662</v>
      </c>
      <c r="D1564" s="33" t="s">
        <v>2181</v>
      </c>
      <c r="E1564" s="33" t="s">
        <v>1730</v>
      </c>
      <c r="F1564" s="33" t="s">
        <v>1454</v>
      </c>
      <c r="G1564" s="33" t="s">
        <v>1732</v>
      </c>
      <c r="H1564" s="33" t="s">
        <v>1454</v>
      </c>
    </row>
    <row r="1565" spans="1:8" x14ac:dyDescent="0.25">
      <c r="A1565" s="32">
        <v>33070654001</v>
      </c>
      <c r="B1565" s="33" t="s">
        <v>2179</v>
      </c>
      <c r="C1565" s="33" t="s">
        <v>1659</v>
      </c>
      <c r="D1565" s="33" t="s">
        <v>2180</v>
      </c>
      <c r="E1565" s="33" t="s">
        <v>1730</v>
      </c>
      <c r="F1565" s="33" t="s">
        <v>666</v>
      </c>
      <c r="G1565" s="33" t="s">
        <v>2129</v>
      </c>
      <c r="H1565" s="33" t="s">
        <v>2188</v>
      </c>
    </row>
    <row r="1566" spans="1:8" x14ac:dyDescent="0.25">
      <c r="A1566" s="32">
        <v>33070654030</v>
      </c>
      <c r="B1566" s="33" t="s">
        <v>2179</v>
      </c>
      <c r="C1566" s="33" t="s">
        <v>1658</v>
      </c>
      <c r="D1566" s="33" t="s">
        <v>2181</v>
      </c>
      <c r="E1566" s="33" t="s">
        <v>1730</v>
      </c>
      <c r="F1566" s="33" t="s">
        <v>1257</v>
      </c>
      <c r="G1566" s="33" t="s">
        <v>1732</v>
      </c>
      <c r="H1566" s="33" t="s">
        <v>1257</v>
      </c>
    </row>
    <row r="1567" spans="1:8" x14ac:dyDescent="0.25">
      <c r="A1567" s="32">
        <v>33070654135</v>
      </c>
      <c r="B1567" s="33" t="s">
        <v>2179</v>
      </c>
      <c r="C1567" s="33" t="s">
        <v>1650</v>
      </c>
      <c r="D1567" s="33" t="s">
        <v>2183</v>
      </c>
      <c r="E1567" s="33" t="s">
        <v>1681</v>
      </c>
      <c r="F1567" s="33" t="s">
        <v>668</v>
      </c>
      <c r="G1567" s="33" t="s">
        <v>2129</v>
      </c>
      <c r="H1567" s="33" t="s">
        <v>668</v>
      </c>
    </row>
    <row r="1568" spans="1:8" x14ac:dyDescent="0.25">
      <c r="A1568" s="32">
        <v>33070654136</v>
      </c>
      <c r="B1568" s="33" t="s">
        <v>2179</v>
      </c>
      <c r="C1568" s="33" t="s">
        <v>1659</v>
      </c>
      <c r="D1568" s="33" t="s">
        <v>2180</v>
      </c>
      <c r="E1568" s="33" t="s">
        <v>1730</v>
      </c>
      <c r="F1568" s="33" t="s">
        <v>669</v>
      </c>
      <c r="G1568" s="33" t="s">
        <v>2129</v>
      </c>
      <c r="H1568" s="33" t="s">
        <v>669</v>
      </c>
    </row>
    <row r="1569" spans="1:8" x14ac:dyDescent="0.25">
      <c r="A1569" s="32">
        <v>33070660353</v>
      </c>
      <c r="B1569" s="33" t="s">
        <v>2179</v>
      </c>
      <c r="C1569" s="33" t="s">
        <v>1651</v>
      </c>
      <c r="D1569" s="33" t="s">
        <v>2183</v>
      </c>
      <c r="E1569" s="33" t="s">
        <v>1730</v>
      </c>
      <c r="F1569" s="33" t="s">
        <v>670</v>
      </c>
      <c r="G1569" s="33" t="s">
        <v>2129</v>
      </c>
      <c r="H1569" s="33" t="s">
        <v>670</v>
      </c>
    </row>
    <row r="1570" spans="1:8" x14ac:dyDescent="0.25">
      <c r="A1570" s="32">
        <v>33070660354</v>
      </c>
      <c r="B1570" s="33" t="s">
        <v>2179</v>
      </c>
      <c r="C1570" s="33" t="s">
        <v>1650</v>
      </c>
      <c r="D1570" s="33" t="s">
        <v>2183</v>
      </c>
      <c r="E1570" s="33" t="s">
        <v>1681</v>
      </c>
      <c r="F1570" s="33" t="s">
        <v>671</v>
      </c>
      <c r="G1570" s="33" t="s">
        <v>2129</v>
      </c>
      <c r="H1570" s="33" t="s">
        <v>671</v>
      </c>
    </row>
    <row r="1571" spans="1:8" x14ac:dyDescent="0.25">
      <c r="A1571" s="32">
        <v>33070660565</v>
      </c>
      <c r="B1571" s="33" t="s">
        <v>2179</v>
      </c>
      <c r="C1571" s="33" t="s">
        <v>1662</v>
      </c>
      <c r="D1571" s="33" t="s">
        <v>2181</v>
      </c>
      <c r="E1571" s="33" t="s">
        <v>1730</v>
      </c>
      <c r="F1571" s="33" t="s">
        <v>1455</v>
      </c>
      <c r="G1571" s="33" t="s">
        <v>1732</v>
      </c>
      <c r="H1571" s="33" t="s">
        <v>1455</v>
      </c>
    </row>
    <row r="1572" spans="1:8" x14ac:dyDescent="0.25">
      <c r="A1572" s="32">
        <v>33070660566</v>
      </c>
      <c r="B1572" s="33" t="s">
        <v>2179</v>
      </c>
      <c r="C1572" s="33" t="s">
        <v>1662</v>
      </c>
      <c r="D1572" s="33" t="s">
        <v>2181</v>
      </c>
      <c r="E1572" s="33" t="s">
        <v>1730</v>
      </c>
      <c r="F1572" s="33" t="s">
        <v>1456</v>
      </c>
      <c r="G1572" s="33" t="s">
        <v>1732</v>
      </c>
      <c r="H1572" s="33" t="s">
        <v>1456</v>
      </c>
    </row>
    <row r="1573" spans="1:8" x14ac:dyDescent="0.25">
      <c r="A1573" s="32">
        <v>33070660825</v>
      </c>
      <c r="B1573" s="33" t="s">
        <v>2179</v>
      </c>
      <c r="C1573" s="33" t="s">
        <v>1662</v>
      </c>
      <c r="D1573" s="33" t="s">
        <v>2181</v>
      </c>
      <c r="E1573" s="33" t="s">
        <v>1730</v>
      </c>
      <c r="F1573" s="33" t="s">
        <v>672</v>
      </c>
      <c r="G1573" s="33" t="s">
        <v>2129</v>
      </c>
      <c r="H1573" s="33" t="s">
        <v>672</v>
      </c>
    </row>
    <row r="1574" spans="1:8" x14ac:dyDescent="0.25">
      <c r="A1574" s="32">
        <v>33070660894</v>
      </c>
      <c r="B1574" s="33" t="s">
        <v>2179</v>
      </c>
      <c r="C1574" s="33" t="s">
        <v>1659</v>
      </c>
      <c r="D1574" s="33" t="s">
        <v>2180</v>
      </c>
      <c r="E1574" s="33" t="s">
        <v>1730</v>
      </c>
      <c r="F1574" s="33" t="s">
        <v>673</v>
      </c>
      <c r="G1574" s="33" t="s">
        <v>2129</v>
      </c>
      <c r="H1574" s="33" t="s">
        <v>673</v>
      </c>
    </row>
    <row r="1575" spans="1:8" x14ac:dyDescent="0.25">
      <c r="A1575" s="32">
        <v>33070661131</v>
      </c>
      <c r="B1575" s="33" t="s">
        <v>2179</v>
      </c>
      <c r="C1575" s="33" t="s">
        <v>1659</v>
      </c>
      <c r="D1575" s="33" t="s">
        <v>2180</v>
      </c>
      <c r="E1575" s="33" t="s">
        <v>1730</v>
      </c>
      <c r="F1575" s="33" t="s">
        <v>674</v>
      </c>
      <c r="G1575" s="33" t="s">
        <v>2129</v>
      </c>
      <c r="H1575" s="33" t="s">
        <v>2189</v>
      </c>
    </row>
    <row r="1576" spans="1:8" x14ac:dyDescent="0.25">
      <c r="A1576" s="32">
        <v>33070661132</v>
      </c>
      <c r="B1576" s="33" t="s">
        <v>2179</v>
      </c>
      <c r="C1576" s="33" t="s">
        <v>2872</v>
      </c>
      <c r="D1576" s="33" t="s">
        <v>2872</v>
      </c>
      <c r="E1576" s="33" t="s">
        <v>1730</v>
      </c>
      <c r="F1576" s="33" t="s">
        <v>675</v>
      </c>
      <c r="G1576" s="33" t="s">
        <v>2129</v>
      </c>
      <c r="H1576" s="33" t="s">
        <v>675</v>
      </c>
    </row>
    <row r="1577" spans="1:8" x14ac:dyDescent="0.25">
      <c r="A1577" s="32">
        <v>33070661133</v>
      </c>
      <c r="B1577" s="33" t="s">
        <v>2179</v>
      </c>
      <c r="C1577" s="33" t="s">
        <v>2872</v>
      </c>
      <c r="D1577" s="33" t="s">
        <v>2872</v>
      </c>
      <c r="E1577" s="33" t="s">
        <v>1730</v>
      </c>
      <c r="F1577" s="33" t="s">
        <v>676</v>
      </c>
      <c r="G1577" s="33" t="s">
        <v>2129</v>
      </c>
      <c r="H1577" s="33" t="s">
        <v>676</v>
      </c>
    </row>
    <row r="1578" spans="1:8" x14ac:dyDescent="0.25">
      <c r="A1578" s="32">
        <v>33070661635</v>
      </c>
      <c r="B1578" s="33" t="s">
        <v>2179</v>
      </c>
      <c r="C1578" s="33" t="s">
        <v>1659</v>
      </c>
      <c r="D1578" s="33" t="s">
        <v>2180</v>
      </c>
      <c r="E1578" s="33" t="s">
        <v>1730</v>
      </c>
      <c r="F1578" s="33" t="s">
        <v>677</v>
      </c>
      <c r="G1578" s="33" t="s">
        <v>2129</v>
      </c>
      <c r="H1578" s="33" t="s">
        <v>677</v>
      </c>
    </row>
    <row r="1579" spans="1:8" x14ac:dyDescent="0.25">
      <c r="A1579" s="32">
        <v>33070661636</v>
      </c>
      <c r="B1579" s="33" t="s">
        <v>2179</v>
      </c>
      <c r="C1579" s="33" t="s">
        <v>1650</v>
      </c>
      <c r="D1579" s="33" t="s">
        <v>2180</v>
      </c>
      <c r="E1579" s="33" t="s">
        <v>1681</v>
      </c>
      <c r="F1579" s="33" t="s">
        <v>678</v>
      </c>
      <c r="G1579" s="33" t="s">
        <v>2129</v>
      </c>
      <c r="H1579" s="33" t="s">
        <v>678</v>
      </c>
    </row>
    <row r="1580" spans="1:8" x14ac:dyDescent="0.25">
      <c r="A1580" s="32">
        <v>33070661990</v>
      </c>
      <c r="B1580" s="33" t="s">
        <v>2179</v>
      </c>
      <c r="C1580" s="33" t="s">
        <v>1652</v>
      </c>
      <c r="D1580" s="33" t="s">
        <v>2182</v>
      </c>
      <c r="E1580" s="33" t="s">
        <v>1730</v>
      </c>
      <c r="F1580" s="33" t="s">
        <v>679</v>
      </c>
      <c r="G1580" s="33" t="s">
        <v>1732</v>
      </c>
      <c r="H1580" s="33" t="s">
        <v>679</v>
      </c>
    </row>
    <row r="1581" spans="1:8" x14ac:dyDescent="0.25">
      <c r="A1581" s="32">
        <v>33070661991</v>
      </c>
      <c r="B1581" s="33" t="s">
        <v>2179</v>
      </c>
      <c r="C1581" s="33" t="s">
        <v>1651</v>
      </c>
      <c r="D1581" s="33" t="s">
        <v>2183</v>
      </c>
      <c r="E1581" s="33" t="s">
        <v>1730</v>
      </c>
      <c r="F1581" s="33" t="s">
        <v>1457</v>
      </c>
      <c r="G1581" s="33" t="s">
        <v>1732</v>
      </c>
      <c r="H1581" s="33" t="s">
        <v>1457</v>
      </c>
    </row>
    <row r="1582" spans="1:8" x14ac:dyDescent="0.25">
      <c r="A1582" s="32">
        <v>33070661992</v>
      </c>
      <c r="B1582" s="33" t="s">
        <v>2179</v>
      </c>
      <c r="C1582" s="33" t="s">
        <v>1651</v>
      </c>
      <c r="D1582" s="33" t="s">
        <v>2183</v>
      </c>
      <c r="E1582" s="33" t="s">
        <v>1730</v>
      </c>
      <c r="F1582" s="33" t="s">
        <v>680</v>
      </c>
      <c r="G1582" s="33" t="s">
        <v>2129</v>
      </c>
      <c r="H1582" s="33" t="s">
        <v>680</v>
      </c>
    </row>
    <row r="1583" spans="1:8" x14ac:dyDescent="0.25">
      <c r="A1583" s="32">
        <v>33070662972</v>
      </c>
      <c r="B1583" s="33" t="s">
        <v>2179</v>
      </c>
      <c r="C1583" s="33" t="s">
        <v>1650</v>
      </c>
      <c r="D1583" s="33" t="s">
        <v>2183</v>
      </c>
      <c r="E1583" s="33" t="s">
        <v>1681</v>
      </c>
      <c r="F1583" s="33" t="s">
        <v>681</v>
      </c>
      <c r="G1583" s="33" t="s">
        <v>2129</v>
      </c>
      <c r="H1583" s="33" t="s">
        <v>681</v>
      </c>
    </row>
    <row r="1584" spans="1:8" x14ac:dyDescent="0.25">
      <c r="A1584" s="32">
        <v>33070663175</v>
      </c>
      <c r="B1584" s="33" t="s">
        <v>2179</v>
      </c>
      <c r="C1584" s="33" t="s">
        <v>1657</v>
      </c>
      <c r="D1584" s="33" t="s">
        <v>2184</v>
      </c>
      <c r="E1584" s="33" t="s">
        <v>1730</v>
      </c>
      <c r="F1584" s="33" t="s">
        <v>682</v>
      </c>
      <c r="G1584" s="33" t="s">
        <v>2129</v>
      </c>
      <c r="H1584" s="33" t="s">
        <v>682</v>
      </c>
    </row>
    <row r="1585" spans="1:8" x14ac:dyDescent="0.25">
      <c r="A1585" s="32">
        <v>33070663176</v>
      </c>
      <c r="B1585" s="33" t="s">
        <v>2179</v>
      </c>
      <c r="C1585" s="33" t="s">
        <v>1657</v>
      </c>
      <c r="D1585" s="33" t="s">
        <v>2184</v>
      </c>
      <c r="E1585" s="33" t="s">
        <v>1730</v>
      </c>
      <c r="F1585" s="33" t="s">
        <v>683</v>
      </c>
      <c r="G1585" s="33" t="s">
        <v>2129</v>
      </c>
      <c r="H1585" s="33" t="s">
        <v>683</v>
      </c>
    </row>
    <row r="1586" spans="1:8" x14ac:dyDescent="0.25">
      <c r="A1586" s="32">
        <v>33070663218</v>
      </c>
      <c r="B1586" s="33" t="s">
        <v>2179</v>
      </c>
      <c r="C1586" s="33" t="s">
        <v>1651</v>
      </c>
      <c r="D1586" s="33" t="s">
        <v>2183</v>
      </c>
      <c r="E1586" s="33" t="s">
        <v>1730</v>
      </c>
      <c r="F1586" s="33" t="s">
        <v>684</v>
      </c>
      <c r="G1586" s="33" t="s">
        <v>2129</v>
      </c>
      <c r="H1586" s="33" t="s">
        <v>684</v>
      </c>
    </row>
    <row r="1587" spans="1:8" x14ac:dyDescent="0.25">
      <c r="A1587" s="32">
        <v>33070663219</v>
      </c>
      <c r="B1587" s="33" t="s">
        <v>2179</v>
      </c>
      <c r="C1587" s="33" t="s">
        <v>1650</v>
      </c>
      <c r="D1587" s="33" t="s">
        <v>2183</v>
      </c>
      <c r="E1587" s="33" t="s">
        <v>1681</v>
      </c>
      <c r="F1587" s="33" t="s">
        <v>685</v>
      </c>
      <c r="G1587" s="33" t="s">
        <v>2129</v>
      </c>
      <c r="H1587" s="33" t="s">
        <v>685</v>
      </c>
    </row>
    <row r="1588" spans="1:8" x14ac:dyDescent="0.25">
      <c r="A1588" s="32">
        <v>33070663584</v>
      </c>
      <c r="B1588" s="33" t="s">
        <v>2179</v>
      </c>
      <c r="C1588" s="33" t="s">
        <v>1650</v>
      </c>
      <c r="D1588" s="33" t="s">
        <v>2182</v>
      </c>
      <c r="E1588" s="33" t="s">
        <v>1681</v>
      </c>
      <c r="F1588" s="33" t="s">
        <v>686</v>
      </c>
      <c r="G1588" s="33" t="s">
        <v>2129</v>
      </c>
      <c r="H1588" s="33" t="s">
        <v>686</v>
      </c>
    </row>
    <row r="1589" spans="1:8" x14ac:dyDescent="0.25">
      <c r="A1589" s="32">
        <v>33070663585</v>
      </c>
      <c r="B1589" s="33" t="s">
        <v>2179</v>
      </c>
      <c r="C1589" s="33" t="s">
        <v>1652</v>
      </c>
      <c r="D1589" s="33" t="s">
        <v>2182</v>
      </c>
      <c r="E1589" s="33" t="s">
        <v>1730</v>
      </c>
      <c r="F1589" s="33" t="s">
        <v>687</v>
      </c>
      <c r="G1589" s="33" t="s">
        <v>2129</v>
      </c>
      <c r="H1589" s="33" t="s">
        <v>687</v>
      </c>
    </row>
    <row r="1590" spans="1:8" x14ac:dyDescent="0.25">
      <c r="A1590" s="32">
        <v>33070663687</v>
      </c>
      <c r="B1590" s="33" t="s">
        <v>2179</v>
      </c>
      <c r="C1590" s="33" t="s">
        <v>1652</v>
      </c>
      <c r="D1590" s="33" t="s">
        <v>2182</v>
      </c>
      <c r="E1590" s="33" t="s">
        <v>1730</v>
      </c>
      <c r="F1590" s="33" t="s">
        <v>1119</v>
      </c>
      <c r="G1590" s="33" t="s">
        <v>2185</v>
      </c>
      <c r="H1590" s="33" t="s">
        <v>2187</v>
      </c>
    </row>
    <row r="1591" spans="1:8" x14ac:dyDescent="0.25">
      <c r="A1591" s="32">
        <v>33070663714</v>
      </c>
      <c r="B1591" s="33" t="s">
        <v>2179</v>
      </c>
      <c r="C1591" s="33" t="s">
        <v>1652</v>
      </c>
      <c r="D1591" s="33" t="s">
        <v>2182</v>
      </c>
      <c r="E1591" s="33" t="s">
        <v>1730</v>
      </c>
      <c r="F1591" s="33" t="s">
        <v>1234</v>
      </c>
      <c r="G1591" s="33" t="s">
        <v>2185</v>
      </c>
      <c r="H1591" s="33" t="s">
        <v>613</v>
      </c>
    </row>
    <row r="1592" spans="1:8" x14ac:dyDescent="0.25">
      <c r="A1592" s="32">
        <v>33070663719</v>
      </c>
      <c r="B1592" s="33" t="s">
        <v>2179</v>
      </c>
      <c r="C1592" s="33" t="s">
        <v>1650</v>
      </c>
      <c r="D1592" s="33" t="s">
        <v>2182</v>
      </c>
      <c r="E1592" s="33" t="s">
        <v>1681</v>
      </c>
      <c r="F1592" s="33" t="s">
        <v>1215</v>
      </c>
      <c r="G1592" s="33" t="s">
        <v>2129</v>
      </c>
      <c r="H1592" s="33" t="s">
        <v>1215</v>
      </c>
    </row>
    <row r="1593" spans="1:8" x14ac:dyDescent="0.25">
      <c r="A1593" s="32">
        <v>33070663720</v>
      </c>
      <c r="B1593" s="33" t="s">
        <v>2179</v>
      </c>
      <c r="C1593" s="33" t="s">
        <v>1650</v>
      </c>
      <c r="D1593" s="33" t="s">
        <v>2183</v>
      </c>
      <c r="E1593" s="33" t="s">
        <v>1681</v>
      </c>
      <c r="F1593" s="33" t="s">
        <v>979</v>
      </c>
      <c r="G1593" s="33" t="s">
        <v>2129</v>
      </c>
      <c r="H1593" s="33" t="s">
        <v>979</v>
      </c>
    </row>
    <row r="1594" spans="1:8" x14ac:dyDescent="0.25">
      <c r="A1594" s="32">
        <v>33070663721</v>
      </c>
      <c r="B1594" s="33" t="s">
        <v>2179</v>
      </c>
      <c r="C1594" s="33" t="s">
        <v>1650</v>
      </c>
      <c r="D1594" s="33" t="s">
        <v>2184</v>
      </c>
      <c r="E1594" s="33" t="s">
        <v>1681</v>
      </c>
      <c r="F1594" s="33" t="s">
        <v>1208</v>
      </c>
      <c r="G1594" s="33" t="s">
        <v>2129</v>
      </c>
      <c r="H1594" s="33" t="s">
        <v>1208</v>
      </c>
    </row>
    <row r="1595" spans="1:8" x14ac:dyDescent="0.25">
      <c r="A1595" s="32">
        <v>33070663722</v>
      </c>
      <c r="B1595" s="33" t="s">
        <v>2179</v>
      </c>
      <c r="C1595" s="33" t="s">
        <v>1650</v>
      </c>
      <c r="D1595" s="33" t="s">
        <v>2184</v>
      </c>
      <c r="E1595" s="33" t="s">
        <v>1681</v>
      </c>
      <c r="F1595" s="33" t="s">
        <v>1181</v>
      </c>
      <c r="G1595" s="33" t="s">
        <v>2129</v>
      </c>
      <c r="H1595" s="33" t="s">
        <v>1181</v>
      </c>
    </row>
    <row r="1596" spans="1:8" x14ac:dyDescent="0.25">
      <c r="A1596" s="32">
        <v>33070663723</v>
      </c>
      <c r="B1596" s="33" t="s">
        <v>2179</v>
      </c>
      <c r="C1596" s="33" t="s">
        <v>1650</v>
      </c>
      <c r="D1596" s="33" t="s">
        <v>2184</v>
      </c>
      <c r="E1596" s="33" t="s">
        <v>1681</v>
      </c>
      <c r="F1596" s="33" t="s">
        <v>874</v>
      </c>
      <c r="G1596" s="33" t="s">
        <v>2129</v>
      </c>
      <c r="H1596" s="33" t="s">
        <v>874</v>
      </c>
    </row>
    <row r="1597" spans="1:8" x14ac:dyDescent="0.25">
      <c r="A1597" s="32">
        <v>33070663724</v>
      </c>
      <c r="B1597" s="33" t="s">
        <v>2179</v>
      </c>
      <c r="C1597" s="33" t="s">
        <v>1650</v>
      </c>
      <c r="D1597" s="33" t="s">
        <v>2184</v>
      </c>
      <c r="E1597" s="33" t="s">
        <v>1681</v>
      </c>
      <c r="F1597" s="33" t="s">
        <v>872</v>
      </c>
      <c r="G1597" s="33" t="s">
        <v>2129</v>
      </c>
      <c r="H1597" s="33" t="s">
        <v>872</v>
      </c>
    </row>
    <row r="1598" spans="1:8" x14ac:dyDescent="0.25">
      <c r="A1598" s="32">
        <v>33070663725</v>
      </c>
      <c r="B1598" s="33" t="s">
        <v>2179</v>
      </c>
      <c r="C1598" s="33" t="s">
        <v>1650</v>
      </c>
      <c r="D1598" s="33" t="s">
        <v>2184</v>
      </c>
      <c r="E1598" s="33" t="s">
        <v>1681</v>
      </c>
      <c r="F1598" s="33" t="s">
        <v>696</v>
      </c>
      <c r="G1598" s="33" t="s">
        <v>2129</v>
      </c>
      <c r="H1598" s="33" t="s">
        <v>696</v>
      </c>
    </row>
    <row r="1599" spans="1:8" x14ac:dyDescent="0.25">
      <c r="A1599" s="32">
        <v>33070663726</v>
      </c>
      <c r="B1599" s="33" t="s">
        <v>2179</v>
      </c>
      <c r="C1599" s="33" t="s">
        <v>1650</v>
      </c>
      <c r="D1599" s="33" t="s">
        <v>2184</v>
      </c>
      <c r="E1599" s="33" t="s">
        <v>1681</v>
      </c>
      <c r="F1599" s="33" t="s">
        <v>1006</v>
      </c>
      <c r="G1599" s="33" t="s">
        <v>2129</v>
      </c>
      <c r="H1599" s="33" t="s">
        <v>1006</v>
      </c>
    </row>
    <row r="1600" spans="1:8" x14ac:dyDescent="0.25">
      <c r="A1600" s="32">
        <v>33070663727</v>
      </c>
      <c r="B1600" s="33" t="s">
        <v>2179</v>
      </c>
      <c r="C1600" s="33" t="s">
        <v>1650</v>
      </c>
      <c r="D1600" s="33" t="s">
        <v>2182</v>
      </c>
      <c r="E1600" s="33" t="s">
        <v>1681</v>
      </c>
      <c r="F1600" s="33" t="s">
        <v>1245</v>
      </c>
      <c r="G1600" s="33" t="s">
        <v>2129</v>
      </c>
      <c r="H1600" s="33" t="s">
        <v>1245</v>
      </c>
    </row>
    <row r="1601" spans="1:8" x14ac:dyDescent="0.25">
      <c r="A1601" s="32">
        <v>33070663728</v>
      </c>
      <c r="B1601" s="33" t="s">
        <v>2179</v>
      </c>
      <c r="C1601" s="33" t="s">
        <v>1650</v>
      </c>
      <c r="D1601" s="33" t="s">
        <v>2182</v>
      </c>
      <c r="E1601" s="33" t="s">
        <v>1681</v>
      </c>
      <c r="F1601" s="33" t="s">
        <v>1236</v>
      </c>
      <c r="G1601" s="33" t="s">
        <v>2129</v>
      </c>
      <c r="H1601" s="33" t="s">
        <v>1236</v>
      </c>
    </row>
    <row r="1602" spans="1:8" x14ac:dyDescent="0.25">
      <c r="A1602" s="32">
        <v>33070663729</v>
      </c>
      <c r="B1602" s="33" t="s">
        <v>2179</v>
      </c>
      <c r="C1602" s="33" t="s">
        <v>1650</v>
      </c>
      <c r="D1602" s="33" t="s">
        <v>2180</v>
      </c>
      <c r="E1602" s="33" t="s">
        <v>1681</v>
      </c>
      <c r="F1602" s="33" t="s">
        <v>1240</v>
      </c>
      <c r="G1602" s="33" t="s">
        <v>2129</v>
      </c>
      <c r="H1602" s="33" t="s">
        <v>1240</v>
      </c>
    </row>
    <row r="1603" spans="1:8" x14ac:dyDescent="0.25">
      <c r="A1603" s="32">
        <v>33070663730</v>
      </c>
      <c r="B1603" s="33" t="s">
        <v>2179</v>
      </c>
      <c r="C1603" s="33" t="s">
        <v>1659</v>
      </c>
      <c r="D1603" s="33" t="s">
        <v>2180</v>
      </c>
      <c r="E1603" s="33" t="s">
        <v>1730</v>
      </c>
      <c r="F1603" s="33" t="s">
        <v>701</v>
      </c>
      <c r="G1603" s="33" t="s">
        <v>2129</v>
      </c>
      <c r="H1603" s="33" t="s">
        <v>701</v>
      </c>
    </row>
    <row r="1604" spans="1:8" x14ac:dyDescent="0.25">
      <c r="A1604" s="32">
        <v>33070663731</v>
      </c>
      <c r="B1604" s="33" t="s">
        <v>2179</v>
      </c>
      <c r="C1604" s="33" t="s">
        <v>1659</v>
      </c>
      <c r="D1604" s="33" t="s">
        <v>2180</v>
      </c>
      <c r="E1604" s="33" t="s">
        <v>1730</v>
      </c>
      <c r="F1604" s="33" t="s">
        <v>1214</v>
      </c>
      <c r="G1604" s="33" t="s">
        <v>2129</v>
      </c>
      <c r="H1604" s="33" t="s">
        <v>1214</v>
      </c>
    </row>
    <row r="1605" spans="1:8" x14ac:dyDescent="0.25">
      <c r="A1605" s="32">
        <v>33070663732</v>
      </c>
      <c r="B1605" s="33" t="s">
        <v>2179</v>
      </c>
      <c r="C1605" s="33" t="s">
        <v>1651</v>
      </c>
      <c r="D1605" s="33" t="s">
        <v>2183</v>
      </c>
      <c r="E1605" s="33" t="s">
        <v>1730</v>
      </c>
      <c r="F1605" s="33" t="s">
        <v>703</v>
      </c>
      <c r="G1605" s="33" t="s">
        <v>2129</v>
      </c>
      <c r="H1605" s="33" t="s">
        <v>703</v>
      </c>
    </row>
    <row r="1606" spans="1:8" x14ac:dyDescent="0.25">
      <c r="A1606" s="32">
        <v>33070663733</v>
      </c>
      <c r="B1606" s="33" t="s">
        <v>2179</v>
      </c>
      <c r="C1606" s="33" t="s">
        <v>1657</v>
      </c>
      <c r="D1606" s="33" t="s">
        <v>2184</v>
      </c>
      <c r="E1606" s="33" t="s">
        <v>1730</v>
      </c>
      <c r="F1606" s="33" t="s">
        <v>1161</v>
      </c>
      <c r="G1606" s="33" t="s">
        <v>2129</v>
      </c>
      <c r="H1606" s="33" t="s">
        <v>1161</v>
      </c>
    </row>
    <row r="1607" spans="1:8" x14ac:dyDescent="0.25">
      <c r="A1607" s="32">
        <v>33070663734</v>
      </c>
      <c r="B1607" s="33" t="s">
        <v>2179</v>
      </c>
      <c r="C1607" s="33" t="s">
        <v>1657</v>
      </c>
      <c r="D1607" s="33" t="s">
        <v>2184</v>
      </c>
      <c r="E1607" s="33" t="s">
        <v>1730</v>
      </c>
      <c r="F1607" s="33" t="s">
        <v>1205</v>
      </c>
      <c r="G1607" s="33" t="s">
        <v>2129</v>
      </c>
      <c r="H1607" s="33" t="s">
        <v>1205</v>
      </c>
    </row>
    <row r="1608" spans="1:8" x14ac:dyDescent="0.25">
      <c r="A1608" s="32">
        <v>33070664013</v>
      </c>
      <c r="B1608" s="33" t="s">
        <v>2179</v>
      </c>
      <c r="C1608" s="33" t="s">
        <v>1659</v>
      </c>
      <c r="D1608" s="33" t="s">
        <v>2180</v>
      </c>
      <c r="E1608" s="33" t="s">
        <v>1730</v>
      </c>
      <c r="F1608" s="33" t="s">
        <v>706</v>
      </c>
      <c r="G1608" s="33" t="s">
        <v>2129</v>
      </c>
      <c r="H1608" s="33" t="s">
        <v>706</v>
      </c>
    </row>
    <row r="1609" spans="1:8" x14ac:dyDescent="0.25">
      <c r="A1609" s="32">
        <v>33070664014</v>
      </c>
      <c r="B1609" s="33" t="s">
        <v>2179</v>
      </c>
      <c r="C1609" s="33" t="s">
        <v>1658</v>
      </c>
      <c r="D1609" s="33" t="s">
        <v>2181</v>
      </c>
      <c r="E1609" s="33" t="s">
        <v>1730</v>
      </c>
      <c r="F1609" s="33" t="s">
        <v>1206</v>
      </c>
      <c r="G1609" s="33" t="s">
        <v>1732</v>
      </c>
      <c r="H1609" s="33" t="s">
        <v>1206</v>
      </c>
    </row>
    <row r="1610" spans="1:8" x14ac:dyDescent="0.25">
      <c r="A1610" s="32">
        <v>33070664016</v>
      </c>
      <c r="B1610" s="33" t="s">
        <v>2179</v>
      </c>
      <c r="C1610" s="33" t="s">
        <v>1654</v>
      </c>
      <c r="D1610" s="33" t="s">
        <v>1654</v>
      </c>
      <c r="E1610" s="33" t="s">
        <v>1730</v>
      </c>
      <c r="F1610" s="33" t="s">
        <v>708</v>
      </c>
      <c r="G1610" s="33" t="s">
        <v>2129</v>
      </c>
      <c r="H1610" s="33" t="s">
        <v>708</v>
      </c>
    </row>
    <row r="1611" spans="1:8" x14ac:dyDescent="0.25">
      <c r="A1611" s="32">
        <v>33070664309</v>
      </c>
      <c r="B1611" s="33" t="s">
        <v>2179</v>
      </c>
      <c r="C1611" s="33" t="s">
        <v>1651</v>
      </c>
      <c r="D1611" s="33" t="s">
        <v>2183</v>
      </c>
      <c r="E1611" s="33" t="s">
        <v>1730</v>
      </c>
      <c r="F1611" s="33" t="s">
        <v>709</v>
      </c>
      <c r="G1611" s="33" t="s">
        <v>2129</v>
      </c>
      <c r="H1611" s="33" t="s">
        <v>709</v>
      </c>
    </row>
    <row r="1612" spans="1:8" x14ac:dyDescent="0.25">
      <c r="A1612" s="32">
        <v>33070664310</v>
      </c>
      <c r="B1612" s="33" t="s">
        <v>2179</v>
      </c>
      <c r="C1612" s="33" t="s">
        <v>1651</v>
      </c>
      <c r="D1612" s="33" t="s">
        <v>2183</v>
      </c>
      <c r="E1612" s="33" t="s">
        <v>1730</v>
      </c>
      <c r="F1612" s="33" t="s">
        <v>710</v>
      </c>
      <c r="G1612" s="33" t="s">
        <v>2129</v>
      </c>
      <c r="H1612" s="33" t="s">
        <v>710</v>
      </c>
    </row>
    <row r="1613" spans="1:8" x14ac:dyDescent="0.25">
      <c r="A1613" s="32">
        <v>33070664311</v>
      </c>
      <c r="B1613" s="33" t="s">
        <v>2179</v>
      </c>
      <c r="C1613" s="33" t="s">
        <v>1657</v>
      </c>
      <c r="D1613" s="33" t="s">
        <v>2184</v>
      </c>
      <c r="E1613" s="33" t="s">
        <v>1730</v>
      </c>
      <c r="F1613" s="33" t="s">
        <v>1001</v>
      </c>
      <c r="G1613" s="33" t="s">
        <v>2129</v>
      </c>
      <c r="H1613" s="33" t="s">
        <v>1001</v>
      </c>
    </row>
    <row r="1614" spans="1:8" x14ac:dyDescent="0.25">
      <c r="A1614" s="32">
        <v>33070664312</v>
      </c>
      <c r="B1614" s="33" t="s">
        <v>2179</v>
      </c>
      <c r="C1614" s="33" t="s">
        <v>1654</v>
      </c>
      <c r="D1614" s="33" t="s">
        <v>1654</v>
      </c>
      <c r="E1614" s="33" t="s">
        <v>1730</v>
      </c>
      <c r="F1614" s="33" t="s">
        <v>1146</v>
      </c>
      <c r="G1614" s="33" t="s">
        <v>2129</v>
      </c>
      <c r="H1614" s="33" t="s">
        <v>1146</v>
      </c>
    </row>
    <row r="1615" spans="1:8" x14ac:dyDescent="0.25">
      <c r="A1615" s="32">
        <v>33070664313</v>
      </c>
      <c r="B1615" s="33" t="s">
        <v>2179</v>
      </c>
      <c r="C1615" s="33" t="s">
        <v>1652</v>
      </c>
      <c r="D1615" s="33" t="s">
        <v>2182</v>
      </c>
      <c r="E1615" s="33" t="s">
        <v>1730</v>
      </c>
      <c r="F1615" s="33" t="s">
        <v>713</v>
      </c>
      <c r="G1615" s="33" t="s">
        <v>2129</v>
      </c>
      <c r="H1615" s="33" t="s">
        <v>713</v>
      </c>
    </row>
    <row r="1616" spans="1:8" x14ac:dyDescent="0.25">
      <c r="A1616" s="32">
        <v>33070664314</v>
      </c>
      <c r="B1616" s="33" t="s">
        <v>2179</v>
      </c>
      <c r="C1616" s="33" t="s">
        <v>1657</v>
      </c>
      <c r="D1616" s="33" t="s">
        <v>2184</v>
      </c>
      <c r="E1616" s="33" t="s">
        <v>1730</v>
      </c>
      <c r="F1616" s="33" t="s">
        <v>1168</v>
      </c>
      <c r="G1616" s="33" t="s">
        <v>2129</v>
      </c>
      <c r="H1616" s="33" t="s">
        <v>1168</v>
      </c>
    </row>
    <row r="1617" spans="1:8" x14ac:dyDescent="0.25">
      <c r="A1617" s="32">
        <v>33070664315</v>
      </c>
      <c r="B1617" s="33" t="s">
        <v>2179</v>
      </c>
      <c r="C1617" s="33" t="s">
        <v>1650</v>
      </c>
      <c r="D1617" s="33" t="s">
        <v>2182</v>
      </c>
      <c r="E1617" s="33" t="s">
        <v>1730</v>
      </c>
      <c r="F1617" s="33" t="s">
        <v>926</v>
      </c>
      <c r="G1617" s="33" t="s">
        <v>2129</v>
      </c>
      <c r="H1617" s="33" t="s">
        <v>926</v>
      </c>
    </row>
    <row r="1618" spans="1:8" x14ac:dyDescent="0.25">
      <c r="A1618" s="32">
        <v>33070664316</v>
      </c>
      <c r="B1618" s="33" t="s">
        <v>2179</v>
      </c>
      <c r="C1618" s="33" t="s">
        <v>1650</v>
      </c>
      <c r="D1618" s="33" t="s">
        <v>2184</v>
      </c>
      <c r="E1618" s="33" t="s">
        <v>1730</v>
      </c>
      <c r="F1618" s="33" t="s">
        <v>931</v>
      </c>
      <c r="G1618" s="33" t="s">
        <v>2129</v>
      </c>
      <c r="H1618" s="33" t="s">
        <v>931</v>
      </c>
    </row>
    <row r="1619" spans="1:8" x14ac:dyDescent="0.25">
      <c r="A1619" s="32">
        <v>33070664517</v>
      </c>
      <c r="B1619" s="33" t="s">
        <v>2179</v>
      </c>
      <c r="C1619" s="33" t="s">
        <v>1652</v>
      </c>
      <c r="D1619" s="33" t="s">
        <v>2182</v>
      </c>
      <c r="E1619" s="33" t="s">
        <v>1730</v>
      </c>
      <c r="F1619" s="33" t="s">
        <v>1077</v>
      </c>
      <c r="G1619" s="33" t="s">
        <v>2129</v>
      </c>
      <c r="H1619" s="33" t="s">
        <v>1077</v>
      </c>
    </row>
    <row r="1620" spans="1:8" x14ac:dyDescent="0.25">
      <c r="A1620" s="32">
        <v>33070664518</v>
      </c>
      <c r="B1620" s="33" t="s">
        <v>2179</v>
      </c>
      <c r="C1620" s="33" t="s">
        <v>1652</v>
      </c>
      <c r="D1620" s="33" t="s">
        <v>2182</v>
      </c>
      <c r="E1620" s="33" t="s">
        <v>1730</v>
      </c>
      <c r="F1620" s="33" t="s">
        <v>1121</v>
      </c>
      <c r="G1620" s="33" t="s">
        <v>2129</v>
      </c>
      <c r="H1620" s="33" t="s">
        <v>1121</v>
      </c>
    </row>
    <row r="1621" spans="1:8" x14ac:dyDescent="0.25">
      <c r="A1621" s="32">
        <v>33070664519</v>
      </c>
      <c r="B1621" s="33" t="s">
        <v>2179</v>
      </c>
      <c r="C1621" s="33" t="s">
        <v>1659</v>
      </c>
      <c r="D1621" s="33" t="s">
        <v>2180</v>
      </c>
      <c r="E1621" s="33" t="s">
        <v>1730</v>
      </c>
      <c r="F1621" s="33" t="s">
        <v>717</v>
      </c>
      <c r="G1621" s="33" t="s">
        <v>2129</v>
      </c>
      <c r="H1621" s="33" t="s">
        <v>717</v>
      </c>
    </row>
    <row r="1622" spans="1:8" x14ac:dyDescent="0.25">
      <c r="A1622" s="32">
        <v>33070664795</v>
      </c>
      <c r="B1622" s="33" t="s">
        <v>2179</v>
      </c>
      <c r="C1622" s="33" t="s">
        <v>1659</v>
      </c>
      <c r="D1622" s="33" t="s">
        <v>2180</v>
      </c>
      <c r="E1622" s="33" t="s">
        <v>1730</v>
      </c>
      <c r="F1622" s="33" t="s">
        <v>1152</v>
      </c>
      <c r="G1622" s="33" t="s">
        <v>2185</v>
      </c>
      <c r="H1622" s="33" t="s">
        <v>677</v>
      </c>
    </row>
    <row r="1623" spans="1:8" x14ac:dyDescent="0.25">
      <c r="A1623" s="32">
        <v>33070664796</v>
      </c>
      <c r="B1623" s="33" t="s">
        <v>2179</v>
      </c>
      <c r="C1623" s="33" t="s">
        <v>1652</v>
      </c>
      <c r="D1623" s="33" t="s">
        <v>2182</v>
      </c>
      <c r="E1623" s="33" t="s">
        <v>1730</v>
      </c>
      <c r="F1623" s="33" t="s">
        <v>1151</v>
      </c>
      <c r="G1623" s="33" t="s">
        <v>2185</v>
      </c>
      <c r="H1623" s="33" t="s">
        <v>612</v>
      </c>
    </row>
    <row r="1624" spans="1:8" x14ac:dyDescent="0.25">
      <c r="A1624" s="32">
        <v>33070664797</v>
      </c>
      <c r="B1624" s="33" t="s">
        <v>2179</v>
      </c>
      <c r="C1624" s="33" t="s">
        <v>1652</v>
      </c>
      <c r="D1624" s="33" t="s">
        <v>2182</v>
      </c>
      <c r="E1624" s="33" t="s">
        <v>1730</v>
      </c>
      <c r="F1624" s="33" t="s">
        <v>720</v>
      </c>
      <c r="G1624" s="33" t="s">
        <v>2185</v>
      </c>
      <c r="H1624" s="33" t="s">
        <v>613</v>
      </c>
    </row>
    <row r="1625" spans="1:8" x14ac:dyDescent="0.25">
      <c r="A1625" s="32">
        <v>33070665095</v>
      </c>
      <c r="B1625" s="33" t="s">
        <v>2179</v>
      </c>
      <c r="C1625" s="33" t="s">
        <v>1652</v>
      </c>
      <c r="D1625" s="33" t="s">
        <v>2182</v>
      </c>
      <c r="E1625" s="33" t="s">
        <v>1730</v>
      </c>
      <c r="F1625" s="33" t="s">
        <v>721</v>
      </c>
      <c r="G1625" s="33" t="s">
        <v>2185</v>
      </c>
      <c r="H1625" s="33" t="s">
        <v>2186</v>
      </c>
    </row>
    <row r="1626" spans="1:8" x14ac:dyDescent="0.25">
      <c r="A1626" s="32">
        <v>33070665100</v>
      </c>
      <c r="B1626" s="33" t="s">
        <v>2179</v>
      </c>
      <c r="C1626" s="33" t="s">
        <v>1650</v>
      </c>
      <c r="D1626" s="33" t="s">
        <v>2182</v>
      </c>
      <c r="E1626" s="33" t="s">
        <v>1681</v>
      </c>
      <c r="F1626" s="33" t="s">
        <v>2192</v>
      </c>
      <c r="G1626" s="33" t="s">
        <v>1732</v>
      </c>
      <c r="H1626" s="33" t="s">
        <v>2192</v>
      </c>
    </row>
    <row r="1627" spans="1:8" x14ac:dyDescent="0.25">
      <c r="A1627" s="32">
        <v>33070665101</v>
      </c>
      <c r="B1627" s="33" t="s">
        <v>2179</v>
      </c>
      <c r="C1627" s="33" t="s">
        <v>1650</v>
      </c>
      <c r="D1627" s="33" t="s">
        <v>2182</v>
      </c>
      <c r="E1627" s="33" t="s">
        <v>1681</v>
      </c>
      <c r="F1627" s="33" t="s">
        <v>3079</v>
      </c>
      <c r="G1627" s="33" t="s">
        <v>1732</v>
      </c>
      <c r="H1627" s="33" t="s">
        <v>3079</v>
      </c>
    </row>
    <row r="1628" spans="1:8" x14ac:dyDescent="0.25">
      <c r="A1628" s="32">
        <v>33070665222</v>
      </c>
      <c r="B1628" s="33" t="s">
        <v>2179</v>
      </c>
      <c r="C1628" s="33" t="s">
        <v>1650</v>
      </c>
      <c r="D1628" s="33" t="s">
        <v>2182</v>
      </c>
      <c r="E1628" s="33" t="s">
        <v>1681</v>
      </c>
      <c r="F1628" s="33" t="s">
        <v>3035</v>
      </c>
      <c r="G1628" s="33" t="s">
        <v>2129</v>
      </c>
      <c r="H1628" s="33" t="s">
        <v>3035</v>
      </c>
    </row>
    <row r="1629" spans="1:8" x14ac:dyDescent="0.25">
      <c r="A1629" s="32">
        <v>33070665293</v>
      </c>
      <c r="B1629" s="33" t="s">
        <v>2179</v>
      </c>
      <c r="C1629" s="33" t="s">
        <v>1652</v>
      </c>
      <c r="D1629" s="33" t="s">
        <v>2182</v>
      </c>
      <c r="E1629" s="33" t="s">
        <v>1730</v>
      </c>
      <c r="F1629" s="33" t="s">
        <v>3080</v>
      </c>
      <c r="G1629" s="33" t="s">
        <v>2129</v>
      </c>
      <c r="H1629" s="33" t="s">
        <v>3080</v>
      </c>
    </row>
    <row r="1630" spans="1:8" x14ac:dyDescent="0.25">
      <c r="A1630" s="32">
        <v>33070665294</v>
      </c>
      <c r="B1630" s="33" t="s">
        <v>2179</v>
      </c>
      <c r="C1630" s="33" t="s">
        <v>1652</v>
      </c>
      <c r="D1630" s="33" t="s">
        <v>2182</v>
      </c>
      <c r="E1630" s="33" t="s">
        <v>1730</v>
      </c>
      <c r="F1630" s="33" t="s">
        <v>3082</v>
      </c>
      <c r="G1630" s="33" t="s">
        <v>2129</v>
      </c>
      <c r="H1630" s="33" t="s">
        <v>3082</v>
      </c>
    </row>
    <row r="1631" spans="1:8" x14ac:dyDescent="0.25">
      <c r="A1631" s="32">
        <v>33070665295</v>
      </c>
      <c r="B1631" s="33" t="s">
        <v>2179</v>
      </c>
      <c r="C1631" s="33" t="s">
        <v>1657</v>
      </c>
      <c r="D1631" s="33" t="s">
        <v>2184</v>
      </c>
      <c r="E1631" s="33" t="s">
        <v>1730</v>
      </c>
      <c r="F1631" s="33" t="s">
        <v>3060</v>
      </c>
      <c r="G1631" s="33" t="s">
        <v>2129</v>
      </c>
      <c r="H1631" s="33" t="s">
        <v>3060</v>
      </c>
    </row>
    <row r="1632" spans="1:8" x14ac:dyDescent="0.25">
      <c r="A1632" s="32">
        <v>33070665296</v>
      </c>
      <c r="B1632" s="33" t="s">
        <v>2179</v>
      </c>
      <c r="C1632" s="33" t="s">
        <v>2872</v>
      </c>
      <c r="D1632" s="33" t="s">
        <v>2872</v>
      </c>
      <c r="E1632" s="33" t="s">
        <v>1730</v>
      </c>
      <c r="F1632" s="33" t="s">
        <v>3061</v>
      </c>
      <c r="G1632" s="33" t="s">
        <v>2129</v>
      </c>
      <c r="H1632" s="33" t="s">
        <v>3061</v>
      </c>
    </row>
    <row r="1633" spans="1:8" x14ac:dyDescent="0.25">
      <c r="A1633" s="32">
        <v>33070665297</v>
      </c>
      <c r="B1633" s="33" t="s">
        <v>2179</v>
      </c>
      <c r="C1633" s="33" t="s">
        <v>1662</v>
      </c>
      <c r="D1633" s="33" t="s">
        <v>2181</v>
      </c>
      <c r="E1633" s="33" t="s">
        <v>1730</v>
      </c>
      <c r="F1633" s="33" t="s">
        <v>3062</v>
      </c>
      <c r="G1633" s="33" t="s">
        <v>2129</v>
      </c>
      <c r="H1633" s="33" t="s">
        <v>3062</v>
      </c>
    </row>
    <row r="1634" spans="1:8" x14ac:dyDescent="0.25">
      <c r="A1634" s="32">
        <v>33070665298</v>
      </c>
      <c r="B1634" s="33" t="s">
        <v>2179</v>
      </c>
      <c r="C1634" s="33" t="s">
        <v>1651</v>
      </c>
      <c r="D1634" s="33" t="s">
        <v>2183</v>
      </c>
      <c r="E1634" s="33" t="s">
        <v>1730</v>
      </c>
      <c r="F1634" s="33" t="s">
        <v>3063</v>
      </c>
      <c r="G1634" s="33" t="s">
        <v>1732</v>
      </c>
      <c r="H1634" s="33" t="s">
        <v>3063</v>
      </c>
    </row>
    <row r="1635" spans="1:8" x14ac:dyDescent="0.25">
      <c r="A1635" s="32">
        <v>33070665319</v>
      </c>
      <c r="B1635" s="33" t="s">
        <v>2179</v>
      </c>
      <c r="C1635" s="33" t="s">
        <v>1656</v>
      </c>
      <c r="D1635" s="33" t="s">
        <v>1656</v>
      </c>
      <c r="E1635" s="33" t="s">
        <v>1730</v>
      </c>
      <c r="F1635" s="33" t="s">
        <v>3076</v>
      </c>
      <c r="G1635" s="33" t="s">
        <v>1732</v>
      </c>
      <c r="H1635" s="33" t="s">
        <v>3076</v>
      </c>
    </row>
    <row r="1636" spans="1:8" x14ac:dyDescent="0.25">
      <c r="A1636" s="32">
        <v>33070665320</v>
      </c>
      <c r="B1636" s="33" t="s">
        <v>2179</v>
      </c>
      <c r="C1636" s="33" t="s">
        <v>1650</v>
      </c>
      <c r="D1636" s="33" t="s">
        <v>1656</v>
      </c>
      <c r="E1636" s="33" t="s">
        <v>1681</v>
      </c>
      <c r="F1636" s="33" t="s">
        <v>3077</v>
      </c>
      <c r="G1636" s="33" t="s">
        <v>1732</v>
      </c>
      <c r="H1636" s="33" t="s">
        <v>3077</v>
      </c>
    </row>
    <row r="1637" spans="1:8" x14ac:dyDescent="0.25">
      <c r="A1637" s="32">
        <v>33070665325</v>
      </c>
      <c r="B1637" s="33" t="s">
        <v>2179</v>
      </c>
      <c r="C1637" s="33" t="s">
        <v>1652</v>
      </c>
      <c r="D1637" s="33" t="s">
        <v>2182</v>
      </c>
      <c r="E1637" s="33" t="s">
        <v>1730</v>
      </c>
      <c r="F1637" s="33" t="s">
        <v>3082</v>
      </c>
      <c r="G1637" s="33" t="s">
        <v>2129</v>
      </c>
      <c r="H1637" s="33" t="s">
        <v>3082</v>
      </c>
    </row>
    <row r="1638" spans="1:8" x14ac:dyDescent="0.25">
      <c r="A1638" s="32">
        <v>33070665326</v>
      </c>
      <c r="B1638" s="33" t="s">
        <v>2179</v>
      </c>
      <c r="C1638" s="33" t="s">
        <v>1652</v>
      </c>
      <c r="D1638" s="33" t="s">
        <v>2182</v>
      </c>
      <c r="E1638" s="33" t="s">
        <v>1730</v>
      </c>
      <c r="F1638" s="33" t="s">
        <v>3080</v>
      </c>
      <c r="G1638" s="33" t="s">
        <v>2129</v>
      </c>
      <c r="H1638" s="33" t="s">
        <v>3080</v>
      </c>
    </row>
    <row r="1639" spans="1:8" x14ac:dyDescent="0.25">
      <c r="A1639" s="32">
        <v>33070665327</v>
      </c>
      <c r="B1639" s="33" t="s">
        <v>2179</v>
      </c>
      <c r="C1639" s="33" t="s">
        <v>1650</v>
      </c>
      <c r="D1639" s="33" t="s">
        <v>2183</v>
      </c>
      <c r="E1639" s="33" t="s">
        <v>1681</v>
      </c>
      <c r="F1639" s="33" t="s">
        <v>3078</v>
      </c>
      <c r="G1639" s="33" t="s">
        <v>2129</v>
      </c>
      <c r="H1639" s="33" t="s">
        <v>3078</v>
      </c>
    </row>
    <row r="1640" spans="1:8" x14ac:dyDescent="0.25">
      <c r="A1640" s="32">
        <v>33070754045</v>
      </c>
      <c r="B1640" s="33" t="s">
        <v>2675</v>
      </c>
      <c r="C1640" s="33" t="s">
        <v>1724</v>
      </c>
      <c r="D1640" s="33" t="s">
        <v>1724</v>
      </c>
      <c r="E1640" s="33" t="s">
        <v>1730</v>
      </c>
      <c r="F1640" s="33" t="s">
        <v>1158</v>
      </c>
      <c r="G1640" s="33" t="s">
        <v>2150</v>
      </c>
      <c r="H1640" s="33" t="s">
        <v>2742</v>
      </c>
    </row>
    <row r="1641" spans="1:8" x14ac:dyDescent="0.25">
      <c r="A1641" s="32">
        <v>33070754050</v>
      </c>
      <c r="B1641" s="33" t="s">
        <v>2675</v>
      </c>
      <c r="C1641" s="33" t="s">
        <v>1724</v>
      </c>
      <c r="D1641" s="33" t="s">
        <v>1724</v>
      </c>
      <c r="E1641" s="33" t="s">
        <v>1730</v>
      </c>
      <c r="F1641" s="33" t="s">
        <v>1315</v>
      </c>
      <c r="G1641" s="33" t="s">
        <v>2150</v>
      </c>
      <c r="H1641" s="33" t="s">
        <v>2734</v>
      </c>
    </row>
    <row r="1642" spans="1:8" x14ac:dyDescent="0.25">
      <c r="A1642" s="32">
        <v>33070754054</v>
      </c>
      <c r="B1642" s="33" t="s">
        <v>2675</v>
      </c>
      <c r="C1642" s="33" t="s">
        <v>1724</v>
      </c>
      <c r="D1642" s="33" t="s">
        <v>1724</v>
      </c>
      <c r="E1642" s="33" t="s">
        <v>1730</v>
      </c>
      <c r="F1642" s="33" t="s">
        <v>952</v>
      </c>
      <c r="G1642" s="33" t="s">
        <v>2150</v>
      </c>
      <c r="H1642" s="33" t="s">
        <v>2733</v>
      </c>
    </row>
    <row r="1643" spans="1:8" x14ac:dyDescent="0.25">
      <c r="A1643" s="32">
        <v>33070754055</v>
      </c>
      <c r="B1643" s="33" t="s">
        <v>2675</v>
      </c>
      <c r="C1643" s="33" t="s">
        <v>1724</v>
      </c>
      <c r="D1643" s="33" t="s">
        <v>1724</v>
      </c>
      <c r="E1643" s="33" t="s">
        <v>1730</v>
      </c>
      <c r="F1643" s="33" t="s">
        <v>1316</v>
      </c>
      <c r="G1643" s="33" t="s">
        <v>2150</v>
      </c>
      <c r="H1643" s="33" t="s">
        <v>2738</v>
      </c>
    </row>
    <row r="1644" spans="1:8" x14ac:dyDescent="0.25">
      <c r="A1644" s="32">
        <v>33070754056</v>
      </c>
      <c r="B1644" s="33" t="s">
        <v>2675</v>
      </c>
      <c r="C1644" s="33" t="s">
        <v>1724</v>
      </c>
      <c r="D1644" s="33" t="s">
        <v>1724</v>
      </c>
      <c r="E1644" s="33" t="s">
        <v>1730</v>
      </c>
      <c r="F1644" s="33" t="s">
        <v>1261</v>
      </c>
      <c r="G1644" s="33" t="s">
        <v>2150</v>
      </c>
      <c r="H1644" s="33" t="s">
        <v>2739</v>
      </c>
    </row>
    <row r="1645" spans="1:8" x14ac:dyDescent="0.25">
      <c r="A1645" s="32">
        <v>33070754057</v>
      </c>
      <c r="B1645" s="33" t="s">
        <v>2675</v>
      </c>
      <c r="C1645" s="33" t="s">
        <v>1724</v>
      </c>
      <c r="D1645" s="33" t="s">
        <v>1724</v>
      </c>
      <c r="E1645" s="33" t="s">
        <v>1730</v>
      </c>
      <c r="F1645" s="33" t="s">
        <v>1259</v>
      </c>
      <c r="G1645" s="33" t="s">
        <v>2150</v>
      </c>
      <c r="H1645" s="33" t="s">
        <v>2735</v>
      </c>
    </row>
    <row r="1646" spans="1:8" x14ac:dyDescent="0.25">
      <c r="A1646" s="32">
        <v>33070754058</v>
      </c>
      <c r="B1646" s="33" t="s">
        <v>2675</v>
      </c>
      <c r="C1646" s="33" t="s">
        <v>1724</v>
      </c>
      <c r="D1646" s="33" t="s">
        <v>1724</v>
      </c>
      <c r="E1646" s="33" t="s">
        <v>1730</v>
      </c>
      <c r="F1646" s="33" t="s">
        <v>1462</v>
      </c>
      <c r="G1646" s="33" t="s">
        <v>2150</v>
      </c>
      <c r="H1646" s="33" t="s">
        <v>2736</v>
      </c>
    </row>
    <row r="1647" spans="1:8" x14ac:dyDescent="0.25">
      <c r="A1647" s="32">
        <v>33070754059</v>
      </c>
      <c r="B1647" s="33" t="s">
        <v>2675</v>
      </c>
      <c r="C1647" s="33" t="s">
        <v>1724</v>
      </c>
      <c r="D1647" s="33" t="s">
        <v>1724</v>
      </c>
      <c r="E1647" s="33" t="s">
        <v>1730</v>
      </c>
      <c r="F1647" s="33" t="s">
        <v>1262</v>
      </c>
      <c r="G1647" s="33" t="s">
        <v>2150</v>
      </c>
      <c r="H1647" s="33" t="s">
        <v>2740</v>
      </c>
    </row>
    <row r="1648" spans="1:8" x14ac:dyDescent="0.25">
      <c r="A1648" s="32">
        <v>33070754060</v>
      </c>
      <c r="B1648" s="33" t="s">
        <v>2675</v>
      </c>
      <c r="C1648" s="33" t="s">
        <v>2676</v>
      </c>
      <c r="D1648" s="33" t="s">
        <v>2676</v>
      </c>
      <c r="E1648" s="33" t="s">
        <v>1730</v>
      </c>
      <c r="F1648" s="33" t="s">
        <v>901</v>
      </c>
      <c r="G1648" s="33" t="s">
        <v>2150</v>
      </c>
      <c r="H1648" s="33" t="s">
        <v>2708</v>
      </c>
    </row>
    <row r="1649" spans="1:8" x14ac:dyDescent="0.25">
      <c r="A1649" s="32">
        <v>33070754061</v>
      </c>
      <c r="B1649" s="33" t="s">
        <v>2675</v>
      </c>
      <c r="C1649" s="33" t="s">
        <v>1724</v>
      </c>
      <c r="D1649" s="33" t="s">
        <v>1724</v>
      </c>
      <c r="E1649" s="33" t="s">
        <v>1730</v>
      </c>
      <c r="F1649" s="33" t="s">
        <v>1317</v>
      </c>
      <c r="G1649" s="33" t="s">
        <v>2150</v>
      </c>
      <c r="H1649" s="33" t="s">
        <v>2740</v>
      </c>
    </row>
    <row r="1650" spans="1:8" x14ac:dyDescent="0.25">
      <c r="A1650" s="32">
        <v>33070754062</v>
      </c>
      <c r="B1650" s="33" t="s">
        <v>2675</v>
      </c>
      <c r="C1650" s="33" t="s">
        <v>1724</v>
      </c>
      <c r="D1650" s="33" t="s">
        <v>1724</v>
      </c>
      <c r="E1650" s="33" t="s">
        <v>1730</v>
      </c>
      <c r="F1650" s="33" t="s">
        <v>954</v>
      </c>
      <c r="G1650" s="33" t="s">
        <v>2150</v>
      </c>
      <c r="H1650" s="33" t="s">
        <v>2740</v>
      </c>
    </row>
    <row r="1651" spans="1:8" x14ac:dyDescent="0.25">
      <c r="A1651" s="32">
        <v>33070754063</v>
      </c>
      <c r="B1651" s="33" t="s">
        <v>2675</v>
      </c>
      <c r="C1651" s="33" t="s">
        <v>1724</v>
      </c>
      <c r="D1651" s="33" t="s">
        <v>1724</v>
      </c>
      <c r="E1651" s="33" t="s">
        <v>1730</v>
      </c>
      <c r="F1651" s="33" t="s">
        <v>1319</v>
      </c>
      <c r="G1651" s="33" t="s">
        <v>2150</v>
      </c>
      <c r="H1651" s="33" t="s">
        <v>2740</v>
      </c>
    </row>
    <row r="1652" spans="1:8" x14ac:dyDescent="0.25">
      <c r="A1652" s="32">
        <v>33070754064</v>
      </c>
      <c r="B1652" s="33" t="s">
        <v>2675</v>
      </c>
      <c r="C1652" s="33" t="s">
        <v>1724</v>
      </c>
      <c r="D1652" s="33" t="s">
        <v>1724</v>
      </c>
      <c r="E1652" s="33" t="s">
        <v>1730</v>
      </c>
      <c r="F1652" s="33" t="s">
        <v>1463</v>
      </c>
      <c r="G1652" s="33" t="s">
        <v>2150</v>
      </c>
      <c r="H1652" s="33" t="s">
        <v>2740</v>
      </c>
    </row>
    <row r="1653" spans="1:8" x14ac:dyDescent="0.25">
      <c r="A1653" s="32">
        <v>33070754065</v>
      </c>
      <c r="B1653" s="33" t="s">
        <v>2675</v>
      </c>
      <c r="C1653" s="33" t="s">
        <v>1724</v>
      </c>
      <c r="D1653" s="33" t="s">
        <v>1724</v>
      </c>
      <c r="E1653" s="33" t="s">
        <v>1730</v>
      </c>
      <c r="F1653" s="33" t="s">
        <v>1318</v>
      </c>
      <c r="G1653" s="33" t="s">
        <v>2150</v>
      </c>
      <c r="H1653" s="33" t="s">
        <v>2740</v>
      </c>
    </row>
    <row r="1654" spans="1:8" x14ac:dyDescent="0.25">
      <c r="A1654" s="32">
        <v>33070754066</v>
      </c>
      <c r="B1654" s="33" t="s">
        <v>2675</v>
      </c>
      <c r="C1654" s="33" t="s">
        <v>2676</v>
      </c>
      <c r="D1654" s="33" t="s">
        <v>2676</v>
      </c>
      <c r="E1654" s="33" t="s">
        <v>1730</v>
      </c>
      <c r="F1654" s="33" t="s">
        <v>1056</v>
      </c>
      <c r="G1654" s="33" t="s">
        <v>2150</v>
      </c>
      <c r="H1654" s="33" t="s">
        <v>733</v>
      </c>
    </row>
    <row r="1655" spans="1:8" x14ac:dyDescent="0.25">
      <c r="A1655" s="32">
        <v>33070754067</v>
      </c>
      <c r="B1655" s="33" t="s">
        <v>2675</v>
      </c>
      <c r="C1655" s="33" t="s">
        <v>2676</v>
      </c>
      <c r="D1655" s="33" t="s">
        <v>2676</v>
      </c>
      <c r="E1655" s="33" t="s">
        <v>1730</v>
      </c>
      <c r="F1655" s="33" t="s">
        <v>903</v>
      </c>
      <c r="G1655" s="33" t="s">
        <v>2150</v>
      </c>
      <c r="H1655" s="33" t="s">
        <v>2708</v>
      </c>
    </row>
    <row r="1656" spans="1:8" x14ac:dyDescent="0.25">
      <c r="A1656" s="32">
        <v>33070754068</v>
      </c>
      <c r="B1656" s="33" t="s">
        <v>2675</v>
      </c>
      <c r="C1656" s="33" t="s">
        <v>2676</v>
      </c>
      <c r="D1656" s="33" t="s">
        <v>2676</v>
      </c>
      <c r="E1656" s="33" t="s">
        <v>1730</v>
      </c>
      <c r="F1656" s="33" t="s">
        <v>904</v>
      </c>
      <c r="G1656" s="33" t="s">
        <v>2150</v>
      </c>
      <c r="H1656" s="33" t="s">
        <v>2677</v>
      </c>
    </row>
    <row r="1657" spans="1:8" x14ac:dyDescent="0.25">
      <c r="A1657" s="32">
        <v>33070754069</v>
      </c>
      <c r="B1657" s="33" t="s">
        <v>2675</v>
      </c>
      <c r="C1657" s="33" t="s">
        <v>2676</v>
      </c>
      <c r="D1657" s="33" t="s">
        <v>2676</v>
      </c>
      <c r="E1657" s="33" t="s">
        <v>1730</v>
      </c>
      <c r="F1657" s="33" t="s">
        <v>1016</v>
      </c>
      <c r="G1657" s="33" t="s">
        <v>2150</v>
      </c>
      <c r="H1657" s="33" t="s">
        <v>2687</v>
      </c>
    </row>
    <row r="1658" spans="1:8" x14ac:dyDescent="0.25">
      <c r="A1658" s="32">
        <v>33070754070</v>
      </c>
      <c r="B1658" s="33" t="s">
        <v>2675</v>
      </c>
      <c r="C1658" s="33" t="s">
        <v>2676</v>
      </c>
      <c r="D1658" s="33" t="s">
        <v>2676</v>
      </c>
      <c r="E1658" s="33" t="s">
        <v>1730</v>
      </c>
      <c r="F1658" s="33" t="s">
        <v>1461</v>
      </c>
      <c r="G1658" s="33" t="s">
        <v>2150</v>
      </c>
      <c r="H1658" s="33" t="s">
        <v>2687</v>
      </c>
    </row>
    <row r="1659" spans="1:8" x14ac:dyDescent="0.25">
      <c r="A1659" s="32">
        <v>33070754071</v>
      </c>
      <c r="B1659" s="33" t="s">
        <v>2675</v>
      </c>
      <c r="C1659" s="33" t="s">
        <v>2676</v>
      </c>
      <c r="D1659" s="33" t="s">
        <v>2676</v>
      </c>
      <c r="E1659" s="33" t="s">
        <v>1730</v>
      </c>
      <c r="F1659" s="33" t="s">
        <v>1271</v>
      </c>
      <c r="G1659" s="33" t="s">
        <v>2150</v>
      </c>
      <c r="H1659" s="33" t="s">
        <v>2709</v>
      </c>
    </row>
    <row r="1660" spans="1:8" x14ac:dyDescent="0.25">
      <c r="A1660" s="32">
        <v>33070754072</v>
      </c>
      <c r="B1660" s="33" t="s">
        <v>2675</v>
      </c>
      <c r="C1660" s="33" t="s">
        <v>2676</v>
      </c>
      <c r="D1660" s="33" t="s">
        <v>2676</v>
      </c>
      <c r="E1660" s="33" t="s">
        <v>1730</v>
      </c>
      <c r="F1660" s="33" t="s">
        <v>736</v>
      </c>
      <c r="G1660" s="33" t="s">
        <v>2150</v>
      </c>
      <c r="H1660" s="33" t="s">
        <v>736</v>
      </c>
    </row>
    <row r="1661" spans="1:8" x14ac:dyDescent="0.25">
      <c r="A1661" s="32">
        <v>33070754073</v>
      </c>
      <c r="B1661" s="33" t="s">
        <v>2675</v>
      </c>
      <c r="C1661" s="33" t="s">
        <v>2676</v>
      </c>
      <c r="D1661" s="33" t="s">
        <v>2676</v>
      </c>
      <c r="E1661" s="33" t="s">
        <v>1730</v>
      </c>
      <c r="F1661" s="33" t="s">
        <v>737</v>
      </c>
      <c r="G1661" s="33" t="s">
        <v>2150</v>
      </c>
      <c r="H1661" s="33" t="s">
        <v>2678</v>
      </c>
    </row>
    <row r="1662" spans="1:8" x14ac:dyDescent="0.25">
      <c r="A1662" s="32">
        <v>33070754074</v>
      </c>
      <c r="B1662" s="33" t="s">
        <v>2675</v>
      </c>
      <c r="C1662" s="33" t="s">
        <v>2676</v>
      </c>
      <c r="D1662" s="33" t="s">
        <v>2676</v>
      </c>
      <c r="E1662" s="33" t="s">
        <v>1730</v>
      </c>
      <c r="F1662" s="33" t="s">
        <v>1211</v>
      </c>
      <c r="G1662" s="33" t="s">
        <v>2150</v>
      </c>
      <c r="H1662" s="33" t="s">
        <v>2689</v>
      </c>
    </row>
    <row r="1663" spans="1:8" x14ac:dyDescent="0.25">
      <c r="A1663" s="32">
        <v>33070754075</v>
      </c>
      <c r="B1663" s="33" t="s">
        <v>2675</v>
      </c>
      <c r="C1663" s="33" t="s">
        <v>2676</v>
      </c>
      <c r="D1663" s="33" t="s">
        <v>2676</v>
      </c>
      <c r="E1663" s="33" t="s">
        <v>1730</v>
      </c>
      <c r="F1663" s="33" t="s">
        <v>1458</v>
      </c>
      <c r="G1663" s="33" t="s">
        <v>2150</v>
      </c>
      <c r="H1663" s="33" t="s">
        <v>2689</v>
      </c>
    </row>
    <row r="1664" spans="1:8" x14ac:dyDescent="0.25">
      <c r="A1664" s="32">
        <v>33070754076</v>
      </c>
      <c r="B1664" s="33" t="s">
        <v>2675</v>
      </c>
      <c r="C1664" s="33" t="s">
        <v>2676</v>
      </c>
      <c r="D1664" s="33" t="s">
        <v>2676</v>
      </c>
      <c r="E1664" s="33" t="s">
        <v>1730</v>
      </c>
      <c r="F1664" s="33" t="s">
        <v>1076</v>
      </c>
      <c r="G1664" s="33" t="s">
        <v>2150</v>
      </c>
      <c r="H1664" s="33" t="s">
        <v>2689</v>
      </c>
    </row>
    <row r="1665" spans="1:8" x14ac:dyDescent="0.25">
      <c r="A1665" s="32">
        <v>33070754077</v>
      </c>
      <c r="B1665" s="33" t="s">
        <v>2675</v>
      </c>
      <c r="C1665" s="33" t="s">
        <v>2676</v>
      </c>
      <c r="D1665" s="33" t="s">
        <v>2676</v>
      </c>
      <c r="E1665" s="33" t="s">
        <v>1730</v>
      </c>
      <c r="F1665" s="33" t="s">
        <v>1273</v>
      </c>
      <c r="G1665" s="33" t="s">
        <v>2150</v>
      </c>
      <c r="H1665" s="33" t="s">
        <v>2689</v>
      </c>
    </row>
    <row r="1666" spans="1:8" x14ac:dyDescent="0.25">
      <c r="A1666" s="32">
        <v>33070754078</v>
      </c>
      <c r="B1666" s="33" t="s">
        <v>2675</v>
      </c>
      <c r="C1666" s="33" t="s">
        <v>2676</v>
      </c>
      <c r="D1666" s="33" t="s">
        <v>2676</v>
      </c>
      <c r="E1666" s="33" t="s">
        <v>1730</v>
      </c>
      <c r="F1666" s="33" t="s">
        <v>1091</v>
      </c>
      <c r="G1666" s="33" t="s">
        <v>2150</v>
      </c>
      <c r="H1666" s="33" t="s">
        <v>2689</v>
      </c>
    </row>
    <row r="1667" spans="1:8" x14ac:dyDescent="0.25">
      <c r="A1667" s="32">
        <v>33070754079</v>
      </c>
      <c r="B1667" s="33" t="s">
        <v>2675</v>
      </c>
      <c r="C1667" s="33" t="s">
        <v>2676</v>
      </c>
      <c r="D1667" s="33" t="s">
        <v>2676</v>
      </c>
      <c r="E1667" s="33" t="s">
        <v>1730</v>
      </c>
      <c r="F1667" s="33" t="s">
        <v>1258</v>
      </c>
      <c r="G1667" s="33" t="s">
        <v>2150</v>
      </c>
      <c r="H1667" s="33" t="s">
        <v>2689</v>
      </c>
    </row>
    <row r="1668" spans="1:8" x14ac:dyDescent="0.25">
      <c r="A1668" s="32">
        <v>33070754080</v>
      </c>
      <c r="B1668" s="33" t="s">
        <v>2675</v>
      </c>
      <c r="C1668" s="33" t="s">
        <v>2676</v>
      </c>
      <c r="D1668" s="33" t="s">
        <v>2676</v>
      </c>
      <c r="E1668" s="33" t="s">
        <v>1730</v>
      </c>
      <c r="F1668" s="33" t="s">
        <v>1328</v>
      </c>
      <c r="G1668" s="33" t="s">
        <v>2150</v>
      </c>
      <c r="H1668" s="33" t="s">
        <v>2690</v>
      </c>
    </row>
    <row r="1669" spans="1:8" x14ac:dyDescent="0.25">
      <c r="A1669" s="32">
        <v>33070754081</v>
      </c>
      <c r="B1669" s="33" t="s">
        <v>2675</v>
      </c>
      <c r="C1669" s="33" t="s">
        <v>2676</v>
      </c>
      <c r="D1669" s="33" t="s">
        <v>2676</v>
      </c>
      <c r="E1669" s="33" t="s">
        <v>1730</v>
      </c>
      <c r="F1669" s="33" t="s">
        <v>983</v>
      </c>
      <c r="G1669" s="33" t="s">
        <v>2150</v>
      </c>
      <c r="H1669" s="33" t="s">
        <v>2681</v>
      </c>
    </row>
    <row r="1670" spans="1:8" x14ac:dyDescent="0.25">
      <c r="A1670" s="32">
        <v>33070754082</v>
      </c>
      <c r="B1670" s="33" t="s">
        <v>2675</v>
      </c>
      <c r="C1670" s="33" t="s">
        <v>2676</v>
      </c>
      <c r="D1670" s="33" t="s">
        <v>2676</v>
      </c>
      <c r="E1670" s="33" t="s">
        <v>1730</v>
      </c>
      <c r="F1670" s="33" t="s">
        <v>1265</v>
      </c>
      <c r="G1670" s="33" t="s">
        <v>2150</v>
      </c>
      <c r="H1670" s="33" t="s">
        <v>2680</v>
      </c>
    </row>
    <row r="1671" spans="1:8" x14ac:dyDescent="0.25">
      <c r="A1671" s="32">
        <v>33070754083</v>
      </c>
      <c r="B1671" s="33" t="s">
        <v>2675</v>
      </c>
      <c r="C1671" s="33" t="s">
        <v>2676</v>
      </c>
      <c r="D1671" s="33" t="s">
        <v>2676</v>
      </c>
      <c r="E1671" s="33" t="s">
        <v>1730</v>
      </c>
      <c r="F1671" s="33" t="s">
        <v>1327</v>
      </c>
      <c r="G1671" s="33" t="s">
        <v>2150</v>
      </c>
      <c r="H1671" s="33" t="s">
        <v>2688</v>
      </c>
    </row>
    <row r="1672" spans="1:8" x14ac:dyDescent="0.25">
      <c r="A1672" s="32">
        <v>33070754084</v>
      </c>
      <c r="B1672" s="33" t="s">
        <v>2675</v>
      </c>
      <c r="C1672" s="33" t="s">
        <v>2676</v>
      </c>
      <c r="D1672" s="33" t="s">
        <v>2676</v>
      </c>
      <c r="E1672" s="33" t="s">
        <v>1730</v>
      </c>
      <c r="F1672" s="33" t="s">
        <v>1469</v>
      </c>
      <c r="G1672" s="33" t="s">
        <v>2150</v>
      </c>
      <c r="H1672" s="33" t="s">
        <v>2688</v>
      </c>
    </row>
    <row r="1673" spans="1:8" x14ac:dyDescent="0.25">
      <c r="A1673" s="32">
        <v>33070754085</v>
      </c>
      <c r="B1673" s="33" t="s">
        <v>2675</v>
      </c>
      <c r="C1673" s="33" t="s">
        <v>2676</v>
      </c>
      <c r="D1673" s="33" t="s">
        <v>2676</v>
      </c>
      <c r="E1673" s="33" t="s">
        <v>1730</v>
      </c>
      <c r="F1673" s="33" t="s">
        <v>1331</v>
      </c>
      <c r="G1673" s="33" t="s">
        <v>2150</v>
      </c>
      <c r="H1673" s="33" t="s">
        <v>2688</v>
      </c>
    </row>
    <row r="1674" spans="1:8" x14ac:dyDescent="0.25">
      <c r="A1674" s="32">
        <v>33070754086</v>
      </c>
      <c r="B1674" s="33" t="s">
        <v>2675</v>
      </c>
      <c r="C1674" s="33" t="s">
        <v>2676</v>
      </c>
      <c r="D1674" s="33" t="s">
        <v>2676</v>
      </c>
      <c r="E1674" s="33" t="s">
        <v>1730</v>
      </c>
      <c r="F1674" s="33" t="s">
        <v>1326</v>
      </c>
      <c r="G1674" s="33" t="s">
        <v>2150</v>
      </c>
      <c r="H1674" s="33" t="s">
        <v>2688</v>
      </c>
    </row>
    <row r="1675" spans="1:8" x14ac:dyDescent="0.25">
      <c r="A1675" s="32">
        <v>33070754087</v>
      </c>
      <c r="B1675" s="33" t="s">
        <v>2675</v>
      </c>
      <c r="C1675" s="33" t="s">
        <v>2676</v>
      </c>
      <c r="D1675" s="33" t="s">
        <v>2676</v>
      </c>
      <c r="E1675" s="33" t="s">
        <v>1730</v>
      </c>
      <c r="F1675" s="33" t="s">
        <v>1330</v>
      </c>
      <c r="G1675" s="33" t="s">
        <v>2150</v>
      </c>
      <c r="H1675" s="33" t="s">
        <v>2688</v>
      </c>
    </row>
    <row r="1676" spans="1:8" x14ac:dyDescent="0.25">
      <c r="A1676" s="32">
        <v>33070754088</v>
      </c>
      <c r="B1676" s="33" t="s">
        <v>2675</v>
      </c>
      <c r="C1676" s="33" t="s">
        <v>2676</v>
      </c>
      <c r="D1676" s="33" t="s">
        <v>2676</v>
      </c>
      <c r="E1676" s="33" t="s">
        <v>1730</v>
      </c>
      <c r="F1676" s="33" t="s">
        <v>1329</v>
      </c>
      <c r="G1676" s="33" t="s">
        <v>2150</v>
      </c>
      <c r="H1676" s="33" t="s">
        <v>2688</v>
      </c>
    </row>
    <row r="1677" spans="1:8" x14ac:dyDescent="0.25">
      <c r="A1677" s="32">
        <v>33070754089</v>
      </c>
      <c r="B1677" s="33" t="s">
        <v>2675</v>
      </c>
      <c r="C1677" s="33" t="s">
        <v>2676</v>
      </c>
      <c r="D1677" s="33" t="s">
        <v>2676</v>
      </c>
      <c r="E1677" s="33" t="s">
        <v>1730</v>
      </c>
      <c r="F1677" s="33" t="s">
        <v>1323</v>
      </c>
      <c r="G1677" s="33" t="s">
        <v>2150</v>
      </c>
      <c r="H1677" s="33" t="s">
        <v>2680</v>
      </c>
    </row>
    <row r="1678" spans="1:8" x14ac:dyDescent="0.25">
      <c r="A1678" s="32">
        <v>33070754090</v>
      </c>
      <c r="B1678" s="33" t="s">
        <v>2675</v>
      </c>
      <c r="C1678" s="33" t="s">
        <v>2676</v>
      </c>
      <c r="D1678" s="33" t="s">
        <v>2676</v>
      </c>
      <c r="E1678" s="33" t="s">
        <v>1730</v>
      </c>
      <c r="F1678" s="33" t="s">
        <v>1272</v>
      </c>
      <c r="G1678" s="33" t="s">
        <v>2150</v>
      </c>
      <c r="H1678" s="33" t="s">
        <v>751</v>
      </c>
    </row>
    <row r="1679" spans="1:8" x14ac:dyDescent="0.25">
      <c r="A1679" s="32">
        <v>33070754091</v>
      </c>
      <c r="B1679" s="33" t="s">
        <v>2675</v>
      </c>
      <c r="C1679" s="33" t="s">
        <v>2676</v>
      </c>
      <c r="D1679" s="33" t="s">
        <v>2676</v>
      </c>
      <c r="E1679" s="33" t="s">
        <v>1730</v>
      </c>
      <c r="F1679" s="33" t="s">
        <v>1268</v>
      </c>
      <c r="G1679" s="33" t="s">
        <v>2150</v>
      </c>
      <c r="H1679" s="33" t="s">
        <v>752</v>
      </c>
    </row>
    <row r="1680" spans="1:8" x14ac:dyDescent="0.25">
      <c r="A1680" s="32">
        <v>33070754092</v>
      </c>
      <c r="B1680" s="33" t="s">
        <v>2675</v>
      </c>
      <c r="C1680" s="33" t="s">
        <v>2676</v>
      </c>
      <c r="D1680" s="33" t="s">
        <v>2676</v>
      </c>
      <c r="E1680" s="33" t="s">
        <v>1730</v>
      </c>
      <c r="F1680" s="33" t="s">
        <v>753</v>
      </c>
      <c r="G1680" s="33" t="s">
        <v>2150</v>
      </c>
      <c r="H1680" s="33" t="s">
        <v>2692</v>
      </c>
    </row>
    <row r="1681" spans="1:8" x14ac:dyDescent="0.25">
      <c r="A1681" s="32">
        <v>33070754093</v>
      </c>
      <c r="B1681" s="33" t="s">
        <v>2675</v>
      </c>
      <c r="C1681" s="33" t="s">
        <v>2676</v>
      </c>
      <c r="D1681" s="33" t="s">
        <v>2676</v>
      </c>
      <c r="E1681" s="33" t="s">
        <v>1730</v>
      </c>
      <c r="F1681" s="33" t="s">
        <v>1198</v>
      </c>
      <c r="G1681" s="33" t="s">
        <v>2150</v>
      </c>
      <c r="H1681" s="33" t="s">
        <v>2720</v>
      </c>
    </row>
    <row r="1682" spans="1:8" x14ac:dyDescent="0.25">
      <c r="A1682" s="32">
        <v>33070754094</v>
      </c>
      <c r="B1682" s="33" t="s">
        <v>2675</v>
      </c>
      <c r="C1682" s="33" t="s">
        <v>2676</v>
      </c>
      <c r="D1682" s="33" t="s">
        <v>2676</v>
      </c>
      <c r="E1682" s="33" t="s">
        <v>1730</v>
      </c>
      <c r="F1682" s="33" t="s">
        <v>1343</v>
      </c>
      <c r="G1682" s="33" t="s">
        <v>2150</v>
      </c>
      <c r="H1682" s="33" t="s">
        <v>2714</v>
      </c>
    </row>
    <row r="1683" spans="1:8" x14ac:dyDescent="0.25">
      <c r="A1683" s="32">
        <v>33070754095</v>
      </c>
      <c r="B1683" s="33" t="s">
        <v>2675</v>
      </c>
      <c r="C1683" s="33" t="s">
        <v>2676</v>
      </c>
      <c r="D1683" s="33" t="s">
        <v>2676</v>
      </c>
      <c r="E1683" s="33" t="s">
        <v>1730</v>
      </c>
      <c r="F1683" s="33" t="s">
        <v>984</v>
      </c>
      <c r="G1683" s="33" t="s">
        <v>2150</v>
      </c>
      <c r="H1683" s="33" t="s">
        <v>2714</v>
      </c>
    </row>
    <row r="1684" spans="1:8" x14ac:dyDescent="0.25">
      <c r="A1684" s="32">
        <v>33070754096</v>
      </c>
      <c r="B1684" s="33" t="s">
        <v>2675</v>
      </c>
      <c r="C1684" s="33" t="s">
        <v>2676</v>
      </c>
      <c r="D1684" s="33" t="s">
        <v>2676</v>
      </c>
      <c r="E1684" s="33" t="s">
        <v>1730</v>
      </c>
      <c r="F1684" s="33" t="s">
        <v>1105</v>
      </c>
      <c r="G1684" s="33" t="s">
        <v>2150</v>
      </c>
      <c r="H1684" s="33" t="s">
        <v>2716</v>
      </c>
    </row>
    <row r="1685" spans="1:8" x14ac:dyDescent="0.25">
      <c r="A1685" s="32">
        <v>33070754097</v>
      </c>
      <c r="B1685" s="33" t="s">
        <v>2675</v>
      </c>
      <c r="C1685" s="33" t="s">
        <v>2676</v>
      </c>
      <c r="D1685" s="33" t="s">
        <v>2676</v>
      </c>
      <c r="E1685" s="33" t="s">
        <v>1730</v>
      </c>
      <c r="F1685" s="33" t="s">
        <v>1266</v>
      </c>
      <c r="G1685" s="33" t="s">
        <v>2150</v>
      </c>
      <c r="H1685" s="33" t="s">
        <v>2696</v>
      </c>
    </row>
    <row r="1686" spans="1:8" x14ac:dyDescent="0.25">
      <c r="A1686" s="32">
        <v>33070754098</v>
      </c>
      <c r="B1686" s="33" t="s">
        <v>2675</v>
      </c>
      <c r="C1686" s="33" t="s">
        <v>2676</v>
      </c>
      <c r="D1686" s="33" t="s">
        <v>2676</v>
      </c>
      <c r="E1686" s="33" t="s">
        <v>1730</v>
      </c>
      <c r="F1686" s="33" t="s">
        <v>905</v>
      </c>
      <c r="G1686" s="33" t="s">
        <v>2150</v>
      </c>
      <c r="H1686" s="33" t="s">
        <v>2697</v>
      </c>
    </row>
    <row r="1687" spans="1:8" x14ac:dyDescent="0.25">
      <c r="A1687" s="32">
        <v>33070754099</v>
      </c>
      <c r="B1687" s="33" t="s">
        <v>2675</v>
      </c>
      <c r="C1687" s="33" t="s">
        <v>2676</v>
      </c>
      <c r="D1687" s="33" t="s">
        <v>2676</v>
      </c>
      <c r="E1687" s="33" t="s">
        <v>1730</v>
      </c>
      <c r="F1687" s="33" t="s">
        <v>1333</v>
      </c>
      <c r="G1687" s="33" t="s">
        <v>2150</v>
      </c>
      <c r="H1687" s="33" t="s">
        <v>2698</v>
      </c>
    </row>
    <row r="1688" spans="1:8" x14ac:dyDescent="0.25">
      <c r="A1688" s="32">
        <v>33070754100</v>
      </c>
      <c r="B1688" s="33" t="s">
        <v>2675</v>
      </c>
      <c r="C1688" s="33" t="s">
        <v>2676</v>
      </c>
      <c r="D1688" s="33" t="s">
        <v>2676</v>
      </c>
      <c r="E1688" s="33" t="s">
        <v>1730</v>
      </c>
      <c r="F1688" s="33" t="s">
        <v>1334</v>
      </c>
      <c r="G1688" s="33" t="s">
        <v>2150</v>
      </c>
      <c r="H1688" s="33" t="s">
        <v>2699</v>
      </c>
    </row>
    <row r="1689" spans="1:8" x14ac:dyDescent="0.25">
      <c r="A1689" s="32">
        <v>33070754101</v>
      </c>
      <c r="B1689" s="33" t="s">
        <v>2675</v>
      </c>
      <c r="C1689" s="33" t="s">
        <v>2676</v>
      </c>
      <c r="D1689" s="33" t="s">
        <v>2676</v>
      </c>
      <c r="E1689" s="33" t="s">
        <v>1730</v>
      </c>
      <c r="F1689" s="33" t="s">
        <v>1335</v>
      </c>
      <c r="G1689" s="33" t="s">
        <v>2150</v>
      </c>
      <c r="H1689" s="33" t="s">
        <v>2700</v>
      </c>
    </row>
    <row r="1690" spans="1:8" x14ac:dyDescent="0.25">
      <c r="A1690" s="32">
        <v>33070754102</v>
      </c>
      <c r="B1690" s="33" t="s">
        <v>2675</v>
      </c>
      <c r="C1690" s="33" t="s">
        <v>2676</v>
      </c>
      <c r="D1690" s="33" t="s">
        <v>2676</v>
      </c>
      <c r="E1690" s="33" t="s">
        <v>1730</v>
      </c>
      <c r="F1690" s="33" t="s">
        <v>1336</v>
      </c>
      <c r="G1690" s="33" t="s">
        <v>2150</v>
      </c>
      <c r="H1690" s="33" t="s">
        <v>2701</v>
      </c>
    </row>
    <row r="1691" spans="1:8" x14ac:dyDescent="0.25">
      <c r="A1691" s="32">
        <v>33070754103</v>
      </c>
      <c r="B1691" s="33" t="s">
        <v>2675</v>
      </c>
      <c r="C1691" s="33" t="s">
        <v>2676</v>
      </c>
      <c r="D1691" s="33" t="s">
        <v>2676</v>
      </c>
      <c r="E1691" s="33" t="s">
        <v>1730</v>
      </c>
      <c r="F1691" s="33" t="s">
        <v>1337</v>
      </c>
      <c r="G1691" s="33" t="s">
        <v>2150</v>
      </c>
      <c r="H1691" s="33" t="s">
        <v>2702</v>
      </c>
    </row>
    <row r="1692" spans="1:8" x14ac:dyDescent="0.25">
      <c r="A1692" s="32">
        <v>33070754104</v>
      </c>
      <c r="B1692" s="33" t="s">
        <v>2675</v>
      </c>
      <c r="C1692" s="33" t="s">
        <v>2676</v>
      </c>
      <c r="D1692" s="33" t="s">
        <v>2676</v>
      </c>
      <c r="E1692" s="33" t="s">
        <v>1730</v>
      </c>
      <c r="F1692" s="33" t="s">
        <v>1260</v>
      </c>
      <c r="G1692" s="33" t="s">
        <v>2150</v>
      </c>
      <c r="H1692" s="33" t="s">
        <v>2703</v>
      </c>
    </row>
    <row r="1693" spans="1:8" x14ac:dyDescent="0.25">
      <c r="A1693" s="32">
        <v>33070754105</v>
      </c>
      <c r="B1693" s="33" t="s">
        <v>2675</v>
      </c>
      <c r="C1693" s="33" t="s">
        <v>2676</v>
      </c>
      <c r="D1693" s="33" t="s">
        <v>2676</v>
      </c>
      <c r="E1693" s="33" t="s">
        <v>1730</v>
      </c>
      <c r="F1693" s="33" t="s">
        <v>1338</v>
      </c>
      <c r="G1693" s="33" t="s">
        <v>2150</v>
      </c>
      <c r="H1693" s="33" t="s">
        <v>2704</v>
      </c>
    </row>
    <row r="1694" spans="1:8" x14ac:dyDescent="0.25">
      <c r="A1694" s="32">
        <v>33070754106</v>
      </c>
      <c r="B1694" s="33" t="s">
        <v>2675</v>
      </c>
      <c r="C1694" s="33" t="s">
        <v>2676</v>
      </c>
      <c r="D1694" s="33" t="s">
        <v>2676</v>
      </c>
      <c r="E1694" s="33" t="s">
        <v>1730</v>
      </c>
      <c r="F1694" s="33" t="s">
        <v>1339</v>
      </c>
      <c r="G1694" s="33" t="s">
        <v>2150</v>
      </c>
      <c r="H1694" s="33" t="s">
        <v>2705</v>
      </c>
    </row>
    <row r="1695" spans="1:8" x14ac:dyDescent="0.25">
      <c r="A1695" s="32">
        <v>33070754107</v>
      </c>
      <c r="B1695" s="33" t="s">
        <v>2675</v>
      </c>
      <c r="C1695" s="33" t="s">
        <v>2676</v>
      </c>
      <c r="D1695" s="33" t="s">
        <v>2676</v>
      </c>
      <c r="E1695" s="33" t="s">
        <v>1730</v>
      </c>
      <c r="F1695" s="33" t="s">
        <v>1340</v>
      </c>
      <c r="G1695" s="33" t="s">
        <v>2150</v>
      </c>
      <c r="H1695" s="33" t="s">
        <v>2706</v>
      </c>
    </row>
    <row r="1696" spans="1:8" x14ac:dyDescent="0.25">
      <c r="A1696" s="32">
        <v>33070754108</v>
      </c>
      <c r="B1696" s="33" t="s">
        <v>2675</v>
      </c>
      <c r="C1696" s="33" t="s">
        <v>2676</v>
      </c>
      <c r="D1696" s="33" t="s">
        <v>2676</v>
      </c>
      <c r="E1696" s="33" t="s">
        <v>1730</v>
      </c>
      <c r="F1696" s="33" t="s">
        <v>1267</v>
      </c>
      <c r="G1696" s="33" t="s">
        <v>2150</v>
      </c>
      <c r="H1696" s="33" t="s">
        <v>2693</v>
      </c>
    </row>
    <row r="1697" spans="1:8" x14ac:dyDescent="0.25">
      <c r="A1697" s="32">
        <v>33070754109</v>
      </c>
      <c r="B1697" s="33" t="s">
        <v>2675</v>
      </c>
      <c r="C1697" s="33" t="s">
        <v>2676</v>
      </c>
      <c r="D1697" s="33" t="s">
        <v>2676</v>
      </c>
      <c r="E1697" s="33" t="s">
        <v>1730</v>
      </c>
      <c r="F1697" s="33" t="s">
        <v>1332</v>
      </c>
      <c r="G1697" s="33" t="s">
        <v>2150</v>
      </c>
      <c r="H1697" s="33" t="s">
        <v>2694</v>
      </c>
    </row>
    <row r="1698" spans="1:8" x14ac:dyDescent="0.25">
      <c r="A1698" s="32">
        <v>33070754110</v>
      </c>
      <c r="B1698" s="33" t="s">
        <v>2675</v>
      </c>
      <c r="C1698" s="33" t="s">
        <v>2676</v>
      </c>
      <c r="D1698" s="33" t="s">
        <v>2676</v>
      </c>
      <c r="E1698" s="33" t="s">
        <v>1730</v>
      </c>
      <c r="F1698" s="33" t="s">
        <v>1465</v>
      </c>
      <c r="G1698" s="33" t="s">
        <v>2150</v>
      </c>
      <c r="H1698" s="33" t="s">
        <v>1465</v>
      </c>
    </row>
    <row r="1699" spans="1:8" x14ac:dyDescent="0.25">
      <c r="A1699" s="32">
        <v>33070754111</v>
      </c>
      <c r="B1699" s="33" t="s">
        <v>2675</v>
      </c>
      <c r="C1699" s="33" t="s">
        <v>2676</v>
      </c>
      <c r="D1699" s="33" t="s">
        <v>2676</v>
      </c>
      <c r="E1699" s="33" t="s">
        <v>1730</v>
      </c>
      <c r="F1699" s="33" t="s">
        <v>1466</v>
      </c>
      <c r="G1699" s="33" t="s">
        <v>2150</v>
      </c>
      <c r="H1699" s="33" t="s">
        <v>1466</v>
      </c>
    </row>
    <row r="1700" spans="1:8" x14ac:dyDescent="0.25">
      <c r="A1700" s="32">
        <v>33070754112</v>
      </c>
      <c r="B1700" s="33" t="s">
        <v>2675</v>
      </c>
      <c r="C1700" s="33" t="s">
        <v>2676</v>
      </c>
      <c r="D1700" s="33" t="s">
        <v>2676</v>
      </c>
      <c r="E1700" s="33" t="s">
        <v>1730</v>
      </c>
      <c r="F1700" s="33" t="s">
        <v>955</v>
      </c>
      <c r="G1700" s="33" t="s">
        <v>2150</v>
      </c>
      <c r="H1700" s="33" t="s">
        <v>2711</v>
      </c>
    </row>
    <row r="1701" spans="1:8" x14ac:dyDescent="0.25">
      <c r="A1701" s="32">
        <v>33070754113</v>
      </c>
      <c r="B1701" s="33" t="s">
        <v>2675</v>
      </c>
      <c r="C1701" s="33" t="s">
        <v>2676</v>
      </c>
      <c r="D1701" s="33" t="s">
        <v>2676</v>
      </c>
      <c r="E1701" s="33" t="s">
        <v>1730</v>
      </c>
      <c r="F1701" s="33" t="s">
        <v>1342</v>
      </c>
      <c r="G1701" s="33" t="s">
        <v>2150</v>
      </c>
      <c r="H1701" s="33" t="s">
        <v>2712</v>
      </c>
    </row>
    <row r="1702" spans="1:8" x14ac:dyDescent="0.25">
      <c r="A1702" s="32">
        <v>33070754114</v>
      </c>
      <c r="B1702" s="33" t="s">
        <v>2675</v>
      </c>
      <c r="C1702" s="33" t="s">
        <v>2676</v>
      </c>
      <c r="D1702" s="33" t="s">
        <v>2676</v>
      </c>
      <c r="E1702" s="33" t="s">
        <v>1730</v>
      </c>
      <c r="F1702" s="33" t="s">
        <v>763</v>
      </c>
      <c r="G1702" s="33" t="s">
        <v>2150</v>
      </c>
      <c r="H1702" s="33" t="s">
        <v>763</v>
      </c>
    </row>
    <row r="1703" spans="1:8" x14ac:dyDescent="0.25">
      <c r="A1703" s="32">
        <v>33070754115</v>
      </c>
      <c r="B1703" s="33" t="s">
        <v>2675</v>
      </c>
      <c r="C1703" s="33" t="s">
        <v>2676</v>
      </c>
      <c r="D1703" s="33" t="s">
        <v>2676</v>
      </c>
      <c r="E1703" s="33" t="s">
        <v>1730</v>
      </c>
      <c r="F1703" s="33" t="s">
        <v>1264</v>
      </c>
      <c r="G1703" s="33" t="s">
        <v>2150</v>
      </c>
      <c r="H1703" s="33" t="s">
        <v>2691</v>
      </c>
    </row>
    <row r="1704" spans="1:8" x14ac:dyDescent="0.25">
      <c r="A1704" s="32">
        <v>33070754116</v>
      </c>
      <c r="B1704" s="33" t="s">
        <v>2675</v>
      </c>
      <c r="C1704" s="33" t="s">
        <v>2676</v>
      </c>
      <c r="D1704" s="33" t="s">
        <v>2676</v>
      </c>
      <c r="E1704" s="33" t="s">
        <v>1730</v>
      </c>
      <c r="F1704" s="33" t="s">
        <v>1341</v>
      </c>
      <c r="G1704" s="33" t="s">
        <v>2150</v>
      </c>
      <c r="H1704" s="33" t="s">
        <v>2707</v>
      </c>
    </row>
    <row r="1705" spans="1:8" x14ac:dyDescent="0.25">
      <c r="A1705" s="32">
        <v>33070754117</v>
      </c>
      <c r="B1705" s="33" t="s">
        <v>2675</v>
      </c>
      <c r="C1705" s="33" t="s">
        <v>2676</v>
      </c>
      <c r="D1705" s="33" t="s">
        <v>2676</v>
      </c>
      <c r="E1705" s="33" t="s">
        <v>1730</v>
      </c>
      <c r="F1705" s="33" t="s">
        <v>1325</v>
      </c>
      <c r="G1705" s="33" t="s">
        <v>2150</v>
      </c>
      <c r="H1705" s="33" t="s">
        <v>2684</v>
      </c>
    </row>
    <row r="1706" spans="1:8" x14ac:dyDescent="0.25">
      <c r="A1706" s="32">
        <v>33070754118</v>
      </c>
      <c r="B1706" s="33" t="s">
        <v>2675</v>
      </c>
      <c r="C1706" s="33" t="s">
        <v>2676</v>
      </c>
      <c r="D1706" s="33" t="s">
        <v>2676</v>
      </c>
      <c r="E1706" s="33" t="s">
        <v>1730</v>
      </c>
      <c r="F1706" s="33" t="s">
        <v>1324</v>
      </c>
      <c r="G1706" s="33" t="s">
        <v>2150</v>
      </c>
      <c r="H1706" s="33" t="s">
        <v>2684</v>
      </c>
    </row>
    <row r="1707" spans="1:8" x14ac:dyDescent="0.25">
      <c r="A1707" s="32">
        <v>33070754119</v>
      </c>
      <c r="B1707" s="33" t="s">
        <v>2675</v>
      </c>
      <c r="C1707" s="33" t="s">
        <v>2676</v>
      </c>
      <c r="D1707" s="33" t="s">
        <v>2676</v>
      </c>
      <c r="E1707" s="33" t="s">
        <v>1730</v>
      </c>
      <c r="F1707" s="33" t="s">
        <v>1470</v>
      </c>
      <c r="G1707" s="33" t="s">
        <v>2150</v>
      </c>
      <c r="H1707" s="33" t="s">
        <v>2718</v>
      </c>
    </row>
    <row r="1708" spans="1:8" x14ac:dyDescent="0.25">
      <c r="A1708" s="32">
        <v>33070754120</v>
      </c>
      <c r="B1708" s="33" t="s">
        <v>2675</v>
      </c>
      <c r="C1708" s="33" t="s">
        <v>2676</v>
      </c>
      <c r="D1708" s="33" t="s">
        <v>2676</v>
      </c>
      <c r="E1708" s="33" t="s">
        <v>1730</v>
      </c>
      <c r="F1708" s="33" t="s">
        <v>1274</v>
      </c>
      <c r="G1708" s="33" t="s">
        <v>2150</v>
      </c>
      <c r="H1708" s="33" t="s">
        <v>2719</v>
      </c>
    </row>
    <row r="1709" spans="1:8" x14ac:dyDescent="0.25">
      <c r="A1709" s="32">
        <v>33070754121</v>
      </c>
      <c r="B1709" s="33" t="s">
        <v>2675</v>
      </c>
      <c r="C1709" s="33" t="s">
        <v>2676</v>
      </c>
      <c r="D1709" s="33" t="s">
        <v>2676</v>
      </c>
      <c r="E1709" s="33" t="s">
        <v>1730</v>
      </c>
      <c r="F1709" s="33" t="s">
        <v>1322</v>
      </c>
      <c r="G1709" s="33" t="s">
        <v>2150</v>
      </c>
      <c r="H1709" s="33" t="s">
        <v>1322</v>
      </c>
    </row>
    <row r="1710" spans="1:8" x14ac:dyDescent="0.25">
      <c r="A1710" s="32">
        <v>33070754122</v>
      </c>
      <c r="B1710" s="33" t="s">
        <v>2675</v>
      </c>
      <c r="C1710" s="33" t="s">
        <v>2676</v>
      </c>
      <c r="D1710" s="33" t="s">
        <v>2676</v>
      </c>
      <c r="E1710" s="33" t="s">
        <v>1730</v>
      </c>
      <c r="F1710" s="33" t="s">
        <v>1263</v>
      </c>
      <c r="G1710" s="33" t="s">
        <v>2150</v>
      </c>
      <c r="H1710" s="33" t="s">
        <v>2685</v>
      </c>
    </row>
    <row r="1711" spans="1:8" x14ac:dyDescent="0.25">
      <c r="A1711" s="32">
        <v>33070754123</v>
      </c>
      <c r="B1711" s="33" t="s">
        <v>2675</v>
      </c>
      <c r="C1711" s="33" t="s">
        <v>2676</v>
      </c>
      <c r="D1711" s="33" t="s">
        <v>2676</v>
      </c>
      <c r="E1711" s="33" t="s">
        <v>1730</v>
      </c>
      <c r="F1711" s="33" t="s">
        <v>1467</v>
      </c>
      <c r="G1711" s="33" t="s">
        <v>2150</v>
      </c>
      <c r="H1711" s="33" t="s">
        <v>2679</v>
      </c>
    </row>
    <row r="1712" spans="1:8" x14ac:dyDescent="0.25">
      <c r="A1712" s="32">
        <v>33070754124</v>
      </c>
      <c r="B1712" s="33" t="s">
        <v>2675</v>
      </c>
      <c r="C1712" s="33" t="s">
        <v>2676</v>
      </c>
      <c r="D1712" s="33" t="s">
        <v>2676</v>
      </c>
      <c r="E1712" s="33" t="s">
        <v>1730</v>
      </c>
      <c r="F1712" s="33" t="s">
        <v>981</v>
      </c>
      <c r="G1712" s="33" t="s">
        <v>2150</v>
      </c>
      <c r="H1712" s="33" t="s">
        <v>2717</v>
      </c>
    </row>
    <row r="1713" spans="1:8" x14ac:dyDescent="0.25">
      <c r="A1713" s="32">
        <v>33070754125</v>
      </c>
      <c r="B1713" s="33" t="s">
        <v>2675</v>
      </c>
      <c r="C1713" s="33" t="s">
        <v>2676</v>
      </c>
      <c r="D1713" s="33" t="s">
        <v>2676</v>
      </c>
      <c r="E1713" s="33" t="s">
        <v>1730</v>
      </c>
      <c r="F1713" s="33" t="s">
        <v>1460</v>
      </c>
      <c r="G1713" s="33" t="s">
        <v>2150</v>
      </c>
      <c r="H1713" s="33" t="s">
        <v>733</v>
      </c>
    </row>
    <row r="1714" spans="1:8" x14ac:dyDescent="0.25">
      <c r="A1714" s="31">
        <v>33070754127</v>
      </c>
      <c r="B1714" s="1" t="s">
        <v>2675</v>
      </c>
      <c r="C1714" s="1" t="s">
        <v>2676</v>
      </c>
      <c r="D1714" s="1" t="s">
        <v>2676</v>
      </c>
      <c r="E1714" s="1" t="s">
        <v>1730</v>
      </c>
      <c r="F1714" s="1" t="s">
        <v>902</v>
      </c>
      <c r="G1714" s="1" t="s">
        <v>2150</v>
      </c>
      <c r="H1714" s="1" t="s">
        <v>2677</v>
      </c>
    </row>
    <row r="1715" spans="1:8" x14ac:dyDescent="0.25">
      <c r="A1715" s="32">
        <v>33070754128</v>
      </c>
      <c r="B1715" s="33" t="s">
        <v>2675</v>
      </c>
      <c r="C1715" s="33" t="s">
        <v>1724</v>
      </c>
      <c r="D1715" s="33" t="s">
        <v>1724</v>
      </c>
      <c r="E1715" s="33" t="s">
        <v>1730</v>
      </c>
      <c r="F1715" s="33" t="s">
        <v>1270</v>
      </c>
      <c r="G1715" s="33" t="s">
        <v>2150</v>
      </c>
      <c r="H1715" s="33" t="s">
        <v>2737</v>
      </c>
    </row>
    <row r="1716" spans="1:8" x14ac:dyDescent="0.25">
      <c r="A1716" s="32">
        <v>33070754129</v>
      </c>
      <c r="B1716" s="33" t="s">
        <v>2675</v>
      </c>
      <c r="C1716" s="33" t="s">
        <v>1724</v>
      </c>
      <c r="D1716" s="33" t="s">
        <v>1724</v>
      </c>
      <c r="E1716" s="33" t="s">
        <v>1730</v>
      </c>
      <c r="F1716" s="33" t="s">
        <v>1459</v>
      </c>
      <c r="G1716" s="33" t="s">
        <v>2150</v>
      </c>
      <c r="H1716" s="33" t="s">
        <v>2736</v>
      </c>
    </row>
    <row r="1717" spans="1:8" x14ac:dyDescent="0.25">
      <c r="A1717" s="32">
        <v>33070754130</v>
      </c>
      <c r="B1717" s="33" t="s">
        <v>2675</v>
      </c>
      <c r="C1717" s="33" t="s">
        <v>2676</v>
      </c>
      <c r="D1717" s="33" t="s">
        <v>2676</v>
      </c>
      <c r="E1717" s="33" t="s">
        <v>1730</v>
      </c>
      <c r="F1717" s="33" t="s">
        <v>1464</v>
      </c>
      <c r="G1717" s="33" t="s">
        <v>2150</v>
      </c>
      <c r="H1717" s="33" t="s">
        <v>2710</v>
      </c>
    </row>
    <row r="1718" spans="1:8" x14ac:dyDescent="0.25">
      <c r="A1718" s="32">
        <v>33070754131</v>
      </c>
      <c r="B1718" s="33" t="s">
        <v>2675</v>
      </c>
      <c r="C1718" s="33" t="s">
        <v>2676</v>
      </c>
      <c r="D1718" s="33" t="s">
        <v>2676</v>
      </c>
      <c r="E1718" s="33" t="s">
        <v>1730</v>
      </c>
      <c r="F1718" s="33" t="s">
        <v>1468</v>
      </c>
      <c r="G1718" s="33" t="s">
        <v>2150</v>
      </c>
      <c r="H1718" s="33" t="s">
        <v>2683</v>
      </c>
    </row>
    <row r="1719" spans="1:8" x14ac:dyDescent="0.25">
      <c r="A1719" s="32">
        <v>33070760109</v>
      </c>
      <c r="B1719" s="33" t="s">
        <v>2675</v>
      </c>
      <c r="C1719" s="33" t="s">
        <v>2676</v>
      </c>
      <c r="D1719" s="33" t="s">
        <v>2676</v>
      </c>
      <c r="E1719" s="33" t="s">
        <v>1730</v>
      </c>
      <c r="F1719" s="33" t="s">
        <v>1015</v>
      </c>
      <c r="G1719" s="33" t="s">
        <v>2150</v>
      </c>
      <c r="H1719" s="33" t="s">
        <v>2686</v>
      </c>
    </row>
    <row r="1720" spans="1:8" x14ac:dyDescent="0.25">
      <c r="A1720" s="32">
        <v>33070760110</v>
      </c>
      <c r="B1720" s="33" t="s">
        <v>2675</v>
      </c>
      <c r="C1720" s="33" t="s">
        <v>1724</v>
      </c>
      <c r="D1720" s="33" t="s">
        <v>1724</v>
      </c>
      <c r="E1720" s="33" t="s">
        <v>1730</v>
      </c>
      <c r="F1720" s="33" t="s">
        <v>1345</v>
      </c>
      <c r="G1720" s="33" t="s">
        <v>2150</v>
      </c>
      <c r="H1720" s="33" t="s">
        <v>2732</v>
      </c>
    </row>
    <row r="1721" spans="1:8" x14ac:dyDescent="0.25">
      <c r="A1721" s="31">
        <v>33070760266</v>
      </c>
      <c r="B1721" s="1" t="s">
        <v>2675</v>
      </c>
      <c r="C1721" s="1" t="s">
        <v>2676</v>
      </c>
      <c r="D1721" s="1" t="s">
        <v>2676</v>
      </c>
      <c r="E1721" s="1" t="s">
        <v>1730</v>
      </c>
      <c r="F1721" s="1" t="s">
        <v>1011</v>
      </c>
      <c r="G1721" s="1" t="s">
        <v>2150</v>
      </c>
      <c r="H1721" s="1" t="s">
        <v>2715</v>
      </c>
    </row>
    <row r="1722" spans="1:8" x14ac:dyDescent="0.25">
      <c r="A1722" s="31">
        <v>33070760267</v>
      </c>
      <c r="B1722" s="1" t="s">
        <v>2675</v>
      </c>
      <c r="C1722" s="1" t="s">
        <v>2676</v>
      </c>
      <c r="D1722" s="1" t="s">
        <v>2676</v>
      </c>
      <c r="E1722" s="1" t="s">
        <v>1730</v>
      </c>
      <c r="F1722" s="1" t="s">
        <v>953</v>
      </c>
      <c r="G1722" s="1" t="s">
        <v>2150</v>
      </c>
      <c r="H1722" s="1" t="s">
        <v>2695</v>
      </c>
    </row>
    <row r="1723" spans="1:8" x14ac:dyDescent="0.25">
      <c r="A1723" s="31">
        <v>33070760268</v>
      </c>
      <c r="B1723" s="1" t="s">
        <v>2675</v>
      </c>
      <c r="C1723" s="1" t="s">
        <v>1724</v>
      </c>
      <c r="D1723" s="1" t="s">
        <v>1724</v>
      </c>
      <c r="E1723" s="1" t="s">
        <v>1730</v>
      </c>
      <c r="F1723" s="1" t="s">
        <v>1320</v>
      </c>
      <c r="G1723" s="1" t="s">
        <v>2150</v>
      </c>
      <c r="H1723" s="1" t="s">
        <v>2741</v>
      </c>
    </row>
    <row r="1724" spans="1:8" x14ac:dyDescent="0.25">
      <c r="A1724" s="31">
        <v>33070760269</v>
      </c>
      <c r="B1724" s="1" t="s">
        <v>2675</v>
      </c>
      <c r="C1724" s="1" t="s">
        <v>1724</v>
      </c>
      <c r="D1724" s="1" t="s">
        <v>1724</v>
      </c>
      <c r="E1724" s="1" t="s">
        <v>1730</v>
      </c>
      <c r="F1724" s="1" t="s">
        <v>1321</v>
      </c>
      <c r="G1724" s="1" t="s">
        <v>2150</v>
      </c>
      <c r="H1724" s="1" t="s">
        <v>773</v>
      </c>
    </row>
    <row r="1725" spans="1:8" x14ac:dyDescent="0.25">
      <c r="A1725" s="31">
        <v>33070760270</v>
      </c>
      <c r="B1725" s="1" t="s">
        <v>2675</v>
      </c>
      <c r="C1725" s="1" t="s">
        <v>2676</v>
      </c>
      <c r="D1725" s="1" t="s">
        <v>2676</v>
      </c>
      <c r="E1725" s="1" t="s">
        <v>1730</v>
      </c>
      <c r="F1725" s="1" t="s">
        <v>970</v>
      </c>
      <c r="G1725" s="1" t="s">
        <v>2150</v>
      </c>
      <c r="H1725" s="1" t="s">
        <v>2682</v>
      </c>
    </row>
    <row r="1726" spans="1:8" x14ac:dyDescent="0.25">
      <c r="A1726" s="32">
        <v>33070760826</v>
      </c>
      <c r="B1726" s="33" t="s">
        <v>2675</v>
      </c>
      <c r="C1726" s="33" t="s">
        <v>1724</v>
      </c>
      <c r="D1726" s="33" t="s">
        <v>1724</v>
      </c>
      <c r="E1726" s="33" t="s">
        <v>1730</v>
      </c>
      <c r="F1726" s="33" t="s">
        <v>1344</v>
      </c>
      <c r="G1726" s="33" t="s">
        <v>2150</v>
      </c>
      <c r="H1726" s="33" t="s">
        <v>2731</v>
      </c>
    </row>
    <row r="1727" spans="1:8" x14ac:dyDescent="0.25">
      <c r="A1727" s="32">
        <v>33070763416</v>
      </c>
      <c r="B1727" s="33" t="s">
        <v>2675</v>
      </c>
      <c r="C1727" s="33" t="s">
        <v>1724</v>
      </c>
      <c r="D1727" s="33" t="s">
        <v>1724</v>
      </c>
      <c r="E1727" s="33" t="s">
        <v>1730</v>
      </c>
      <c r="F1727" s="33" t="s">
        <v>1281</v>
      </c>
      <c r="G1727" s="33" t="s">
        <v>2150</v>
      </c>
      <c r="H1727" s="33" t="s">
        <v>2723</v>
      </c>
    </row>
    <row r="1728" spans="1:8" x14ac:dyDescent="0.25">
      <c r="A1728" s="32">
        <v>33070763417</v>
      </c>
      <c r="B1728" s="33" t="s">
        <v>2675</v>
      </c>
      <c r="C1728" s="33" t="s">
        <v>1724</v>
      </c>
      <c r="D1728" s="33" t="s">
        <v>1724</v>
      </c>
      <c r="E1728" s="33" t="s">
        <v>1730</v>
      </c>
      <c r="F1728" s="33" t="s">
        <v>1282</v>
      </c>
      <c r="G1728" s="33" t="s">
        <v>2150</v>
      </c>
      <c r="H1728" s="33" t="s">
        <v>2723</v>
      </c>
    </row>
    <row r="1729" spans="1:8" x14ac:dyDescent="0.25">
      <c r="A1729" s="62">
        <v>33070763418</v>
      </c>
      <c r="B1729" s="63" t="s">
        <v>2675</v>
      </c>
      <c r="C1729" s="63" t="s">
        <v>1724</v>
      </c>
      <c r="D1729" s="63" t="s">
        <v>1724</v>
      </c>
      <c r="E1729" s="63" t="s">
        <v>1730</v>
      </c>
      <c r="F1729" s="63" t="s">
        <v>1284</v>
      </c>
      <c r="G1729" s="63" t="s">
        <v>2150</v>
      </c>
      <c r="H1729" s="63" t="s">
        <v>2723</v>
      </c>
    </row>
    <row r="1730" spans="1:8" x14ac:dyDescent="0.25">
      <c r="A1730" s="31">
        <v>33070763419</v>
      </c>
      <c r="B1730" s="1" t="s">
        <v>2675</v>
      </c>
      <c r="C1730" s="1" t="s">
        <v>1724</v>
      </c>
      <c r="D1730" s="1" t="s">
        <v>1724</v>
      </c>
      <c r="E1730" s="1" t="s">
        <v>1730</v>
      </c>
      <c r="F1730" s="1" t="s">
        <v>1280</v>
      </c>
      <c r="G1730" s="1" t="s">
        <v>2150</v>
      </c>
      <c r="H1730" s="1" t="s">
        <v>2723</v>
      </c>
    </row>
    <row r="1731" spans="1:8" x14ac:dyDescent="0.25">
      <c r="A1731" s="32">
        <v>33070763420</v>
      </c>
      <c r="B1731" s="33" t="s">
        <v>2675</v>
      </c>
      <c r="C1731" s="33" t="s">
        <v>1724</v>
      </c>
      <c r="D1731" s="33" t="s">
        <v>1724</v>
      </c>
      <c r="E1731" s="33" t="s">
        <v>1730</v>
      </c>
      <c r="F1731" s="33" t="s">
        <v>1283</v>
      </c>
      <c r="G1731" s="33" t="s">
        <v>2150</v>
      </c>
      <c r="H1731" s="33" t="s">
        <v>2723</v>
      </c>
    </row>
    <row r="1732" spans="1:8" x14ac:dyDescent="0.25">
      <c r="A1732" s="32">
        <v>33070763421</v>
      </c>
      <c r="B1732" s="33" t="s">
        <v>2675</v>
      </c>
      <c r="C1732" s="33" t="s">
        <v>1724</v>
      </c>
      <c r="D1732" s="33" t="s">
        <v>1724</v>
      </c>
      <c r="E1732" s="33" t="s">
        <v>1730</v>
      </c>
      <c r="F1732" s="33" t="s">
        <v>1286</v>
      </c>
      <c r="G1732" s="33" t="s">
        <v>2150</v>
      </c>
      <c r="H1732" s="33" t="s">
        <v>2724</v>
      </c>
    </row>
    <row r="1733" spans="1:8" x14ac:dyDescent="0.25">
      <c r="A1733" s="32">
        <v>33070763422</v>
      </c>
      <c r="B1733" s="33" t="s">
        <v>2675</v>
      </c>
      <c r="C1733" s="33" t="s">
        <v>1724</v>
      </c>
      <c r="D1733" s="33" t="s">
        <v>1724</v>
      </c>
      <c r="E1733" s="33" t="s">
        <v>1730</v>
      </c>
      <c r="F1733" s="33" t="s">
        <v>1287</v>
      </c>
      <c r="G1733" s="33" t="s">
        <v>2150</v>
      </c>
      <c r="H1733" s="33" t="s">
        <v>2724</v>
      </c>
    </row>
    <row r="1734" spans="1:8" x14ac:dyDescent="0.25">
      <c r="A1734" s="32">
        <v>33070763423</v>
      </c>
      <c r="B1734" s="33" t="s">
        <v>2675</v>
      </c>
      <c r="C1734" s="33" t="s">
        <v>1724</v>
      </c>
      <c r="D1734" s="33" t="s">
        <v>1724</v>
      </c>
      <c r="E1734" s="33" t="s">
        <v>1730</v>
      </c>
      <c r="F1734" s="33" t="s">
        <v>1289</v>
      </c>
      <c r="G1734" s="33" t="s">
        <v>2150</v>
      </c>
      <c r="H1734" s="33" t="s">
        <v>2724</v>
      </c>
    </row>
    <row r="1735" spans="1:8" x14ac:dyDescent="0.25">
      <c r="A1735" s="32">
        <v>33070763424</v>
      </c>
      <c r="B1735" s="33" t="s">
        <v>2675</v>
      </c>
      <c r="C1735" s="33" t="s">
        <v>1724</v>
      </c>
      <c r="D1735" s="33" t="s">
        <v>1724</v>
      </c>
      <c r="E1735" s="33" t="s">
        <v>1730</v>
      </c>
      <c r="F1735" s="33" t="s">
        <v>1285</v>
      </c>
      <c r="G1735" s="33" t="s">
        <v>2150</v>
      </c>
      <c r="H1735" s="33" t="s">
        <v>2724</v>
      </c>
    </row>
    <row r="1736" spans="1:8" x14ac:dyDescent="0.25">
      <c r="A1736" s="32">
        <v>33070763425</v>
      </c>
      <c r="B1736" s="33" t="s">
        <v>2675</v>
      </c>
      <c r="C1736" s="33" t="s">
        <v>1724</v>
      </c>
      <c r="D1736" s="33" t="s">
        <v>1724</v>
      </c>
      <c r="E1736" s="33" t="s">
        <v>1730</v>
      </c>
      <c r="F1736" s="33" t="s">
        <v>1288</v>
      </c>
      <c r="G1736" s="33" t="s">
        <v>2150</v>
      </c>
      <c r="H1736" s="33" t="s">
        <v>2724</v>
      </c>
    </row>
    <row r="1737" spans="1:8" x14ac:dyDescent="0.25">
      <c r="A1737" s="32">
        <v>33070763426</v>
      </c>
      <c r="B1737" s="33" t="s">
        <v>2675</v>
      </c>
      <c r="C1737" s="33" t="s">
        <v>1724</v>
      </c>
      <c r="D1737" s="33" t="s">
        <v>1724</v>
      </c>
      <c r="E1737" s="33" t="s">
        <v>1730</v>
      </c>
      <c r="F1737" s="33" t="s">
        <v>1291</v>
      </c>
      <c r="G1737" s="33" t="s">
        <v>2150</v>
      </c>
      <c r="H1737" s="33" t="s">
        <v>2725</v>
      </c>
    </row>
    <row r="1738" spans="1:8" x14ac:dyDescent="0.25">
      <c r="A1738" s="32">
        <v>33070763427</v>
      </c>
      <c r="B1738" s="33" t="s">
        <v>2675</v>
      </c>
      <c r="C1738" s="33" t="s">
        <v>1724</v>
      </c>
      <c r="D1738" s="33" t="s">
        <v>1724</v>
      </c>
      <c r="E1738" s="33" t="s">
        <v>1730</v>
      </c>
      <c r="F1738" s="33" t="s">
        <v>1292</v>
      </c>
      <c r="G1738" s="33" t="s">
        <v>2150</v>
      </c>
      <c r="H1738" s="33" t="s">
        <v>2725</v>
      </c>
    </row>
    <row r="1739" spans="1:8" x14ac:dyDescent="0.25">
      <c r="A1739" s="32">
        <v>33070763428</v>
      </c>
      <c r="B1739" s="33" t="s">
        <v>2675</v>
      </c>
      <c r="C1739" s="33" t="s">
        <v>1724</v>
      </c>
      <c r="D1739" s="33" t="s">
        <v>1724</v>
      </c>
      <c r="E1739" s="33" t="s">
        <v>1730</v>
      </c>
      <c r="F1739" s="33" t="s">
        <v>1294</v>
      </c>
      <c r="G1739" s="33" t="s">
        <v>2150</v>
      </c>
      <c r="H1739" s="33" t="s">
        <v>2725</v>
      </c>
    </row>
    <row r="1740" spans="1:8" x14ac:dyDescent="0.25">
      <c r="A1740" s="32">
        <v>33070763429</v>
      </c>
      <c r="B1740" s="33" t="s">
        <v>2675</v>
      </c>
      <c r="C1740" s="33" t="s">
        <v>1724</v>
      </c>
      <c r="D1740" s="33" t="s">
        <v>1724</v>
      </c>
      <c r="E1740" s="33" t="s">
        <v>1730</v>
      </c>
      <c r="F1740" s="33" t="s">
        <v>1290</v>
      </c>
      <c r="G1740" s="33" t="s">
        <v>2150</v>
      </c>
      <c r="H1740" s="33" t="s">
        <v>2725</v>
      </c>
    </row>
    <row r="1741" spans="1:8" x14ac:dyDescent="0.25">
      <c r="A1741" s="32">
        <v>33070763430</v>
      </c>
      <c r="B1741" s="33" t="s">
        <v>2675</v>
      </c>
      <c r="C1741" s="33" t="s">
        <v>1724</v>
      </c>
      <c r="D1741" s="33" t="s">
        <v>1724</v>
      </c>
      <c r="E1741" s="33" t="s">
        <v>1730</v>
      </c>
      <c r="F1741" s="33" t="s">
        <v>1293</v>
      </c>
      <c r="G1741" s="33" t="s">
        <v>2150</v>
      </c>
      <c r="H1741" s="33" t="s">
        <v>2725</v>
      </c>
    </row>
    <row r="1742" spans="1:8" x14ac:dyDescent="0.25">
      <c r="A1742" s="32">
        <v>33070763431</v>
      </c>
      <c r="B1742" s="33" t="s">
        <v>2675</v>
      </c>
      <c r="C1742" s="33" t="s">
        <v>1724</v>
      </c>
      <c r="D1742" s="33" t="s">
        <v>1724</v>
      </c>
      <c r="E1742" s="33" t="s">
        <v>1730</v>
      </c>
      <c r="F1742" s="33" t="s">
        <v>1275</v>
      </c>
      <c r="G1742" s="33" t="s">
        <v>2150</v>
      </c>
      <c r="H1742" s="33" t="s">
        <v>2721</v>
      </c>
    </row>
    <row r="1743" spans="1:8" x14ac:dyDescent="0.25">
      <c r="A1743" s="32">
        <v>33070763432</v>
      </c>
      <c r="B1743" s="33" t="s">
        <v>2675</v>
      </c>
      <c r="C1743" s="33" t="s">
        <v>1724</v>
      </c>
      <c r="D1743" s="33" t="s">
        <v>1724</v>
      </c>
      <c r="E1743" s="33" t="s">
        <v>1730</v>
      </c>
      <c r="F1743" s="33" t="s">
        <v>1277</v>
      </c>
      <c r="G1743" s="33" t="s">
        <v>2150</v>
      </c>
      <c r="H1743" s="33" t="s">
        <v>2721</v>
      </c>
    </row>
    <row r="1744" spans="1:8" x14ac:dyDescent="0.25">
      <c r="A1744" s="32">
        <v>33070763433</v>
      </c>
      <c r="B1744" s="33" t="s">
        <v>2675</v>
      </c>
      <c r="C1744" s="33" t="s">
        <v>1724</v>
      </c>
      <c r="D1744" s="33" t="s">
        <v>1724</v>
      </c>
      <c r="E1744" s="33" t="s">
        <v>1730</v>
      </c>
      <c r="F1744" s="33" t="s">
        <v>1276</v>
      </c>
      <c r="G1744" s="33" t="s">
        <v>2150</v>
      </c>
      <c r="H1744" s="33" t="s">
        <v>2721</v>
      </c>
    </row>
    <row r="1745" spans="1:8" x14ac:dyDescent="0.25">
      <c r="A1745" s="31">
        <v>33070763434</v>
      </c>
      <c r="B1745" s="1" t="s">
        <v>2675</v>
      </c>
      <c r="C1745" s="1" t="s">
        <v>1724</v>
      </c>
      <c r="D1745" s="1" t="s">
        <v>1724</v>
      </c>
      <c r="E1745" s="1" t="s">
        <v>1730</v>
      </c>
      <c r="F1745" s="1" t="s">
        <v>1279</v>
      </c>
      <c r="G1745" s="1" t="s">
        <v>2150</v>
      </c>
      <c r="H1745" s="1" t="s">
        <v>2722</v>
      </c>
    </row>
    <row r="1746" spans="1:8" x14ac:dyDescent="0.25">
      <c r="A1746" s="31">
        <v>33070763435</v>
      </c>
      <c r="B1746" s="1" t="s">
        <v>2675</v>
      </c>
      <c r="C1746" s="1" t="s">
        <v>1724</v>
      </c>
      <c r="D1746" s="1" t="s">
        <v>1724</v>
      </c>
      <c r="E1746" s="1" t="s">
        <v>1730</v>
      </c>
      <c r="F1746" s="1" t="s">
        <v>1278</v>
      </c>
      <c r="G1746" s="1" t="s">
        <v>2150</v>
      </c>
      <c r="H1746" s="1" t="s">
        <v>2722</v>
      </c>
    </row>
    <row r="1747" spans="1:8" x14ac:dyDescent="0.25">
      <c r="A1747" s="31">
        <v>33070763436</v>
      </c>
      <c r="B1747" s="1" t="s">
        <v>2675</v>
      </c>
      <c r="C1747" s="1" t="s">
        <v>1724</v>
      </c>
      <c r="D1747" s="1" t="s">
        <v>1724</v>
      </c>
      <c r="E1747" s="1" t="s">
        <v>1730</v>
      </c>
      <c r="F1747" s="1" t="s">
        <v>1301</v>
      </c>
      <c r="G1747" s="1" t="s">
        <v>2150</v>
      </c>
      <c r="H1747" s="1" t="s">
        <v>2728</v>
      </c>
    </row>
    <row r="1748" spans="1:8" x14ac:dyDescent="0.25">
      <c r="A1748" s="31">
        <v>33070763437</v>
      </c>
      <c r="B1748" s="1" t="s">
        <v>2675</v>
      </c>
      <c r="C1748" s="1" t="s">
        <v>1724</v>
      </c>
      <c r="D1748" s="1" t="s">
        <v>1724</v>
      </c>
      <c r="E1748" s="1" t="s">
        <v>1730</v>
      </c>
      <c r="F1748" s="1" t="s">
        <v>1302</v>
      </c>
      <c r="G1748" s="1" t="s">
        <v>2150</v>
      </c>
      <c r="H1748" s="1" t="s">
        <v>2728</v>
      </c>
    </row>
    <row r="1749" spans="1:8" x14ac:dyDescent="0.25">
      <c r="A1749" s="32">
        <v>33070763438</v>
      </c>
      <c r="B1749" s="33" t="s">
        <v>2675</v>
      </c>
      <c r="C1749" s="33" t="s">
        <v>1724</v>
      </c>
      <c r="D1749" s="33" t="s">
        <v>1724</v>
      </c>
      <c r="E1749" s="33" t="s">
        <v>1730</v>
      </c>
      <c r="F1749" s="33" t="s">
        <v>1304</v>
      </c>
      <c r="G1749" s="33" t="s">
        <v>2150</v>
      </c>
      <c r="H1749" s="33" t="s">
        <v>2728</v>
      </c>
    </row>
    <row r="1750" spans="1:8" x14ac:dyDescent="0.25">
      <c r="A1750" s="32">
        <v>33070763439</v>
      </c>
      <c r="B1750" s="33" t="s">
        <v>2675</v>
      </c>
      <c r="C1750" s="33" t="s">
        <v>1724</v>
      </c>
      <c r="D1750" s="33" t="s">
        <v>1724</v>
      </c>
      <c r="E1750" s="33" t="s">
        <v>1730</v>
      </c>
      <c r="F1750" s="33" t="s">
        <v>1300</v>
      </c>
      <c r="G1750" s="33" t="s">
        <v>2150</v>
      </c>
      <c r="H1750" s="33" t="s">
        <v>2728</v>
      </c>
    </row>
    <row r="1751" spans="1:8" x14ac:dyDescent="0.25">
      <c r="A1751" s="32">
        <v>33070763440</v>
      </c>
      <c r="B1751" s="33" t="s">
        <v>2675</v>
      </c>
      <c r="C1751" s="33" t="s">
        <v>1724</v>
      </c>
      <c r="D1751" s="33" t="s">
        <v>1724</v>
      </c>
      <c r="E1751" s="33" t="s">
        <v>1730</v>
      </c>
      <c r="F1751" s="33" t="s">
        <v>1303</v>
      </c>
      <c r="G1751" s="33" t="s">
        <v>2150</v>
      </c>
      <c r="H1751" s="33" t="s">
        <v>2728</v>
      </c>
    </row>
    <row r="1752" spans="1:8" x14ac:dyDescent="0.25">
      <c r="A1752" s="32">
        <v>33070763441</v>
      </c>
      <c r="B1752" s="33" t="s">
        <v>2675</v>
      </c>
      <c r="C1752" s="33" t="s">
        <v>1724</v>
      </c>
      <c r="D1752" s="33" t="s">
        <v>1724</v>
      </c>
      <c r="E1752" s="33" t="s">
        <v>1730</v>
      </c>
      <c r="F1752" s="33" t="s">
        <v>1306</v>
      </c>
      <c r="G1752" s="33" t="s">
        <v>2150</v>
      </c>
      <c r="H1752" s="33" t="s">
        <v>2729</v>
      </c>
    </row>
    <row r="1753" spans="1:8" x14ac:dyDescent="0.25">
      <c r="A1753" s="32">
        <v>33070763442</v>
      </c>
      <c r="B1753" s="33" t="s">
        <v>2675</v>
      </c>
      <c r="C1753" s="33" t="s">
        <v>1724</v>
      </c>
      <c r="D1753" s="33" t="s">
        <v>1724</v>
      </c>
      <c r="E1753" s="33" t="s">
        <v>1730</v>
      </c>
      <c r="F1753" s="33" t="s">
        <v>1307</v>
      </c>
      <c r="G1753" s="33" t="s">
        <v>2150</v>
      </c>
      <c r="H1753" s="33" t="s">
        <v>2729</v>
      </c>
    </row>
    <row r="1754" spans="1:8" x14ac:dyDescent="0.25">
      <c r="A1754" s="32">
        <v>33070763443</v>
      </c>
      <c r="B1754" s="33" t="s">
        <v>2675</v>
      </c>
      <c r="C1754" s="33" t="s">
        <v>1724</v>
      </c>
      <c r="D1754" s="33" t="s">
        <v>1724</v>
      </c>
      <c r="E1754" s="33" t="s">
        <v>1730</v>
      </c>
      <c r="F1754" s="33" t="s">
        <v>1309</v>
      </c>
      <c r="G1754" s="33" t="s">
        <v>2150</v>
      </c>
      <c r="H1754" s="33" t="s">
        <v>2729</v>
      </c>
    </row>
    <row r="1755" spans="1:8" x14ac:dyDescent="0.25">
      <c r="A1755" s="32">
        <v>33070763444</v>
      </c>
      <c r="B1755" s="33" t="s">
        <v>2675</v>
      </c>
      <c r="C1755" s="33" t="s">
        <v>1724</v>
      </c>
      <c r="D1755" s="33" t="s">
        <v>1724</v>
      </c>
      <c r="E1755" s="33" t="s">
        <v>1730</v>
      </c>
      <c r="F1755" s="33" t="s">
        <v>1305</v>
      </c>
      <c r="G1755" s="33" t="s">
        <v>2150</v>
      </c>
      <c r="H1755" s="33" t="s">
        <v>2729</v>
      </c>
    </row>
    <row r="1756" spans="1:8" x14ac:dyDescent="0.25">
      <c r="A1756" s="32">
        <v>33070763445</v>
      </c>
      <c r="B1756" s="33" t="s">
        <v>2675</v>
      </c>
      <c r="C1756" s="33" t="s">
        <v>1724</v>
      </c>
      <c r="D1756" s="33" t="s">
        <v>1724</v>
      </c>
      <c r="E1756" s="33" t="s">
        <v>1730</v>
      </c>
      <c r="F1756" s="33" t="s">
        <v>1308</v>
      </c>
      <c r="G1756" s="33" t="s">
        <v>2150</v>
      </c>
      <c r="H1756" s="33" t="s">
        <v>2729</v>
      </c>
    </row>
    <row r="1757" spans="1:8" x14ac:dyDescent="0.25">
      <c r="A1757" s="32">
        <v>33070763446</v>
      </c>
      <c r="B1757" s="33" t="s">
        <v>2675</v>
      </c>
      <c r="C1757" s="33" t="s">
        <v>1724</v>
      </c>
      <c r="D1757" s="33" t="s">
        <v>1724</v>
      </c>
      <c r="E1757" s="33" t="s">
        <v>1730</v>
      </c>
      <c r="F1757" s="33" t="s">
        <v>1311</v>
      </c>
      <c r="G1757" s="33" t="s">
        <v>2150</v>
      </c>
      <c r="H1757" s="33" t="s">
        <v>2730</v>
      </c>
    </row>
    <row r="1758" spans="1:8" x14ac:dyDescent="0.25">
      <c r="A1758" s="32">
        <v>33070763447</v>
      </c>
      <c r="B1758" s="33" t="s">
        <v>2675</v>
      </c>
      <c r="C1758" s="33" t="s">
        <v>1724</v>
      </c>
      <c r="D1758" s="33" t="s">
        <v>1724</v>
      </c>
      <c r="E1758" s="33" t="s">
        <v>1730</v>
      </c>
      <c r="F1758" s="33" t="s">
        <v>1312</v>
      </c>
      <c r="G1758" s="33" t="s">
        <v>2150</v>
      </c>
      <c r="H1758" s="33" t="s">
        <v>2730</v>
      </c>
    </row>
    <row r="1759" spans="1:8" x14ac:dyDescent="0.25">
      <c r="A1759" s="31">
        <v>33070763448</v>
      </c>
      <c r="B1759" s="1" t="s">
        <v>2675</v>
      </c>
      <c r="C1759" s="1" t="s">
        <v>1724</v>
      </c>
      <c r="D1759" s="1" t="s">
        <v>1724</v>
      </c>
      <c r="E1759" s="1" t="s">
        <v>1730</v>
      </c>
      <c r="F1759" s="1" t="s">
        <v>1314</v>
      </c>
      <c r="G1759" s="1" t="s">
        <v>2150</v>
      </c>
      <c r="H1759" s="1" t="s">
        <v>2730</v>
      </c>
    </row>
    <row r="1760" spans="1:8" x14ac:dyDescent="0.25">
      <c r="A1760" s="32">
        <v>33070763449</v>
      </c>
      <c r="B1760" s="33" t="s">
        <v>2675</v>
      </c>
      <c r="C1760" s="33" t="s">
        <v>1724</v>
      </c>
      <c r="D1760" s="33" t="s">
        <v>1724</v>
      </c>
      <c r="E1760" s="33" t="s">
        <v>1730</v>
      </c>
      <c r="F1760" s="33" t="s">
        <v>1310</v>
      </c>
      <c r="G1760" s="33" t="s">
        <v>2150</v>
      </c>
      <c r="H1760" s="33" t="s">
        <v>2730</v>
      </c>
    </row>
    <row r="1761" spans="1:8" x14ac:dyDescent="0.25">
      <c r="A1761" s="32">
        <v>33070763450</v>
      </c>
      <c r="B1761" s="33" t="s">
        <v>2675</v>
      </c>
      <c r="C1761" s="33" t="s">
        <v>1724</v>
      </c>
      <c r="D1761" s="33" t="s">
        <v>1724</v>
      </c>
      <c r="E1761" s="33" t="s">
        <v>1730</v>
      </c>
      <c r="F1761" s="33" t="s">
        <v>1313</v>
      </c>
      <c r="G1761" s="33" t="s">
        <v>2150</v>
      </c>
      <c r="H1761" s="33" t="s">
        <v>2730</v>
      </c>
    </row>
    <row r="1762" spans="1:8" x14ac:dyDescent="0.25">
      <c r="A1762" s="32">
        <v>33070763451</v>
      </c>
      <c r="B1762" s="33" t="s">
        <v>2675</v>
      </c>
      <c r="C1762" s="33" t="s">
        <v>1724</v>
      </c>
      <c r="D1762" s="33" t="s">
        <v>1724</v>
      </c>
      <c r="E1762" s="33" t="s">
        <v>1730</v>
      </c>
      <c r="F1762" s="33" t="s">
        <v>1296</v>
      </c>
      <c r="G1762" s="33" t="s">
        <v>2150</v>
      </c>
      <c r="H1762" s="33" t="s">
        <v>2726</v>
      </c>
    </row>
    <row r="1763" spans="1:8" x14ac:dyDescent="0.25">
      <c r="A1763" s="32">
        <v>33070763452</v>
      </c>
      <c r="B1763" s="33" t="s">
        <v>2675</v>
      </c>
      <c r="C1763" s="33" t="s">
        <v>1724</v>
      </c>
      <c r="D1763" s="33" t="s">
        <v>1724</v>
      </c>
      <c r="E1763" s="33" t="s">
        <v>1730</v>
      </c>
      <c r="F1763" s="33" t="s">
        <v>1295</v>
      </c>
      <c r="G1763" s="33" t="s">
        <v>2150</v>
      </c>
      <c r="H1763" s="33" t="s">
        <v>2726</v>
      </c>
    </row>
    <row r="1764" spans="1:8" x14ac:dyDescent="0.25">
      <c r="A1764" s="32">
        <v>33070763453</v>
      </c>
      <c r="B1764" s="33" t="s">
        <v>2675</v>
      </c>
      <c r="C1764" s="33" t="s">
        <v>1724</v>
      </c>
      <c r="D1764" s="33" t="s">
        <v>1724</v>
      </c>
      <c r="E1764" s="33" t="s">
        <v>1730</v>
      </c>
      <c r="F1764" s="33" t="s">
        <v>1297</v>
      </c>
      <c r="G1764" s="33" t="s">
        <v>2150</v>
      </c>
      <c r="H1764" s="33" t="s">
        <v>2727</v>
      </c>
    </row>
    <row r="1765" spans="1:8" x14ac:dyDescent="0.25">
      <c r="A1765" s="32">
        <v>33070763454</v>
      </c>
      <c r="B1765" s="33" t="s">
        <v>2675</v>
      </c>
      <c r="C1765" s="33" t="s">
        <v>1724</v>
      </c>
      <c r="D1765" s="33" t="s">
        <v>1724</v>
      </c>
      <c r="E1765" s="33" t="s">
        <v>1730</v>
      </c>
      <c r="F1765" s="33" t="s">
        <v>1299</v>
      </c>
      <c r="G1765" s="33" t="s">
        <v>2150</v>
      </c>
      <c r="H1765" s="33" t="s">
        <v>2727</v>
      </c>
    </row>
    <row r="1766" spans="1:8" x14ac:dyDescent="0.25">
      <c r="A1766" s="32">
        <v>33070763455</v>
      </c>
      <c r="B1766" s="33" t="s">
        <v>2675</v>
      </c>
      <c r="C1766" s="33" t="s">
        <v>1724</v>
      </c>
      <c r="D1766" s="33" t="s">
        <v>1724</v>
      </c>
      <c r="E1766" s="33" t="s">
        <v>1730</v>
      </c>
      <c r="F1766" s="33" t="s">
        <v>1298</v>
      </c>
      <c r="G1766" s="33" t="s">
        <v>2150</v>
      </c>
      <c r="H1766" s="33" t="s">
        <v>2727</v>
      </c>
    </row>
    <row r="1767" spans="1:8" x14ac:dyDescent="0.25">
      <c r="A1767" s="32">
        <v>33070763456</v>
      </c>
      <c r="B1767" s="33" t="s">
        <v>2675</v>
      </c>
      <c r="C1767" s="33" t="s">
        <v>2676</v>
      </c>
      <c r="D1767" s="33" t="s">
        <v>2676</v>
      </c>
      <c r="E1767" s="33" t="s">
        <v>1730</v>
      </c>
      <c r="F1767" s="33" t="s">
        <v>1269</v>
      </c>
      <c r="G1767" s="33" t="s">
        <v>2150</v>
      </c>
      <c r="H1767" s="33" t="s">
        <v>2713</v>
      </c>
    </row>
    <row r="1768" spans="1:8" x14ac:dyDescent="0.25">
      <c r="A1768" s="32">
        <v>33100062759</v>
      </c>
      <c r="B1768" s="33" t="s">
        <v>1737</v>
      </c>
      <c r="C1768" s="33" t="s">
        <v>1722</v>
      </c>
      <c r="D1768" s="33" t="s">
        <v>1746</v>
      </c>
      <c r="E1768" s="33" t="s">
        <v>1730</v>
      </c>
      <c r="F1768" s="33" t="s">
        <v>947</v>
      </c>
      <c r="G1768" s="33" t="s">
        <v>1732</v>
      </c>
      <c r="H1768" s="33" t="s">
        <v>947</v>
      </c>
    </row>
    <row r="1769" spans="1:8" x14ac:dyDescent="0.25">
      <c r="A1769" s="32">
        <v>33100262754</v>
      </c>
      <c r="B1769" s="33" t="s">
        <v>1737</v>
      </c>
      <c r="C1769" s="33" t="s">
        <v>1722</v>
      </c>
      <c r="D1769" s="33" t="s">
        <v>2263</v>
      </c>
      <c r="E1769" s="33" t="s">
        <v>1730</v>
      </c>
      <c r="F1769" s="33" t="s">
        <v>1436</v>
      </c>
      <c r="G1769" s="33" t="s">
        <v>1732</v>
      </c>
      <c r="H1769" s="33" t="s">
        <v>1436</v>
      </c>
    </row>
    <row r="1770" spans="1:8" x14ac:dyDescent="0.25">
      <c r="A1770" s="32">
        <v>33100262755</v>
      </c>
      <c r="B1770" s="33" t="s">
        <v>1737</v>
      </c>
      <c r="C1770" s="33" t="s">
        <v>1722</v>
      </c>
      <c r="D1770" s="33" t="s">
        <v>2263</v>
      </c>
      <c r="E1770" s="33" t="s">
        <v>1730</v>
      </c>
      <c r="F1770" s="33" t="s">
        <v>1437</v>
      </c>
      <c r="G1770" s="33" t="s">
        <v>1732</v>
      </c>
      <c r="H1770" s="33" t="s">
        <v>1437</v>
      </c>
    </row>
    <row r="1771" spans="1:8" x14ac:dyDescent="0.25">
      <c r="A1771" s="32">
        <v>33100262756</v>
      </c>
      <c r="B1771" s="33" t="s">
        <v>1737</v>
      </c>
      <c r="C1771" s="33" t="s">
        <v>1722</v>
      </c>
      <c r="D1771" s="33" t="s">
        <v>2263</v>
      </c>
      <c r="E1771" s="33" t="s">
        <v>1730</v>
      </c>
      <c r="F1771" s="33" t="s">
        <v>897</v>
      </c>
      <c r="G1771" s="33" t="s">
        <v>1732</v>
      </c>
      <c r="H1771" s="33" t="s">
        <v>897</v>
      </c>
    </row>
    <row r="1772" spans="1:8" x14ac:dyDescent="0.25">
      <c r="A1772" s="32">
        <v>33100262757</v>
      </c>
      <c r="B1772" s="33" t="s">
        <v>1737</v>
      </c>
      <c r="C1772" s="33" t="s">
        <v>1722</v>
      </c>
      <c r="D1772" s="33" t="s">
        <v>2263</v>
      </c>
      <c r="E1772" s="33" t="s">
        <v>1730</v>
      </c>
      <c r="F1772" s="33" t="s">
        <v>894</v>
      </c>
      <c r="G1772" s="33" t="s">
        <v>1732</v>
      </c>
      <c r="H1772" s="33" t="s">
        <v>894</v>
      </c>
    </row>
    <row r="1773" spans="1:8" x14ac:dyDescent="0.25">
      <c r="A1773" s="32">
        <v>33100262758</v>
      </c>
      <c r="B1773" s="33" t="s">
        <v>1737</v>
      </c>
      <c r="C1773" s="33" t="s">
        <v>1722</v>
      </c>
      <c r="D1773" s="33" t="s">
        <v>2263</v>
      </c>
      <c r="E1773" s="33" t="s">
        <v>1730</v>
      </c>
      <c r="F1773" s="33" t="s">
        <v>890</v>
      </c>
      <c r="G1773" s="33" t="s">
        <v>1732</v>
      </c>
      <c r="H1773" s="33" t="s">
        <v>890</v>
      </c>
    </row>
    <row r="1774" spans="1:8" x14ac:dyDescent="0.25">
      <c r="A1774" s="31">
        <v>33100262821</v>
      </c>
      <c r="B1774" s="1" t="s">
        <v>1737</v>
      </c>
      <c r="C1774" s="1" t="s">
        <v>1722</v>
      </c>
      <c r="D1774" s="1" t="s">
        <v>2263</v>
      </c>
      <c r="E1774" s="1" t="s">
        <v>1730</v>
      </c>
      <c r="F1774" s="1" t="s">
        <v>891</v>
      </c>
      <c r="G1774" s="1" t="s">
        <v>1732</v>
      </c>
      <c r="H1774" s="1" t="s">
        <v>891</v>
      </c>
    </row>
    <row r="1775" spans="1:8" x14ac:dyDescent="0.25">
      <c r="A1775" s="32">
        <v>33102163123</v>
      </c>
      <c r="B1775" s="33" t="s">
        <v>1737</v>
      </c>
      <c r="C1775" s="33" t="s">
        <v>1718</v>
      </c>
      <c r="D1775" s="33" t="s">
        <v>1751</v>
      </c>
      <c r="E1775" s="33" t="s">
        <v>1730</v>
      </c>
      <c r="F1775" s="33" t="s">
        <v>796</v>
      </c>
      <c r="G1775" s="33" t="s">
        <v>1732</v>
      </c>
      <c r="H1775" s="33" t="s">
        <v>796</v>
      </c>
    </row>
    <row r="1776" spans="1:8" x14ac:dyDescent="0.25">
      <c r="A1776" s="31">
        <v>33102163124</v>
      </c>
      <c r="B1776" s="1" t="s">
        <v>1737</v>
      </c>
      <c r="C1776" s="1" t="s">
        <v>1718</v>
      </c>
      <c r="D1776" s="1" t="s">
        <v>1751</v>
      </c>
      <c r="E1776" s="1" t="s">
        <v>1730</v>
      </c>
      <c r="F1776" s="1" t="s">
        <v>797</v>
      </c>
      <c r="G1776" s="1" t="s">
        <v>1732</v>
      </c>
      <c r="H1776" s="1" t="s">
        <v>797</v>
      </c>
    </row>
    <row r="1777" spans="1:8" x14ac:dyDescent="0.25">
      <c r="A1777" s="32">
        <v>33102163125</v>
      </c>
      <c r="B1777" s="33" t="s">
        <v>1737</v>
      </c>
      <c r="C1777" s="33" t="s">
        <v>1718</v>
      </c>
      <c r="D1777" s="33" t="s">
        <v>1751</v>
      </c>
      <c r="E1777" s="33" t="s">
        <v>1730</v>
      </c>
      <c r="F1777" s="33" t="s">
        <v>798</v>
      </c>
      <c r="G1777" s="33" t="s">
        <v>1732</v>
      </c>
      <c r="H1777" s="33" t="s">
        <v>798</v>
      </c>
    </row>
    <row r="1778" spans="1:8" x14ac:dyDescent="0.25">
      <c r="A1778" s="32">
        <v>33102163126</v>
      </c>
      <c r="B1778" s="33" t="s">
        <v>1737</v>
      </c>
      <c r="C1778" s="33" t="s">
        <v>1718</v>
      </c>
      <c r="D1778" s="33" t="s">
        <v>1751</v>
      </c>
      <c r="E1778" s="33" t="s">
        <v>1730</v>
      </c>
      <c r="F1778" s="33" t="s">
        <v>799</v>
      </c>
      <c r="G1778" s="33" t="s">
        <v>1732</v>
      </c>
      <c r="H1778" s="33" t="s">
        <v>799</v>
      </c>
    </row>
    <row r="1779" spans="1:8" x14ac:dyDescent="0.25">
      <c r="A1779" s="32">
        <v>33102163127</v>
      </c>
      <c r="B1779" s="33" t="s">
        <v>1737</v>
      </c>
      <c r="C1779" s="33" t="s">
        <v>1718</v>
      </c>
      <c r="D1779" s="33" t="s">
        <v>1751</v>
      </c>
      <c r="E1779" s="33" t="s">
        <v>1730</v>
      </c>
      <c r="F1779" s="33" t="s">
        <v>800</v>
      </c>
      <c r="G1779" s="33" t="s">
        <v>1732</v>
      </c>
      <c r="H1779" s="33" t="s">
        <v>800</v>
      </c>
    </row>
    <row r="1780" spans="1:8" x14ac:dyDescent="0.25">
      <c r="A1780" s="32">
        <v>33102163130</v>
      </c>
      <c r="B1780" s="33" t="s">
        <v>1737</v>
      </c>
      <c r="C1780" s="33" t="s">
        <v>1718</v>
      </c>
      <c r="D1780" s="33" t="s">
        <v>2275</v>
      </c>
      <c r="E1780" s="33" t="s">
        <v>1730</v>
      </c>
      <c r="F1780" s="33" t="s">
        <v>801</v>
      </c>
      <c r="G1780" s="33" t="s">
        <v>1732</v>
      </c>
      <c r="H1780" s="33" t="s">
        <v>801</v>
      </c>
    </row>
    <row r="1781" spans="1:8" x14ac:dyDescent="0.25">
      <c r="A1781" s="32">
        <v>33102163131</v>
      </c>
      <c r="B1781" s="33" t="s">
        <v>1737</v>
      </c>
      <c r="C1781" s="33" t="s">
        <v>1718</v>
      </c>
      <c r="D1781" s="33" t="s">
        <v>2275</v>
      </c>
      <c r="E1781" s="33" t="s">
        <v>1730</v>
      </c>
      <c r="F1781" s="33" t="s">
        <v>802</v>
      </c>
      <c r="G1781" s="33" t="s">
        <v>1732</v>
      </c>
      <c r="H1781" s="33" t="s">
        <v>802</v>
      </c>
    </row>
    <row r="1782" spans="1:8" x14ac:dyDescent="0.25">
      <c r="A1782" s="32">
        <v>33102163132</v>
      </c>
      <c r="B1782" s="33" t="s">
        <v>1737</v>
      </c>
      <c r="C1782" s="33" t="s">
        <v>1718</v>
      </c>
      <c r="D1782" s="33" t="s">
        <v>2275</v>
      </c>
      <c r="E1782" s="33" t="s">
        <v>1730</v>
      </c>
      <c r="F1782" s="33" t="s">
        <v>803</v>
      </c>
      <c r="G1782" s="33" t="s">
        <v>1732</v>
      </c>
      <c r="H1782" s="33" t="s">
        <v>803</v>
      </c>
    </row>
    <row r="1783" spans="1:8" x14ac:dyDescent="0.25">
      <c r="A1783" s="62">
        <v>33102164050</v>
      </c>
      <c r="B1783" s="63" t="s">
        <v>1737</v>
      </c>
      <c r="C1783" s="63" t="s">
        <v>1718</v>
      </c>
      <c r="D1783" s="63" t="s">
        <v>2817</v>
      </c>
      <c r="E1783" s="63" t="s">
        <v>1730</v>
      </c>
      <c r="F1783" s="63" t="s">
        <v>1197</v>
      </c>
      <c r="G1783" s="63" t="s">
        <v>1732</v>
      </c>
      <c r="H1783" s="63" t="s">
        <v>1197</v>
      </c>
    </row>
    <row r="1784" spans="1:8" x14ac:dyDescent="0.25">
      <c r="A1784" s="31">
        <v>33102164227</v>
      </c>
      <c r="B1784" s="1" t="s">
        <v>1737</v>
      </c>
      <c r="C1784" s="1" t="s">
        <v>1718</v>
      </c>
      <c r="D1784" s="1" t="s">
        <v>2817</v>
      </c>
      <c r="E1784" s="1" t="s">
        <v>1730</v>
      </c>
      <c r="F1784" s="1" t="s">
        <v>1438</v>
      </c>
      <c r="G1784" s="1" t="s">
        <v>1732</v>
      </c>
      <c r="H1784" s="1" t="s">
        <v>1438</v>
      </c>
    </row>
    <row r="1785" spans="1:8" x14ac:dyDescent="0.25">
      <c r="A1785" s="31">
        <v>33102263133</v>
      </c>
      <c r="B1785" s="1" t="s">
        <v>1737</v>
      </c>
      <c r="C1785" s="1" t="s">
        <v>1718</v>
      </c>
      <c r="D1785" s="1" t="s">
        <v>2037</v>
      </c>
      <c r="E1785" s="1" t="s">
        <v>1730</v>
      </c>
      <c r="F1785" s="1" t="s">
        <v>805</v>
      </c>
      <c r="G1785" s="1" t="s">
        <v>1732</v>
      </c>
      <c r="H1785" s="1" t="s">
        <v>805</v>
      </c>
    </row>
    <row r="1786" spans="1:8" x14ac:dyDescent="0.25">
      <c r="A1786" s="31">
        <v>33102263134</v>
      </c>
      <c r="B1786" s="1" t="s">
        <v>1737</v>
      </c>
      <c r="C1786" s="1" t="s">
        <v>1718</v>
      </c>
      <c r="D1786" s="1" t="s">
        <v>2037</v>
      </c>
      <c r="E1786" s="1" t="s">
        <v>1730</v>
      </c>
      <c r="F1786" s="1" t="s">
        <v>806</v>
      </c>
      <c r="G1786" s="1" t="s">
        <v>1732</v>
      </c>
      <c r="H1786" s="1" t="s">
        <v>806</v>
      </c>
    </row>
    <row r="1787" spans="1:8" x14ac:dyDescent="0.25">
      <c r="A1787" s="31">
        <v>33102263135</v>
      </c>
      <c r="B1787" s="1" t="s">
        <v>1737</v>
      </c>
      <c r="C1787" s="1" t="s">
        <v>1718</v>
      </c>
      <c r="D1787" s="1" t="s">
        <v>2037</v>
      </c>
      <c r="E1787" s="1" t="s">
        <v>1730</v>
      </c>
      <c r="F1787" s="1" t="s">
        <v>807</v>
      </c>
      <c r="G1787" s="1" t="s">
        <v>1732</v>
      </c>
      <c r="H1787" s="1" t="s">
        <v>807</v>
      </c>
    </row>
    <row r="1788" spans="1:8" x14ac:dyDescent="0.25">
      <c r="A1788" s="31">
        <v>33102263136</v>
      </c>
      <c r="B1788" s="1" t="s">
        <v>1737</v>
      </c>
      <c r="C1788" s="1" t="s">
        <v>1718</v>
      </c>
      <c r="D1788" s="1" t="s">
        <v>2037</v>
      </c>
      <c r="E1788" s="1" t="s">
        <v>1730</v>
      </c>
      <c r="F1788" s="1" t="s">
        <v>808</v>
      </c>
      <c r="G1788" s="1" t="s">
        <v>1732</v>
      </c>
      <c r="H1788" s="1" t="s">
        <v>808</v>
      </c>
    </row>
    <row r="1789" spans="1:8" x14ac:dyDescent="0.25">
      <c r="A1789" s="31">
        <v>33102263137</v>
      </c>
      <c r="B1789" s="1" t="s">
        <v>1737</v>
      </c>
      <c r="C1789" s="1" t="s">
        <v>1718</v>
      </c>
      <c r="D1789" s="1" t="s">
        <v>2037</v>
      </c>
      <c r="E1789" s="1" t="s">
        <v>1730</v>
      </c>
      <c r="F1789" s="1" t="s">
        <v>809</v>
      </c>
      <c r="G1789" s="1" t="s">
        <v>1732</v>
      </c>
      <c r="H1789" s="1" t="s">
        <v>809</v>
      </c>
    </row>
    <row r="1790" spans="1:8" x14ac:dyDescent="0.25">
      <c r="A1790" s="31">
        <v>33105063084</v>
      </c>
      <c r="B1790" s="1" t="s">
        <v>1737</v>
      </c>
      <c r="C1790" s="1" t="s">
        <v>1721</v>
      </c>
      <c r="D1790" s="1" t="s">
        <v>2061</v>
      </c>
      <c r="E1790" s="1" t="s">
        <v>1730</v>
      </c>
      <c r="F1790" s="1" t="s">
        <v>1090</v>
      </c>
      <c r="G1790" s="1" t="s">
        <v>1732</v>
      </c>
      <c r="H1790" s="1" t="s">
        <v>1090</v>
      </c>
    </row>
    <row r="1791" spans="1:8" x14ac:dyDescent="0.25">
      <c r="A1791" s="81">
        <v>33105063085</v>
      </c>
      <c r="B1791" s="82" t="s">
        <v>1737</v>
      </c>
      <c r="C1791" s="82" t="s">
        <v>1721</v>
      </c>
      <c r="D1791" s="82" t="s">
        <v>2061</v>
      </c>
      <c r="E1791" s="82" t="s">
        <v>1730</v>
      </c>
      <c r="F1791" s="82" t="s">
        <v>1072</v>
      </c>
      <c r="G1791" s="82" t="s">
        <v>1732</v>
      </c>
      <c r="H1791" s="82" t="s">
        <v>1072</v>
      </c>
    </row>
    <row r="1792" spans="1:8" x14ac:dyDescent="0.25">
      <c r="A1792" s="81">
        <v>33105063086</v>
      </c>
      <c r="B1792" s="82" t="s">
        <v>1737</v>
      </c>
      <c r="C1792" s="82" t="s">
        <v>1721</v>
      </c>
      <c r="D1792" s="82" t="s">
        <v>2061</v>
      </c>
      <c r="E1792" s="82" t="s">
        <v>1730</v>
      </c>
      <c r="F1792" s="82" t="s">
        <v>1178</v>
      </c>
      <c r="G1792" s="82" t="s">
        <v>1732</v>
      </c>
      <c r="H1792" s="82" t="s">
        <v>1178</v>
      </c>
    </row>
    <row r="1793" spans="1:8" x14ac:dyDescent="0.25">
      <c r="A1793" s="81">
        <v>33105063088</v>
      </c>
      <c r="B1793" s="82" t="s">
        <v>1737</v>
      </c>
      <c r="C1793" s="82" t="s">
        <v>1721</v>
      </c>
      <c r="D1793" s="82" t="s">
        <v>2061</v>
      </c>
      <c r="E1793" s="82" t="s">
        <v>1730</v>
      </c>
      <c r="F1793" s="82" t="s">
        <v>1024</v>
      </c>
      <c r="G1793" s="82" t="s">
        <v>1732</v>
      </c>
      <c r="H1793" s="82" t="s">
        <v>1024</v>
      </c>
    </row>
    <row r="1794" spans="1:8" x14ac:dyDescent="0.25">
      <c r="A1794" s="81">
        <v>33105063089</v>
      </c>
      <c r="B1794" s="82" t="s">
        <v>1737</v>
      </c>
      <c r="C1794" s="82" t="s">
        <v>1721</v>
      </c>
      <c r="D1794" s="82" t="s">
        <v>2061</v>
      </c>
      <c r="E1794" s="82" t="s">
        <v>1730</v>
      </c>
      <c r="F1794" s="82" t="s">
        <v>1074</v>
      </c>
      <c r="G1794" s="82" t="s">
        <v>1732</v>
      </c>
      <c r="H1794" s="82" t="s">
        <v>1074</v>
      </c>
    </row>
    <row r="1795" spans="1:8" x14ac:dyDescent="0.25">
      <c r="A1795" s="81">
        <v>33105063090</v>
      </c>
      <c r="B1795" s="82" t="s">
        <v>1737</v>
      </c>
      <c r="C1795" s="82" t="s">
        <v>1721</v>
      </c>
      <c r="D1795" s="82" t="s">
        <v>2061</v>
      </c>
      <c r="E1795" s="82" t="s">
        <v>1730</v>
      </c>
      <c r="F1795" s="82" t="s">
        <v>1100</v>
      </c>
      <c r="G1795" s="82" t="s">
        <v>1732</v>
      </c>
      <c r="H1795" s="82" t="s">
        <v>1100</v>
      </c>
    </row>
    <row r="1796" spans="1:8" x14ac:dyDescent="0.25">
      <c r="A1796" s="81">
        <v>33105063091</v>
      </c>
      <c r="B1796" s="82" t="s">
        <v>1737</v>
      </c>
      <c r="C1796" s="82" t="s">
        <v>1721</v>
      </c>
      <c r="D1796" s="82" t="s">
        <v>2061</v>
      </c>
      <c r="E1796" s="82" t="s">
        <v>1730</v>
      </c>
      <c r="F1796" s="82" t="s">
        <v>1044</v>
      </c>
      <c r="G1796" s="82" t="s">
        <v>1732</v>
      </c>
      <c r="H1796" s="82" t="s">
        <v>1044</v>
      </c>
    </row>
    <row r="1797" spans="1:8" x14ac:dyDescent="0.25">
      <c r="A1797" s="81">
        <v>33105063092</v>
      </c>
      <c r="B1797" s="82" t="s">
        <v>1737</v>
      </c>
      <c r="C1797" s="82" t="s">
        <v>1721</v>
      </c>
      <c r="D1797" s="82" t="s">
        <v>2061</v>
      </c>
      <c r="E1797" s="82" t="s">
        <v>1730</v>
      </c>
      <c r="F1797" s="82" t="s">
        <v>1186</v>
      </c>
      <c r="G1797" s="82" t="s">
        <v>1732</v>
      </c>
      <c r="H1797" s="82" t="s">
        <v>1186</v>
      </c>
    </row>
    <row r="1798" spans="1:8" x14ac:dyDescent="0.25">
      <c r="A1798" s="81">
        <v>33105063093</v>
      </c>
      <c r="B1798" s="82" t="s">
        <v>1737</v>
      </c>
      <c r="C1798" s="82" t="s">
        <v>1721</v>
      </c>
      <c r="D1798" s="82" t="s">
        <v>2061</v>
      </c>
      <c r="E1798" s="82" t="s">
        <v>1730</v>
      </c>
      <c r="F1798" s="82" t="s">
        <v>1093</v>
      </c>
      <c r="G1798" s="82" t="s">
        <v>1732</v>
      </c>
      <c r="H1798" s="82" t="s">
        <v>1093</v>
      </c>
    </row>
    <row r="1799" spans="1:8" x14ac:dyDescent="0.25">
      <c r="A1799" s="81">
        <v>33105063094</v>
      </c>
      <c r="B1799" s="82" t="s">
        <v>1737</v>
      </c>
      <c r="C1799" s="82" t="s">
        <v>1721</v>
      </c>
      <c r="D1799" s="82" t="s">
        <v>1738</v>
      </c>
      <c r="E1799" s="82" t="s">
        <v>1730</v>
      </c>
      <c r="F1799" s="82" t="s">
        <v>1050</v>
      </c>
      <c r="G1799" s="82" t="s">
        <v>1732</v>
      </c>
      <c r="H1799" s="82" t="s">
        <v>1050</v>
      </c>
    </row>
    <row r="1800" spans="1:8" x14ac:dyDescent="0.25">
      <c r="A1800" s="81">
        <v>33105063095</v>
      </c>
      <c r="B1800" s="82" t="s">
        <v>1737</v>
      </c>
      <c r="C1800" s="82" t="s">
        <v>1721</v>
      </c>
      <c r="D1800" s="82" t="s">
        <v>1738</v>
      </c>
      <c r="E1800" s="82" t="s">
        <v>1730</v>
      </c>
      <c r="F1800" s="82" t="s">
        <v>1040</v>
      </c>
      <c r="G1800" s="82" t="s">
        <v>1732</v>
      </c>
      <c r="H1800" s="82" t="s">
        <v>1040</v>
      </c>
    </row>
    <row r="1801" spans="1:8" x14ac:dyDescent="0.25">
      <c r="A1801" s="81">
        <v>33105063096</v>
      </c>
      <c r="B1801" s="82" t="s">
        <v>1737</v>
      </c>
      <c r="C1801" s="82" t="s">
        <v>1721</v>
      </c>
      <c r="D1801" s="82" t="s">
        <v>1738</v>
      </c>
      <c r="E1801" s="82" t="s">
        <v>1730</v>
      </c>
      <c r="F1801" s="82" t="s">
        <v>1035</v>
      </c>
      <c r="G1801" s="82" t="s">
        <v>1732</v>
      </c>
      <c r="H1801" s="82" t="s">
        <v>1035</v>
      </c>
    </row>
    <row r="1802" spans="1:8" x14ac:dyDescent="0.25">
      <c r="A1802" s="81">
        <v>33105063097</v>
      </c>
      <c r="B1802" s="82" t="s">
        <v>1737</v>
      </c>
      <c r="C1802" s="82" t="s">
        <v>1721</v>
      </c>
      <c r="D1802" s="82" t="s">
        <v>1738</v>
      </c>
      <c r="E1802" s="82" t="s">
        <v>1730</v>
      </c>
      <c r="F1802" s="82" t="s">
        <v>1043</v>
      </c>
      <c r="G1802" s="82" t="s">
        <v>1732</v>
      </c>
      <c r="H1802" s="82" t="s">
        <v>1043</v>
      </c>
    </row>
    <row r="1803" spans="1:8" x14ac:dyDescent="0.25">
      <c r="A1803" s="81">
        <v>33105063098</v>
      </c>
      <c r="B1803" s="82" t="s">
        <v>1737</v>
      </c>
      <c r="C1803" s="82" t="s">
        <v>1721</v>
      </c>
      <c r="D1803" s="82" t="s">
        <v>2279</v>
      </c>
      <c r="E1803" s="82" t="s">
        <v>1730</v>
      </c>
      <c r="F1803" s="82" t="s">
        <v>1131</v>
      </c>
      <c r="G1803" s="82" t="s">
        <v>1732</v>
      </c>
      <c r="H1803" s="82" t="s">
        <v>1131</v>
      </c>
    </row>
    <row r="1804" spans="1:8" x14ac:dyDescent="0.25">
      <c r="A1804" s="81">
        <v>33105063099</v>
      </c>
      <c r="B1804" s="82" t="s">
        <v>1737</v>
      </c>
      <c r="C1804" s="82" t="s">
        <v>1721</v>
      </c>
      <c r="D1804" s="82" t="s">
        <v>2279</v>
      </c>
      <c r="E1804" s="82" t="s">
        <v>1730</v>
      </c>
      <c r="F1804" s="82" t="s">
        <v>823</v>
      </c>
      <c r="G1804" s="82" t="s">
        <v>1732</v>
      </c>
      <c r="H1804" s="82" t="s">
        <v>823</v>
      </c>
    </row>
    <row r="1805" spans="1:8" x14ac:dyDescent="0.25">
      <c r="A1805" s="81">
        <v>33105063100</v>
      </c>
      <c r="B1805" s="82" t="s">
        <v>1737</v>
      </c>
      <c r="C1805" s="82" t="s">
        <v>1721</v>
      </c>
      <c r="D1805" s="82" t="s">
        <v>2279</v>
      </c>
      <c r="E1805" s="82" t="s">
        <v>1730</v>
      </c>
      <c r="F1805" s="82" t="s">
        <v>1102</v>
      </c>
      <c r="G1805" s="82" t="s">
        <v>1732</v>
      </c>
      <c r="H1805" s="82" t="s">
        <v>1102</v>
      </c>
    </row>
    <row r="1806" spans="1:8" x14ac:dyDescent="0.25">
      <c r="A1806" s="81">
        <v>33105063101</v>
      </c>
      <c r="B1806" s="82" t="s">
        <v>1737</v>
      </c>
      <c r="C1806" s="82" t="s">
        <v>1721</v>
      </c>
      <c r="D1806" s="82" t="s">
        <v>2279</v>
      </c>
      <c r="E1806" s="82" t="s">
        <v>1730</v>
      </c>
      <c r="F1806" s="82" t="s">
        <v>825</v>
      </c>
      <c r="G1806" s="82" t="s">
        <v>1732</v>
      </c>
      <c r="H1806" s="82" t="s">
        <v>825</v>
      </c>
    </row>
    <row r="1807" spans="1:8" x14ac:dyDescent="0.25">
      <c r="A1807" s="81">
        <v>33105063102</v>
      </c>
      <c r="B1807" s="82" t="s">
        <v>1737</v>
      </c>
      <c r="C1807" s="82" t="s">
        <v>1721</v>
      </c>
      <c r="D1807" s="82" t="s">
        <v>2279</v>
      </c>
      <c r="E1807" s="82" t="s">
        <v>1730</v>
      </c>
      <c r="F1807" s="82" t="s">
        <v>826</v>
      </c>
      <c r="G1807" s="82" t="s">
        <v>1732</v>
      </c>
      <c r="H1807" s="82" t="s">
        <v>826</v>
      </c>
    </row>
    <row r="1808" spans="1:8" x14ac:dyDescent="0.25">
      <c r="A1808" s="81">
        <v>33105063103</v>
      </c>
      <c r="B1808" s="82" t="s">
        <v>1737</v>
      </c>
      <c r="C1808" s="82" t="s">
        <v>1721</v>
      </c>
      <c r="D1808" s="82" t="s">
        <v>1738</v>
      </c>
      <c r="E1808" s="82" t="s">
        <v>1730</v>
      </c>
      <c r="F1808" s="82" t="s">
        <v>1103</v>
      </c>
      <c r="G1808" s="82" t="s">
        <v>1732</v>
      </c>
      <c r="H1808" s="82" t="s">
        <v>1103</v>
      </c>
    </row>
    <row r="1809" spans="1:8" x14ac:dyDescent="0.25">
      <c r="A1809" s="81">
        <v>33105063104</v>
      </c>
      <c r="B1809" s="82" t="s">
        <v>1737</v>
      </c>
      <c r="C1809" s="82" t="s">
        <v>1721</v>
      </c>
      <c r="D1809" s="82" t="s">
        <v>1738</v>
      </c>
      <c r="E1809" s="82" t="s">
        <v>1730</v>
      </c>
      <c r="F1809" s="82" t="s">
        <v>828</v>
      </c>
      <c r="G1809" s="82" t="s">
        <v>1732</v>
      </c>
      <c r="H1809" s="82" t="s">
        <v>828</v>
      </c>
    </row>
    <row r="1810" spans="1:8" x14ac:dyDescent="0.25">
      <c r="A1810" s="81">
        <v>33105063105</v>
      </c>
      <c r="B1810" s="82" t="s">
        <v>1737</v>
      </c>
      <c r="C1810" s="82" t="s">
        <v>1721</v>
      </c>
      <c r="D1810" s="82" t="s">
        <v>1738</v>
      </c>
      <c r="E1810" s="82" t="s">
        <v>1730</v>
      </c>
      <c r="F1810" s="82" t="s">
        <v>1084</v>
      </c>
      <c r="G1810" s="82" t="s">
        <v>1732</v>
      </c>
      <c r="H1810" s="82" t="s">
        <v>1084</v>
      </c>
    </row>
    <row r="1811" spans="1:8" x14ac:dyDescent="0.25">
      <c r="A1811" s="81">
        <v>33105063106</v>
      </c>
      <c r="B1811" s="82" t="s">
        <v>1737</v>
      </c>
      <c r="C1811" s="82" t="s">
        <v>1721</v>
      </c>
      <c r="D1811" s="82" t="s">
        <v>1738</v>
      </c>
      <c r="E1811" s="82" t="s">
        <v>1730</v>
      </c>
      <c r="F1811" s="82" t="s">
        <v>830</v>
      </c>
      <c r="G1811" s="82" t="s">
        <v>1732</v>
      </c>
      <c r="H1811" s="82" t="s">
        <v>830</v>
      </c>
    </row>
    <row r="1812" spans="1:8" x14ac:dyDescent="0.25">
      <c r="A1812" s="81">
        <v>33105063107</v>
      </c>
      <c r="B1812" s="82" t="s">
        <v>1737</v>
      </c>
      <c r="C1812" s="82" t="s">
        <v>1721</v>
      </c>
      <c r="D1812" s="82" t="s">
        <v>1738</v>
      </c>
      <c r="E1812" s="82" t="s">
        <v>1730</v>
      </c>
      <c r="F1812" s="82" t="s">
        <v>831</v>
      </c>
      <c r="G1812" s="82" t="s">
        <v>1732</v>
      </c>
      <c r="H1812" s="82" t="s">
        <v>831</v>
      </c>
    </row>
    <row r="1813" spans="1:8" x14ac:dyDescent="0.25">
      <c r="A1813" s="81">
        <v>33105063108</v>
      </c>
      <c r="B1813" s="82" t="s">
        <v>1737</v>
      </c>
      <c r="C1813" s="82" t="s">
        <v>1721</v>
      </c>
      <c r="D1813" s="82" t="s">
        <v>1738</v>
      </c>
      <c r="E1813" s="82" t="s">
        <v>1730</v>
      </c>
      <c r="F1813" s="82" t="s">
        <v>832</v>
      </c>
      <c r="G1813" s="82" t="s">
        <v>1732</v>
      </c>
      <c r="H1813" s="82" t="s">
        <v>832</v>
      </c>
    </row>
    <row r="1814" spans="1:8" x14ac:dyDescent="0.25">
      <c r="A1814" s="81">
        <v>33105063109</v>
      </c>
      <c r="B1814" s="82" t="s">
        <v>1737</v>
      </c>
      <c r="C1814" s="82" t="s">
        <v>1721</v>
      </c>
      <c r="D1814" s="82" t="s">
        <v>1738</v>
      </c>
      <c r="E1814" s="82" t="s">
        <v>1730</v>
      </c>
      <c r="F1814" s="82" t="s">
        <v>833</v>
      </c>
      <c r="G1814" s="82" t="s">
        <v>1732</v>
      </c>
      <c r="H1814" s="82" t="s">
        <v>833</v>
      </c>
    </row>
    <row r="1815" spans="1:8" x14ac:dyDescent="0.25">
      <c r="A1815" s="81">
        <v>33105063115</v>
      </c>
      <c r="B1815" s="82" t="s">
        <v>1737</v>
      </c>
      <c r="C1815" s="82" t="s">
        <v>1721</v>
      </c>
      <c r="D1815" s="82" t="s">
        <v>2278</v>
      </c>
      <c r="E1815" s="82" t="s">
        <v>1730</v>
      </c>
      <c r="F1815" s="82" t="s">
        <v>1059</v>
      </c>
      <c r="G1815" s="82" t="s">
        <v>1732</v>
      </c>
      <c r="H1815" s="82" t="s">
        <v>1059</v>
      </c>
    </row>
    <row r="1816" spans="1:8" x14ac:dyDescent="0.25">
      <c r="A1816" s="90">
        <v>33105063116</v>
      </c>
      <c r="B1816" s="91" t="s">
        <v>1737</v>
      </c>
      <c r="C1816" s="91" t="s">
        <v>1721</v>
      </c>
      <c r="D1816" s="91" t="s">
        <v>2278</v>
      </c>
      <c r="E1816" s="91" t="s">
        <v>1730</v>
      </c>
      <c r="F1816" s="91" t="s">
        <v>1036</v>
      </c>
      <c r="G1816" s="91" t="s">
        <v>1732</v>
      </c>
      <c r="H1816" s="91" t="s">
        <v>1036</v>
      </c>
    </row>
    <row r="1817" spans="1:8" x14ac:dyDescent="0.25">
      <c r="A1817" s="90">
        <v>33105063117</v>
      </c>
      <c r="B1817" s="91" t="s">
        <v>1737</v>
      </c>
      <c r="C1817" s="91" t="s">
        <v>1721</v>
      </c>
      <c r="D1817" s="91" t="s">
        <v>2278</v>
      </c>
      <c r="E1817" s="91" t="s">
        <v>1730</v>
      </c>
      <c r="F1817" s="91" t="s">
        <v>1053</v>
      </c>
      <c r="G1817" s="91" t="s">
        <v>1732</v>
      </c>
      <c r="H1817" s="91" t="s">
        <v>1053</v>
      </c>
    </row>
    <row r="1818" spans="1:8" x14ac:dyDescent="0.25">
      <c r="A1818" s="31">
        <v>33105063118</v>
      </c>
      <c r="B1818" s="1" t="s">
        <v>1737</v>
      </c>
      <c r="C1818" s="1" t="s">
        <v>1721</v>
      </c>
      <c r="D1818" s="1" t="s">
        <v>2278</v>
      </c>
      <c r="E1818" s="1" t="s">
        <v>1730</v>
      </c>
      <c r="F1818" s="1" t="s">
        <v>1033</v>
      </c>
      <c r="G1818" s="1" t="s">
        <v>1732</v>
      </c>
      <c r="H1818" s="1" t="s">
        <v>1033</v>
      </c>
    </row>
    <row r="1819" spans="1:8" x14ac:dyDescent="0.25">
      <c r="A1819" s="31">
        <v>33105063119</v>
      </c>
      <c r="B1819" s="1" t="s">
        <v>1737</v>
      </c>
      <c r="C1819" s="1" t="s">
        <v>1721</v>
      </c>
      <c r="D1819" s="1" t="s">
        <v>2278</v>
      </c>
      <c r="E1819" s="1" t="s">
        <v>1730</v>
      </c>
      <c r="F1819" s="1" t="s">
        <v>1027</v>
      </c>
      <c r="G1819" s="1" t="s">
        <v>1732</v>
      </c>
      <c r="H1819" s="1" t="s">
        <v>1027</v>
      </c>
    </row>
    <row r="1820" spans="1:8" x14ac:dyDescent="0.25">
      <c r="A1820" s="31">
        <v>33105063120</v>
      </c>
      <c r="B1820" s="1" t="s">
        <v>1737</v>
      </c>
      <c r="C1820" s="1" t="s">
        <v>1721</v>
      </c>
      <c r="D1820" s="1" t="s">
        <v>2278</v>
      </c>
      <c r="E1820" s="1" t="s">
        <v>1730</v>
      </c>
      <c r="F1820" s="1" t="s">
        <v>1026</v>
      </c>
      <c r="G1820" s="1" t="s">
        <v>1732</v>
      </c>
      <c r="H1820" s="1" t="s">
        <v>1026</v>
      </c>
    </row>
    <row r="1821" spans="1:8" x14ac:dyDescent="0.25">
      <c r="A1821" s="95">
        <v>33105063121</v>
      </c>
      <c r="B1821" s="96" t="s">
        <v>1737</v>
      </c>
      <c r="C1821" s="96" t="s">
        <v>1721</v>
      </c>
      <c r="D1821" s="96" t="s">
        <v>2278</v>
      </c>
      <c r="E1821" s="96" t="s">
        <v>1730</v>
      </c>
      <c r="F1821" s="96" t="s">
        <v>1032</v>
      </c>
      <c r="G1821" s="96" t="s">
        <v>1732</v>
      </c>
      <c r="H1821" s="96" t="s">
        <v>1032</v>
      </c>
    </row>
    <row r="1822" spans="1:8" x14ac:dyDescent="0.25">
      <c r="A1822" s="95">
        <v>33105063122</v>
      </c>
      <c r="B1822" s="96" t="s">
        <v>1737</v>
      </c>
      <c r="C1822" s="96" t="s">
        <v>1721</v>
      </c>
      <c r="D1822" s="96" t="s">
        <v>2278</v>
      </c>
      <c r="E1822" s="96" t="s">
        <v>1730</v>
      </c>
      <c r="F1822" s="96" t="s">
        <v>1028</v>
      </c>
      <c r="G1822" s="96" t="s">
        <v>1732</v>
      </c>
      <c r="H1822" s="96" t="s">
        <v>1028</v>
      </c>
    </row>
    <row r="1823" spans="1:8" x14ac:dyDescent="0.25">
      <c r="A1823" s="95">
        <v>33105063138</v>
      </c>
      <c r="B1823" s="96" t="s">
        <v>1737</v>
      </c>
      <c r="C1823" s="96" t="s">
        <v>1721</v>
      </c>
      <c r="D1823" s="96" t="s">
        <v>2278</v>
      </c>
      <c r="E1823" s="96" t="s">
        <v>1730</v>
      </c>
      <c r="F1823" s="96" t="s">
        <v>1029</v>
      </c>
      <c r="G1823" s="96" t="s">
        <v>1732</v>
      </c>
      <c r="H1823" s="96" t="s">
        <v>1029</v>
      </c>
    </row>
    <row r="1824" spans="1:8" x14ac:dyDescent="0.25">
      <c r="A1824" s="95">
        <v>33105063941</v>
      </c>
      <c r="B1824" s="96" t="s">
        <v>1737</v>
      </c>
      <c r="C1824" s="96" t="s">
        <v>1721</v>
      </c>
      <c r="D1824" s="96" t="s">
        <v>1738</v>
      </c>
      <c r="E1824" s="96" t="s">
        <v>1730</v>
      </c>
      <c r="F1824" s="96" t="s">
        <v>1104</v>
      </c>
      <c r="G1824" s="96" t="s">
        <v>1732</v>
      </c>
      <c r="H1824" s="96" t="s">
        <v>1104</v>
      </c>
    </row>
    <row r="1825" spans="1:8" x14ac:dyDescent="0.25">
      <c r="A1825" s="95">
        <v>33105063942</v>
      </c>
      <c r="B1825" s="96" t="s">
        <v>1737</v>
      </c>
      <c r="C1825" s="96" t="s">
        <v>1721</v>
      </c>
      <c r="D1825" s="96" t="s">
        <v>2809</v>
      </c>
      <c r="E1825" s="96" t="s">
        <v>1730</v>
      </c>
      <c r="F1825" s="96" t="s">
        <v>1085</v>
      </c>
      <c r="G1825" s="96" t="s">
        <v>1732</v>
      </c>
      <c r="H1825" s="96" t="s">
        <v>1085</v>
      </c>
    </row>
    <row r="1826" spans="1:8" x14ac:dyDescent="0.25">
      <c r="A1826" s="109">
        <v>33105063943</v>
      </c>
      <c r="B1826" s="110" t="s">
        <v>1737</v>
      </c>
      <c r="C1826" s="110" t="s">
        <v>1721</v>
      </c>
      <c r="D1826" s="110" t="s">
        <v>2766</v>
      </c>
      <c r="E1826" s="110" t="s">
        <v>1730</v>
      </c>
      <c r="F1826" s="110" t="s">
        <v>1041</v>
      </c>
      <c r="G1826" s="110" t="s">
        <v>1732</v>
      </c>
      <c r="H1826" s="110" t="s">
        <v>1041</v>
      </c>
    </row>
    <row r="1827" spans="1:8" x14ac:dyDescent="0.25">
      <c r="A1827" s="109">
        <v>33105063944</v>
      </c>
      <c r="B1827" s="110" t="s">
        <v>1737</v>
      </c>
      <c r="C1827" s="110" t="s">
        <v>1721</v>
      </c>
      <c r="D1827" s="110" t="s">
        <v>2766</v>
      </c>
      <c r="E1827" s="110" t="s">
        <v>1730</v>
      </c>
      <c r="F1827" s="110" t="s">
        <v>1179</v>
      </c>
      <c r="G1827" s="110" t="s">
        <v>1732</v>
      </c>
      <c r="H1827" s="110" t="s">
        <v>1179</v>
      </c>
    </row>
    <row r="1828" spans="1:8" x14ac:dyDescent="0.25">
      <c r="A1828" s="109">
        <v>33105063945</v>
      </c>
      <c r="B1828" s="110" t="s">
        <v>1737</v>
      </c>
      <c r="C1828" s="110" t="s">
        <v>1721</v>
      </c>
      <c r="D1828" s="110" t="s">
        <v>2809</v>
      </c>
      <c r="E1828" s="110" t="s">
        <v>1730</v>
      </c>
      <c r="F1828" s="110" t="s">
        <v>1060</v>
      </c>
      <c r="G1828" s="110" t="s">
        <v>1732</v>
      </c>
      <c r="H1828" s="110" t="s">
        <v>1060</v>
      </c>
    </row>
    <row r="1829" spans="1:8" x14ac:dyDescent="0.25">
      <c r="A1829" s="109">
        <v>33105063946</v>
      </c>
      <c r="B1829" s="110" t="s">
        <v>1737</v>
      </c>
      <c r="C1829" s="110" t="s">
        <v>1721</v>
      </c>
      <c r="D1829" s="110" t="s">
        <v>1738</v>
      </c>
      <c r="E1829" s="110" t="s">
        <v>1730</v>
      </c>
      <c r="F1829" s="110" t="s">
        <v>1045</v>
      </c>
      <c r="G1829" s="110" t="s">
        <v>1732</v>
      </c>
      <c r="H1829" s="110" t="s">
        <v>1045</v>
      </c>
    </row>
    <row r="1830" spans="1:8" x14ac:dyDescent="0.25">
      <c r="A1830" s="109">
        <v>33105063947</v>
      </c>
      <c r="B1830" s="110" t="s">
        <v>1737</v>
      </c>
      <c r="C1830" s="110" t="s">
        <v>1721</v>
      </c>
      <c r="D1830" s="110" t="s">
        <v>1738</v>
      </c>
      <c r="E1830" s="110" t="s">
        <v>1730</v>
      </c>
      <c r="F1830" s="110" t="s">
        <v>1094</v>
      </c>
      <c r="G1830" s="110" t="s">
        <v>1732</v>
      </c>
      <c r="H1830" s="110" t="s">
        <v>1094</v>
      </c>
    </row>
    <row r="1831" spans="1:8" x14ac:dyDescent="0.25">
      <c r="A1831" s="109">
        <v>33105063948</v>
      </c>
      <c r="B1831" s="110" t="s">
        <v>1737</v>
      </c>
      <c r="C1831" s="110" t="s">
        <v>1721</v>
      </c>
      <c r="D1831" s="110" t="s">
        <v>1738</v>
      </c>
      <c r="E1831" s="110" t="s">
        <v>1730</v>
      </c>
      <c r="F1831" s="110" t="s">
        <v>1062</v>
      </c>
      <c r="G1831" s="110" t="s">
        <v>1732</v>
      </c>
      <c r="H1831" s="110" t="s">
        <v>1062</v>
      </c>
    </row>
    <row r="1832" spans="1:8" x14ac:dyDescent="0.25">
      <c r="A1832" s="31">
        <v>33105063990</v>
      </c>
      <c r="B1832" s="1" t="s">
        <v>1737</v>
      </c>
      <c r="C1832" s="1" t="s">
        <v>1721</v>
      </c>
      <c r="D1832" s="1" t="s">
        <v>2816</v>
      </c>
      <c r="E1832" s="1" t="s">
        <v>1730</v>
      </c>
      <c r="F1832" s="1" t="s">
        <v>1187</v>
      </c>
      <c r="G1832" s="1" t="s">
        <v>1732</v>
      </c>
      <c r="H1832" s="1" t="s">
        <v>1187</v>
      </c>
    </row>
    <row r="1833" spans="1:8" x14ac:dyDescent="0.25">
      <c r="A1833" s="31">
        <v>33105063991</v>
      </c>
      <c r="B1833" s="1" t="s">
        <v>1737</v>
      </c>
      <c r="C1833" s="1" t="s">
        <v>1721</v>
      </c>
      <c r="D1833" s="1" t="s">
        <v>2816</v>
      </c>
      <c r="E1833" s="1" t="s">
        <v>1730</v>
      </c>
      <c r="F1833" s="1" t="s">
        <v>1042</v>
      </c>
      <c r="G1833" s="1" t="s">
        <v>1732</v>
      </c>
      <c r="H1833" s="1" t="s">
        <v>1042</v>
      </c>
    </row>
    <row r="1834" spans="1:8" x14ac:dyDescent="0.25">
      <c r="A1834" s="31">
        <v>33105163075</v>
      </c>
      <c r="B1834" s="1" t="s">
        <v>1737</v>
      </c>
      <c r="C1834" s="1" t="s">
        <v>1721</v>
      </c>
      <c r="D1834" s="1" t="s">
        <v>2060</v>
      </c>
      <c r="E1834" s="1" t="s">
        <v>1730</v>
      </c>
      <c r="F1834" s="1" t="s">
        <v>997</v>
      </c>
      <c r="G1834" s="1" t="s">
        <v>1732</v>
      </c>
      <c r="H1834" s="1" t="s">
        <v>997</v>
      </c>
    </row>
    <row r="1835" spans="1:8" x14ac:dyDescent="0.25">
      <c r="A1835" s="31">
        <v>33105163079</v>
      </c>
      <c r="B1835" s="1" t="s">
        <v>1737</v>
      </c>
      <c r="C1835" s="1" t="s">
        <v>1721</v>
      </c>
      <c r="D1835" s="1" t="s">
        <v>2060</v>
      </c>
      <c r="E1835" s="1" t="s">
        <v>1730</v>
      </c>
      <c r="F1835" s="1" t="s">
        <v>1009</v>
      </c>
      <c r="G1835" s="1" t="s">
        <v>1732</v>
      </c>
      <c r="H1835" s="1" t="s">
        <v>1009</v>
      </c>
    </row>
    <row r="1836" spans="1:8" x14ac:dyDescent="0.25">
      <c r="A1836" s="31">
        <v>33105163080</v>
      </c>
      <c r="B1836" s="1" t="s">
        <v>1737</v>
      </c>
      <c r="C1836" s="1" t="s">
        <v>1721</v>
      </c>
      <c r="D1836" s="1" t="s">
        <v>2060</v>
      </c>
      <c r="E1836" s="1" t="s">
        <v>1730</v>
      </c>
      <c r="F1836" s="1" t="s">
        <v>998</v>
      </c>
      <c r="G1836" s="1" t="s">
        <v>1732</v>
      </c>
      <c r="H1836" s="1" t="s">
        <v>998</v>
      </c>
    </row>
    <row r="1837" spans="1:8" x14ac:dyDescent="0.25">
      <c r="A1837" s="31">
        <v>33105263888</v>
      </c>
      <c r="B1837" s="1" t="s">
        <v>1737</v>
      </c>
      <c r="C1837" s="1" t="s">
        <v>1721</v>
      </c>
      <c r="D1837" s="1" t="s">
        <v>2818</v>
      </c>
      <c r="E1837" s="1" t="s">
        <v>1730</v>
      </c>
      <c r="F1837" s="1" t="s">
        <v>1229</v>
      </c>
      <c r="G1837" s="1" t="s">
        <v>1732</v>
      </c>
      <c r="H1837" s="1" t="s">
        <v>1229</v>
      </c>
    </row>
    <row r="1838" spans="1:8" x14ac:dyDescent="0.25">
      <c r="A1838" s="31">
        <v>33602065249</v>
      </c>
      <c r="B1838" s="1" t="s">
        <v>1729</v>
      </c>
      <c r="C1838" s="1" t="s">
        <v>1701</v>
      </c>
      <c r="D1838" s="1" t="s">
        <v>1708</v>
      </c>
      <c r="E1838" s="1" t="s">
        <v>1755</v>
      </c>
      <c r="F1838" s="1" t="s">
        <v>3048</v>
      </c>
      <c r="G1838" s="1" t="s">
        <v>1756</v>
      </c>
      <c r="H1838" s="1" t="s">
        <v>3048</v>
      </c>
    </row>
    <row r="1839" spans="1:8" x14ac:dyDescent="0.25">
      <c r="A1839" s="31">
        <v>41060862153</v>
      </c>
      <c r="B1839" s="1" t="s">
        <v>2179</v>
      </c>
      <c r="C1839" s="1" t="s">
        <v>1747</v>
      </c>
      <c r="D1839" s="1" t="s">
        <v>1747</v>
      </c>
      <c r="E1839" s="1" t="s">
        <v>1747</v>
      </c>
      <c r="F1839" s="1" t="s">
        <v>2873</v>
      </c>
      <c r="G1839" s="1" t="s">
        <v>2185</v>
      </c>
      <c r="H1839" s="1" t="s">
        <v>2873</v>
      </c>
    </row>
    <row r="1840" spans="1:8" x14ac:dyDescent="0.25">
      <c r="A1840" s="144">
        <v>41063063752</v>
      </c>
      <c r="B1840" s="145" t="s">
        <v>1739</v>
      </c>
      <c r="C1840" s="145"/>
      <c r="D1840" s="145"/>
      <c r="E1840" s="145" t="s">
        <v>1747</v>
      </c>
      <c r="F1840" s="145" t="s">
        <v>1645</v>
      </c>
      <c r="G1840" s="145" t="s">
        <v>2871</v>
      </c>
      <c r="H1840" s="145" t="s">
        <v>1645</v>
      </c>
    </row>
    <row r="1841" spans="1:8" x14ac:dyDescent="0.25">
      <c r="A1841" s="144">
        <v>41063063753</v>
      </c>
      <c r="B1841" s="145" t="s">
        <v>1739</v>
      </c>
      <c r="C1841" s="145"/>
      <c r="D1841" s="145"/>
      <c r="E1841" s="145" t="s">
        <v>1747</v>
      </c>
      <c r="F1841" s="145" t="s">
        <v>1646</v>
      </c>
      <c r="G1841" s="145" t="s">
        <v>2871</v>
      </c>
      <c r="H1841" s="145" t="s">
        <v>1646</v>
      </c>
    </row>
    <row r="1842" spans="1:8" x14ac:dyDescent="0.25">
      <c r="A1842" s="144">
        <v>41063863527</v>
      </c>
      <c r="B1842" s="145" t="s">
        <v>1739</v>
      </c>
      <c r="C1842" s="145"/>
      <c r="D1842" s="145"/>
      <c r="E1842" s="145" t="s">
        <v>1747</v>
      </c>
      <c r="F1842" s="145" t="s">
        <v>1536</v>
      </c>
      <c r="G1842" s="145" t="s">
        <v>2871</v>
      </c>
      <c r="H1842" s="145" t="s">
        <v>1536</v>
      </c>
    </row>
    <row r="1843" spans="1:8" x14ac:dyDescent="0.25">
      <c r="A1843" s="144">
        <v>41063863528</v>
      </c>
      <c r="B1843" s="145" t="s">
        <v>1739</v>
      </c>
      <c r="C1843" s="145"/>
      <c r="D1843" s="145"/>
      <c r="E1843" s="145" t="s">
        <v>1747</v>
      </c>
      <c r="F1843" s="145" t="s">
        <v>1537</v>
      </c>
      <c r="G1843" s="145" t="s">
        <v>2871</v>
      </c>
      <c r="H1843" s="145" t="s">
        <v>1537</v>
      </c>
    </row>
    <row r="1844" spans="1:8" x14ac:dyDescent="0.25">
      <c r="A1844" s="144">
        <v>41063863529</v>
      </c>
      <c r="B1844" s="145" t="s">
        <v>1739</v>
      </c>
      <c r="C1844" s="145"/>
      <c r="D1844" s="145"/>
      <c r="E1844" s="145" t="s">
        <v>1747</v>
      </c>
      <c r="F1844" s="145" t="s">
        <v>1538</v>
      </c>
      <c r="G1844" s="145" t="s">
        <v>2871</v>
      </c>
      <c r="H1844" s="145" t="s">
        <v>1538</v>
      </c>
    </row>
    <row r="1845" spans="1:8" x14ac:dyDescent="0.25">
      <c r="A1845" s="144">
        <v>41063863530</v>
      </c>
      <c r="B1845" s="145" t="s">
        <v>1739</v>
      </c>
      <c r="C1845" s="145"/>
      <c r="D1845" s="145"/>
      <c r="E1845" s="145" t="s">
        <v>1747</v>
      </c>
      <c r="F1845" s="145" t="s">
        <v>1539</v>
      </c>
      <c r="G1845" s="145" t="s">
        <v>2871</v>
      </c>
      <c r="H1845" s="145" t="s">
        <v>1539</v>
      </c>
    </row>
    <row r="1846" spans="1:8" x14ac:dyDescent="0.25">
      <c r="A1846" s="31">
        <v>41063863531</v>
      </c>
      <c r="B1846" s="1" t="s">
        <v>1739</v>
      </c>
      <c r="E1846" s="1" t="s">
        <v>1747</v>
      </c>
      <c r="F1846" s="1" t="s">
        <v>1540</v>
      </c>
      <c r="G1846" s="1" t="s">
        <v>2871</v>
      </c>
      <c r="H1846" s="1" t="s">
        <v>1540</v>
      </c>
    </row>
    <row r="1847" spans="1:8" x14ac:dyDescent="0.25">
      <c r="A1847" s="31">
        <v>41070814031</v>
      </c>
      <c r="B1847" s="1" t="s">
        <v>2179</v>
      </c>
      <c r="C1847" s="1" t="s">
        <v>1747</v>
      </c>
      <c r="D1847" s="1" t="s">
        <v>1747</v>
      </c>
      <c r="E1847" s="1" t="s">
        <v>1747</v>
      </c>
      <c r="F1847" s="1" t="s">
        <v>2832</v>
      </c>
      <c r="G1847" s="1" t="s">
        <v>2185</v>
      </c>
      <c r="H1847" s="1" t="s">
        <v>2832</v>
      </c>
    </row>
    <row r="1848" spans="1:8" x14ac:dyDescent="0.25">
      <c r="A1848" s="31">
        <v>41070814033</v>
      </c>
      <c r="B1848" s="1" t="s">
        <v>2179</v>
      </c>
      <c r="C1848" s="1" t="s">
        <v>1747</v>
      </c>
      <c r="D1848" s="1" t="s">
        <v>1747</v>
      </c>
      <c r="E1848" s="1" t="s">
        <v>1747</v>
      </c>
      <c r="F1848" s="1" t="s">
        <v>2833</v>
      </c>
      <c r="G1848" s="1" t="s">
        <v>2185</v>
      </c>
      <c r="H1848" s="1" t="s">
        <v>2833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171"/>
  <sheetViews>
    <sheetView zoomScale="85" zoomScaleNormal="85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A13" sqref="A13"/>
    </sheetView>
  </sheetViews>
  <sheetFormatPr defaultRowHeight="15" x14ac:dyDescent="0.25"/>
  <cols>
    <col min="1" max="1" width="13.5703125" bestFit="1" customWidth="1"/>
    <col min="2" max="2" width="5" hidden="1" customWidth="1"/>
    <col min="3" max="3" width="15.42578125" customWidth="1"/>
    <col min="4" max="4" width="57.140625" customWidth="1"/>
    <col min="5" max="5" width="21.28515625" bestFit="1" customWidth="1"/>
    <col min="6" max="6" width="13.140625" customWidth="1"/>
    <col min="7" max="7" width="19.42578125" customWidth="1"/>
    <col min="8" max="8" width="12.42578125" customWidth="1"/>
    <col min="9" max="9" width="9.42578125" customWidth="1"/>
    <col min="10" max="10" width="11.42578125" customWidth="1"/>
    <col min="11" max="11" width="12.5703125" bestFit="1" customWidth="1"/>
    <col min="12" max="12" width="11.140625" style="178" customWidth="1"/>
    <col min="13" max="13" width="10.28515625" customWidth="1"/>
    <col min="14" max="14" width="17" style="178" customWidth="1"/>
    <col min="15" max="15" width="14.85546875" style="178" customWidth="1"/>
    <col min="16" max="16" width="14.140625" customWidth="1"/>
    <col min="17" max="17" width="9.28515625" customWidth="1"/>
    <col min="18" max="23" width="9.7109375" customWidth="1"/>
    <col min="24" max="24" width="9.7109375" style="84" customWidth="1"/>
    <col min="25" max="25" width="12.42578125" style="84" customWidth="1"/>
    <col min="26" max="26" width="9.7109375" style="84" customWidth="1"/>
    <col min="27" max="28" width="9.7109375" customWidth="1"/>
    <col min="29" max="30" width="9.7109375" style="168" hidden="1" customWidth="1"/>
    <col min="31" max="31" width="9.7109375" customWidth="1"/>
    <col min="32" max="32" width="35.7109375" bestFit="1" customWidth="1"/>
  </cols>
  <sheetData>
    <row r="1" spans="1:32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6" t="s">
        <v>19</v>
      </c>
      <c r="S1" s="187"/>
      <c r="T1" s="188"/>
      <c r="U1" s="184" t="s">
        <v>32</v>
      </c>
      <c r="V1" s="184"/>
      <c r="W1" s="184"/>
      <c r="X1" s="184" t="s">
        <v>3055</v>
      </c>
      <c r="Y1" s="184"/>
      <c r="Z1" s="184"/>
      <c r="AA1" s="184" t="s">
        <v>3098</v>
      </c>
      <c r="AB1" s="184"/>
      <c r="AC1" s="184"/>
      <c r="AD1" s="184"/>
      <c r="AE1" s="184"/>
      <c r="AF1" s="184" t="s">
        <v>34</v>
      </c>
    </row>
    <row r="2" spans="1:32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89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2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4" t="s">
        <v>20</v>
      </c>
      <c r="R3" s="194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 t="s">
        <v>20</v>
      </c>
      <c r="AB3" s="184" t="s">
        <v>21</v>
      </c>
      <c r="AC3" s="170"/>
      <c r="AD3" s="170"/>
      <c r="AE3" s="184" t="s">
        <v>22</v>
      </c>
      <c r="AF3" s="184"/>
    </row>
    <row r="4" spans="1:32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70"/>
      <c r="AD4" s="170"/>
      <c r="AE4" s="184"/>
      <c r="AF4" s="184"/>
    </row>
    <row r="5" spans="1:32" s="19" customFormat="1" ht="30" customHeigh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70"/>
      <c r="AD5" s="170"/>
      <c r="AE5" s="184"/>
      <c r="AF5" s="184"/>
    </row>
    <row r="6" spans="1:32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176" t="s">
        <v>12</v>
      </c>
      <c r="M6" s="20" t="s">
        <v>13</v>
      </c>
      <c r="N6" s="179" t="s">
        <v>15</v>
      </c>
      <c r="O6" s="179" t="s">
        <v>16</v>
      </c>
      <c r="P6" s="20" t="s">
        <v>18</v>
      </c>
      <c r="Q6" s="74" t="s">
        <v>2836</v>
      </c>
      <c r="R6" s="41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3058</v>
      </c>
      <c r="Y6" s="37" t="s">
        <v>3057</v>
      </c>
      <c r="Z6" s="42" t="s">
        <v>3056</v>
      </c>
      <c r="AA6" s="41" t="s">
        <v>29</v>
      </c>
      <c r="AB6" s="37" t="s">
        <v>30</v>
      </c>
      <c r="AC6" s="37" t="s">
        <v>3092</v>
      </c>
      <c r="AD6" s="37" t="s">
        <v>3093</v>
      </c>
      <c r="AE6" s="42" t="s">
        <v>31</v>
      </c>
      <c r="AF6" s="20" t="s">
        <v>34</v>
      </c>
    </row>
    <row r="7" spans="1:32" hidden="1" x14ac:dyDescent="0.25">
      <c r="A7" s="22" t="s">
        <v>2129</v>
      </c>
      <c r="B7" s="22" t="str">
        <f>IF(OR(Olfa[[#This Row],[Status]]="Em linha",Olfa[[#This Row],[Status]]="Materia Prima",Olfa[[#This Row],[Status]]="Componente"),"ok",IF(Olfa[[#This Row],[Estoque+Importação]]&lt;1,"Tirar","ok"))</f>
        <v>ok</v>
      </c>
      <c r="C7" s="23">
        <v>33070663719</v>
      </c>
      <c r="D7" s="22" t="s">
        <v>1215</v>
      </c>
      <c r="E7" s="22" t="str">
        <f>VLOOKUP(Olfa[[#This Row],[Código]],BD_Produto[],3,FALSE)</f>
        <v>Estojo de Lâminas</v>
      </c>
      <c r="F7" s="22" t="str">
        <f>VLOOKUP(Olfa[[#This Row],[Código]],BD_Produto[],4,FALSE)</f>
        <v>Heavy Duty</v>
      </c>
      <c r="G7" s="24">
        <v>240</v>
      </c>
      <c r="H7" s="28">
        <v>145</v>
      </c>
      <c r="I7" s="22" t="s">
        <v>2849</v>
      </c>
      <c r="J7" s="24"/>
      <c r="K7" s="24" t="str">
        <f>IFERROR(VLOOKUP(Olfa[[#This Row],[Código]],Importação!P:R,3,FALSE),"")</f>
        <v/>
      </c>
      <c r="L7" s="177">
        <f>IFERROR(VLOOKUP(Olfa[[#This Row],[Código]],Saldo[],3,FALSE),0)</f>
        <v>248</v>
      </c>
      <c r="M7" s="24">
        <f>SUM(Olfa[[#This Row],[Produção]:[Estoque]])</f>
        <v>248</v>
      </c>
      <c r="N7" s="177">
        <f>IFERROR(Olfa[[#This Row],[Estoque+Importação]]/Olfa[[#This Row],[Proj. de V. No prox. mes]],"Sem Projeção")</f>
        <v>2.7252747252747254</v>
      </c>
      <c r="O7" s="177">
        <f>IF(OR(Olfa[[#This Row],[Status]]="Em Linha",Olfa[[#This Row],[Status]]="Componente",Olfa[[#This Row],[Status]]="Materia Prima"),Olfa[[#This Row],[Proj. de V. No prox. mes]]*10,"-")</f>
        <v>910</v>
      </c>
      <c r="P7" s="34">
        <f>IF(OR(Olfa[[#This Row],[Status]]="Em Linha",Olfa[[#This Row],[Status]]="Componente",Olfa[[#This Row],[Status]]="Materia Prima"),Olfa[[#This Row],[estoque 10 meses]]-Olfa[[#This Row],[Estoque+Importação]],0)</f>
        <v>662</v>
      </c>
      <c r="Q7" s="75">
        <f>Olfa[[#This Row],[Colunas1]]+Olfa[[#This Row],[Colunas2]]</f>
        <v>91</v>
      </c>
      <c r="R7" s="43">
        <f>VLOOKUP(Olfa[[#This Row],[Código]],Projeção[#All],14,FALSE)</f>
        <v>36.533333333333331</v>
      </c>
      <c r="S7" s="39">
        <f>IFERROR(VLOOKUP(Olfa[[#This Row],[Código]],Vendas!A3:B82,2,FALSE),0)</f>
        <v>0</v>
      </c>
      <c r="T7" s="44">
        <f>IFERROR(Olfa[[#This Row],[V. No mes]]/Olfa[[#This Row],[Proj. de V. No mes]],"")</f>
        <v>0</v>
      </c>
      <c r="U7" s="43">
        <f>VLOOKUP(Olfa[[#This Row],[Código]],Projeção[#All],14,FALSE)+VLOOKUP(Olfa[[#This Row],[Código]],Projeção[#All],13,FALSE)+VLOOKUP(Olfa[[#This Row],[Código]],Projeção[#All],12,FALSE)</f>
        <v>82.466666666666669</v>
      </c>
      <c r="V7" s="39">
        <f>IFERROR(VLOOKUP(Olfa[[#This Row],[Código]],Venda_3meses[],2,FALSE),0)</f>
        <v>178</v>
      </c>
      <c r="W7" s="44">
        <f>IFERROR(Olfa[[#This Row],[V. 3 meses]]/Olfa[[#This Row],[Proj. de V. 3 meses]],"")</f>
        <v>2.158447857720291</v>
      </c>
      <c r="X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150.19999999999999</v>
      </c>
      <c r="Y7" s="101">
        <f>IFERROR(VLOOKUP(Olfa[[#This Row],[Código]],Venda_6meses[],2,FALSE),0)</f>
        <v>203</v>
      </c>
      <c r="Z7" s="45">
        <f>IFERROR(Olfa[[#This Row],[V. 6 meses]]/Olfa[[#This Row],[Proj. de V. 6 meses]],"")</f>
        <v>1.3515312916111852</v>
      </c>
      <c r="AA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347.0333333333333</v>
      </c>
      <c r="AB7" s="39">
        <f>IFERROR(VLOOKUP(Olfa[[#This Row],[Código]],Venda_12meses[],2,FALSE),0)</f>
        <v>455</v>
      </c>
      <c r="AC7" s="171">
        <f>Olfa[[#This Row],[V. 12 meses]]/6</f>
        <v>75.833333333333329</v>
      </c>
      <c r="AD7" s="171">
        <f>Olfa[[#This Row],[Colunas1]]*0.2</f>
        <v>15.166666666666666</v>
      </c>
      <c r="AE7" s="44">
        <f>IFERROR(Olfa[[#This Row],[V. 12 meses]]/Olfa[[#This Row],[Proj. de V. 12 meses]],"")</f>
        <v>1.3111132456056096</v>
      </c>
      <c r="AF7" s="22"/>
    </row>
    <row r="8" spans="1:32" hidden="1" x14ac:dyDescent="0.25">
      <c r="A8" s="22" t="s">
        <v>2129</v>
      </c>
      <c r="B8" s="22" t="str">
        <f>IF(OR(Olfa[[#This Row],[Status]]="Em linha",Olfa[[#This Row],[Status]]="Materia Prima",Olfa[[#This Row],[Status]]="Componente"),"ok",IF(Olfa[[#This Row],[Estoque+Importação]]&lt;1,"Tirar","ok"))</f>
        <v>ok</v>
      </c>
      <c r="C8" s="23">
        <v>33070663218</v>
      </c>
      <c r="D8" s="22" t="s">
        <v>684</v>
      </c>
      <c r="E8" s="22" t="str">
        <f>VLOOKUP(Olfa[[#This Row],[Código]],BD_Produto[],3,FALSE)</f>
        <v>Estilete de Segurança</v>
      </c>
      <c r="F8" s="22" t="str">
        <f>VLOOKUP(Olfa[[#This Row],[Código]],BD_Produto[],4,FALSE)</f>
        <v>Segurança</v>
      </c>
      <c r="G8" s="24">
        <v>120</v>
      </c>
      <c r="H8" s="28">
        <v>245.5</v>
      </c>
      <c r="I8" s="22" t="s">
        <v>2849</v>
      </c>
      <c r="J8" s="79"/>
      <c r="K8" s="24"/>
      <c r="L8" s="177">
        <f>IFERROR(VLOOKUP(Olfa[[#This Row],[Código]],Saldo[],3,FALSE),0)</f>
        <v>1542</v>
      </c>
      <c r="M8" s="24">
        <f>SUM(Olfa[[#This Row],[Produção]:[Estoque]])</f>
        <v>1542</v>
      </c>
      <c r="N8" s="177">
        <f>IFERROR(Olfa[[#This Row],[Estoque+Importação]]/Olfa[[#This Row],[Proj. de V. No prox. mes]],"Sem Projeção")</f>
        <v>6.2836185819070902</v>
      </c>
      <c r="O8" s="177">
        <f>IF(OR(Olfa[[#This Row],[Status]]="Em Linha",Olfa[[#This Row],[Status]]="Componente",Olfa[[#This Row],[Status]]="Materia Prima"),Olfa[[#This Row],[Proj. de V. No prox. mes]]*10,"-")</f>
        <v>2454</v>
      </c>
      <c r="P8" s="34">
        <f>IF(OR(Olfa[[#This Row],[Status]]="Em Linha",Olfa[[#This Row],[Status]]="Componente",Olfa[[#This Row],[Status]]="Materia Prima"),Olfa[[#This Row],[estoque 10 meses]]-Olfa[[#This Row],[Estoque+Importação]],0)</f>
        <v>912</v>
      </c>
      <c r="Q8" s="75">
        <f>Olfa[[#This Row],[Colunas1]]+Olfa[[#This Row],[Colunas2]]</f>
        <v>245.4</v>
      </c>
      <c r="R8" s="43">
        <f>VLOOKUP(Olfa[[#This Row],[Código]],Projeção[#All],14,FALSE)</f>
        <v>88.133333333333326</v>
      </c>
      <c r="S8" s="39">
        <f>IFERROR(VLOOKUP(Olfa[[#This Row],[Código]],Vendas!A4:B83,2,FALSE),0)</f>
        <v>0</v>
      </c>
      <c r="T8" s="44">
        <f>IFERROR(Olfa[[#This Row],[V. No mes]]/Olfa[[#This Row],[Proj. de V. No mes]],"")</f>
        <v>0</v>
      </c>
      <c r="U8" s="43">
        <f>VLOOKUP(Olfa[[#This Row],[Código]],Projeção[#All],14,FALSE)+VLOOKUP(Olfa[[#This Row],[Código]],Projeção[#All],13,FALSE)+VLOOKUP(Olfa[[#This Row],[Código]],Projeção[#All],12,FALSE)</f>
        <v>214.06666666666666</v>
      </c>
      <c r="V8" s="39">
        <f>IFERROR(VLOOKUP(Olfa[[#This Row],[Código]],Venda_3meses[],2,FALSE),0)</f>
        <v>245</v>
      </c>
      <c r="W8" s="44">
        <f>IFERROR(Olfa[[#This Row],[V. 3 meses]]/Olfa[[#This Row],[Proj. de V. 3 meses]],"")</f>
        <v>1.1445032700093429</v>
      </c>
      <c r="X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374.36666666666667</v>
      </c>
      <c r="Y8" s="101">
        <f>IFERROR(VLOOKUP(Olfa[[#This Row],[Código]],Venda_6meses[],2,FALSE),0)</f>
        <v>542</v>
      </c>
      <c r="Z8" s="45">
        <f>IFERROR(Olfa[[#This Row],[V. 6 meses]]/Olfa[[#This Row],[Proj. de V. 6 meses]],"")</f>
        <v>1.4477784703054046</v>
      </c>
      <c r="AA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527.13333333333333</v>
      </c>
      <c r="AB8" s="39">
        <f>IFERROR(VLOOKUP(Olfa[[#This Row],[Código]],Venda_12meses[],2,FALSE),0)</f>
        <v>1227</v>
      </c>
      <c r="AC8" s="171">
        <f>Olfa[[#This Row],[V. 12 meses]]/6</f>
        <v>204.5</v>
      </c>
      <c r="AD8" s="171">
        <f>Olfa[[#This Row],[Colunas1]]*0.2</f>
        <v>40.900000000000006</v>
      </c>
      <c r="AE8" s="44">
        <f>IFERROR(Olfa[[#This Row],[V. 12 meses]]/Olfa[[#This Row],[Proj. de V. 12 meses]],"")</f>
        <v>2.3276843303402051</v>
      </c>
      <c r="AF8" s="22"/>
    </row>
    <row r="9" spans="1:32" hidden="1" x14ac:dyDescent="0.25">
      <c r="A9" s="22" t="s">
        <v>2129</v>
      </c>
      <c r="B9" s="22" t="str">
        <f>IF(OR(Olfa[[#This Row],[Status]]="Em linha",Olfa[[#This Row],[Status]]="Materia Prima",Olfa[[#This Row],[Status]]="Componente"),"ok",IF(Olfa[[#This Row],[Estoque+Importação]]&lt;1,"Tirar","ok"))</f>
        <v>ok</v>
      </c>
      <c r="C9" s="23">
        <v>33070663727</v>
      </c>
      <c r="D9" s="22" t="s">
        <v>1245</v>
      </c>
      <c r="E9" s="22" t="str">
        <f>VLOOKUP(Olfa[[#This Row],[Código]],BD_Produto[],3,FALSE)</f>
        <v>Estojo de Lâminas</v>
      </c>
      <c r="F9" s="22" t="str">
        <f>VLOOKUP(Olfa[[#This Row],[Código]],BD_Produto[],4,FALSE)</f>
        <v>Heavy Duty</v>
      </c>
      <c r="G9" s="24">
        <v>120</v>
      </c>
      <c r="H9" s="28">
        <v>157</v>
      </c>
      <c r="I9" s="22" t="s">
        <v>2849</v>
      </c>
      <c r="J9" s="24"/>
      <c r="K9" s="24"/>
      <c r="L9" s="177">
        <f>IFERROR(VLOOKUP(Olfa[[#This Row],[Código]],Saldo[],3,FALSE),0)</f>
        <v>59536</v>
      </c>
      <c r="M9" s="24">
        <f>SUM(Olfa[[#This Row],[Produção]:[Estoque]])</f>
        <v>59536</v>
      </c>
      <c r="N9" s="177">
        <f>IFERROR(Olfa[[#This Row],[Estoque+Importação]]/Olfa[[#This Row],[Proj. de V. No prox. mes]],"Sem Projeção")</f>
        <v>5.2917125893269814</v>
      </c>
      <c r="O9" s="177">
        <f>IF(OR(Olfa[[#This Row],[Status]]="Em Linha",Olfa[[#This Row],[Status]]="Componente",Olfa[[#This Row],[Status]]="Materia Prima"),Olfa[[#This Row],[Proj. de V. No prox. mes]]*10,"-")</f>
        <v>112508</v>
      </c>
      <c r="P9" s="34">
        <f>IF(OR(Olfa[[#This Row],[Status]]="Em Linha",Olfa[[#This Row],[Status]]="Componente",Olfa[[#This Row],[Status]]="Materia Prima"),Olfa[[#This Row],[estoque 10 meses]]-Olfa[[#This Row],[Estoque+Importação]],0)</f>
        <v>52972</v>
      </c>
      <c r="Q9" s="75">
        <f>Olfa[[#This Row],[Colunas1]]+Olfa[[#This Row],[Colunas2]]</f>
        <v>11250.8</v>
      </c>
      <c r="R9" s="43">
        <f>VLOOKUP(Olfa[[#This Row],[Código]],Projeção[#All],14,FALSE)</f>
        <v>7776.9333333333325</v>
      </c>
      <c r="S9" s="39">
        <f>IFERROR(VLOOKUP(Olfa[[#This Row],[Código]],Vendas!A5:B84,2,FALSE),0)</f>
        <v>0</v>
      </c>
      <c r="T9" s="44">
        <f>IFERROR(Olfa[[#This Row],[V. No mes]]/Olfa[[#This Row],[Proj. de V. No mes]],"")</f>
        <v>0</v>
      </c>
      <c r="U9" s="43">
        <f>VLOOKUP(Olfa[[#This Row],[Código]],Projeção[#All],14,FALSE)+VLOOKUP(Olfa[[#This Row],[Código]],Projeção[#All],13,FALSE)+VLOOKUP(Olfa[[#This Row],[Código]],Projeção[#All],12,FALSE)</f>
        <v>23696.6</v>
      </c>
      <c r="V9" s="39">
        <f>IFERROR(VLOOKUP(Olfa[[#This Row],[Código]],Venda_3meses[],2,FALSE),0)</f>
        <v>4653</v>
      </c>
      <c r="W9" s="44">
        <f>IFERROR(Olfa[[#This Row],[V. 3 meses]]/Olfa[[#This Row],[Proj. de V. 3 meses]],"")</f>
        <v>0.19635728332334598</v>
      </c>
      <c r="X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34197.699999999997</v>
      </c>
      <c r="Y9" s="101">
        <f>IFERROR(VLOOKUP(Olfa[[#This Row],[Código]],Venda_6meses[],2,FALSE),0)</f>
        <v>14504</v>
      </c>
      <c r="Z9" s="45">
        <f>IFERROR(Olfa[[#This Row],[V. 6 meses]]/Olfa[[#This Row],[Proj. de V. 6 meses]],"")</f>
        <v>0.42412209008208157</v>
      </c>
      <c r="AA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60308.366666666669</v>
      </c>
      <c r="AB9" s="39">
        <f>IFERROR(VLOOKUP(Olfa[[#This Row],[Código]],Venda_12meses[],2,FALSE),0)</f>
        <v>56254</v>
      </c>
      <c r="AC9" s="171">
        <f>Olfa[[#This Row],[V. 12 meses]]/6</f>
        <v>9375.6666666666661</v>
      </c>
      <c r="AD9" s="171">
        <f>Olfa[[#This Row],[Colunas1]]*0.2</f>
        <v>1875.1333333333332</v>
      </c>
      <c r="AE9" s="44">
        <f>IFERROR(Olfa[[#This Row],[V. 12 meses]]/Olfa[[#This Row],[Proj. de V. 12 meses]],"")</f>
        <v>0.93277273302598696</v>
      </c>
      <c r="AF9" s="22" t="s">
        <v>1669</v>
      </c>
    </row>
    <row r="10" spans="1:32" hidden="1" x14ac:dyDescent="0.25">
      <c r="A10" s="22" t="s">
        <v>2129</v>
      </c>
      <c r="B10" s="22" t="str">
        <f>IF(OR(Olfa[[#This Row],[Status]]="Em linha",Olfa[[#This Row],[Status]]="Materia Prima",Olfa[[#This Row],[Status]]="Componente"),"ok",IF(Olfa[[#This Row],[Estoque+Importação]]&lt;1,"Tirar","ok"))</f>
        <v>ok</v>
      </c>
      <c r="C10" s="23">
        <v>33070654135</v>
      </c>
      <c r="D10" s="22" t="s">
        <v>668</v>
      </c>
      <c r="E10" s="22" t="str">
        <f>VLOOKUP(Olfa[[#This Row],[Código]],BD_Produto[],3,FALSE)</f>
        <v>Estojo de Lâminas</v>
      </c>
      <c r="F10" s="22" t="str">
        <f>VLOOKUP(Olfa[[#This Row],[Código]],BD_Produto[],4,FALSE)</f>
        <v>Segurança</v>
      </c>
      <c r="G10" s="24">
        <v>240</v>
      </c>
      <c r="H10" s="28">
        <v>84</v>
      </c>
      <c r="I10" s="22" t="s">
        <v>2849</v>
      </c>
      <c r="J10" s="24"/>
      <c r="K10" s="24"/>
      <c r="L10" s="177">
        <f>IFERROR(VLOOKUP(Olfa[[#This Row],[Código]],Saldo[],3,FALSE),0)</f>
        <v>173</v>
      </c>
      <c r="M10" s="24">
        <f>SUM(Olfa[[#This Row],[Produção]:[Estoque]])</f>
        <v>173</v>
      </c>
      <c r="N10" s="177">
        <f>IFERROR(Olfa[[#This Row],[Estoque+Importação]]/Olfa[[#This Row],[Proj. de V. No prox. mes]],"Sem Projeção")</f>
        <v>3.6652542372881354</v>
      </c>
      <c r="O10" s="177">
        <f>IF(OR(Olfa[[#This Row],[Status]]="Em Linha",Olfa[[#This Row],[Status]]="Componente",Olfa[[#This Row],[Status]]="Materia Prima"),Olfa[[#This Row],[Proj. de V. No prox. mes]]*10,"-")</f>
        <v>472</v>
      </c>
      <c r="P10" s="34">
        <f>IF(OR(Olfa[[#This Row],[Status]]="Em Linha",Olfa[[#This Row],[Status]]="Componente",Olfa[[#This Row],[Status]]="Materia Prima"),Olfa[[#This Row],[estoque 10 meses]]-Olfa[[#This Row],[Estoque+Importação]],0)</f>
        <v>299</v>
      </c>
      <c r="Q10" s="75">
        <f>Olfa[[#This Row],[Colunas1]]+Olfa[[#This Row],[Colunas2]]</f>
        <v>47.2</v>
      </c>
      <c r="R10" s="43">
        <f>VLOOKUP(Olfa[[#This Row],[Código]],Projeção[#All],14,FALSE)</f>
        <v>21.833333333333332</v>
      </c>
      <c r="S10" s="39">
        <f>IFERROR(VLOOKUP(Olfa[[#This Row],[Código]],Vendas!A6:B85,2,FALSE),0)</f>
        <v>0</v>
      </c>
      <c r="T10" s="44">
        <f>IFERROR(Olfa[[#This Row],[V. No mes]]/Olfa[[#This Row],[Proj. de V. No mes]],"")</f>
        <v>0</v>
      </c>
      <c r="U10" s="43">
        <f>VLOOKUP(Olfa[[#This Row],[Código]],Projeção[#All],14,FALSE)+VLOOKUP(Olfa[[#This Row],[Código]],Projeção[#All],13,FALSE)+VLOOKUP(Olfa[[#This Row],[Código]],Projeção[#All],12,FALSE)</f>
        <v>48.099999999999994</v>
      </c>
      <c r="V10" s="39">
        <f>IFERROR(VLOOKUP(Olfa[[#This Row],[Código]],Venda_3meses[],2,FALSE),0)</f>
        <v>34</v>
      </c>
      <c r="W10" s="44">
        <f>IFERROR(Olfa[[#This Row],[V. 3 meses]]/Olfa[[#This Row],[Proj. de V. 3 meses]],"")</f>
        <v>0.7068607068607069</v>
      </c>
      <c r="X1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90.8</v>
      </c>
      <c r="Y10" s="101">
        <f>IFERROR(VLOOKUP(Olfa[[#This Row],[Código]],Venda_6meses[],2,FALSE),0)</f>
        <v>68</v>
      </c>
      <c r="Z10" s="45">
        <f>IFERROR(Olfa[[#This Row],[V. 6 meses]]/Olfa[[#This Row],[Proj. de V. 6 meses]],"")</f>
        <v>0.74889867841409696</v>
      </c>
      <c r="AA1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235</v>
      </c>
      <c r="AB10" s="39">
        <f>IFERROR(VLOOKUP(Olfa[[#This Row],[Código]],Venda_12meses[],2,FALSE),0)</f>
        <v>236</v>
      </c>
      <c r="AC10" s="171">
        <f>Olfa[[#This Row],[V. 12 meses]]/6</f>
        <v>39.333333333333336</v>
      </c>
      <c r="AD10" s="171">
        <f>Olfa[[#This Row],[Colunas1]]*0.2</f>
        <v>7.8666666666666671</v>
      </c>
      <c r="AE10" s="44">
        <f>IFERROR(Olfa[[#This Row],[V. 12 meses]]/Olfa[[#This Row],[Proj. de V. 12 meses]],"")</f>
        <v>1.0042553191489361</v>
      </c>
      <c r="AF10" s="22"/>
    </row>
    <row r="11" spans="1:32" x14ac:dyDescent="0.25">
      <c r="A11" s="22" t="s">
        <v>2129</v>
      </c>
      <c r="B11" s="22" t="str">
        <f>IF(OR(Olfa[[#This Row],[Status]]="Em linha",Olfa[[#This Row],[Status]]="Materia Prima",Olfa[[#This Row],[Status]]="Componente"),"ok",IF(Olfa[[#This Row],[Estoque+Importação]]&lt;1,"Tirar","ok"))</f>
        <v>ok</v>
      </c>
      <c r="C11" s="23">
        <v>33070663584</v>
      </c>
      <c r="D11" s="22" t="s">
        <v>686</v>
      </c>
      <c r="E11" s="22" t="str">
        <f>VLOOKUP(Olfa[[#This Row],[Código]],BD_Produto[],3,FALSE)</f>
        <v>Estojo de Lâminas</v>
      </c>
      <c r="F11" s="22" t="str">
        <f>VLOOKUP(Olfa[[#This Row],[Código]],BD_Produto[],4,FALSE)</f>
        <v>Heavy Duty</v>
      </c>
      <c r="G11" s="24">
        <v>72</v>
      </c>
      <c r="H11" s="28">
        <v>300</v>
      </c>
      <c r="I11" s="22" t="s">
        <v>2849</v>
      </c>
      <c r="J11" s="24"/>
      <c r="K11" s="24"/>
      <c r="L11" s="177">
        <f>IFERROR(VLOOKUP(Olfa[[#This Row],[Código]],Saldo[],3,FALSE),0)</f>
        <v>10</v>
      </c>
      <c r="M11" s="24">
        <f>SUM(Olfa[[#This Row],[Produção]:[Estoque]])</f>
        <v>10</v>
      </c>
      <c r="N11" s="177">
        <f>IFERROR(Olfa[[#This Row],[Estoque+Importação]]/Olfa[[#This Row],[Proj. de V. No prox. mes]],"Sem Projeção")</f>
        <v>0.73529411764705876</v>
      </c>
      <c r="O11" s="177">
        <f>IF(OR(Olfa[[#This Row],[Status]]="Em Linha",Olfa[[#This Row],[Status]]="Componente",Olfa[[#This Row],[Status]]="Materia Prima"),Olfa[[#This Row],[Proj. de V. No prox. mes]]*10,"-")</f>
        <v>136</v>
      </c>
      <c r="P11" s="34">
        <f>IF(OR(Olfa[[#This Row],[Status]]="Em Linha",Olfa[[#This Row],[Status]]="Componente",Olfa[[#This Row],[Status]]="Materia Prima"),Olfa[[#This Row],[estoque 10 meses]]-Olfa[[#This Row],[Estoque+Importação]],0)</f>
        <v>126</v>
      </c>
      <c r="Q11" s="75">
        <f>Olfa[[#This Row],[Colunas1]]+Olfa[[#This Row],[Colunas2]]</f>
        <v>13.600000000000001</v>
      </c>
      <c r="R11" s="43">
        <f>VLOOKUP(Olfa[[#This Row],[Código]],Projeção[#All],14,FALSE)</f>
        <v>3.5999999999999996</v>
      </c>
      <c r="S11" s="39">
        <f>IFERROR(VLOOKUP(Olfa[[#This Row],[Código]],Vendas!A7:B86,2,FALSE),0)</f>
        <v>0</v>
      </c>
      <c r="T11" s="44">
        <f>IFERROR(Olfa[[#This Row],[V. No mes]]/Olfa[[#This Row],[Proj. de V. No mes]],"")</f>
        <v>0</v>
      </c>
      <c r="U11" s="43">
        <f>VLOOKUP(Olfa[[#This Row],[Código]],Projeção[#All],14,FALSE)+VLOOKUP(Olfa[[#This Row],[Código]],Projeção[#All],13,FALSE)+VLOOKUP(Olfa[[#This Row],[Código]],Projeção[#All],12,FALSE)</f>
        <v>8.8333333333333321</v>
      </c>
      <c r="V11" s="39">
        <f>IFERROR(VLOOKUP(Olfa[[#This Row],[Código]],Venda_3meses[],2,FALSE),0)</f>
        <v>17</v>
      </c>
      <c r="W11" s="44">
        <f>IFERROR(Olfa[[#This Row],[V. 3 meses]]/Olfa[[#This Row],[Proj. de V. 3 meses]],"")</f>
        <v>1.9245283018867927</v>
      </c>
      <c r="X1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11.133333333333333</v>
      </c>
      <c r="Y11" s="101">
        <f>IFERROR(VLOOKUP(Olfa[[#This Row],[Código]],Venda_6meses[],2,FALSE),0)</f>
        <v>17</v>
      </c>
      <c r="Z11" s="45">
        <f>IFERROR(Olfa[[#This Row],[V. 6 meses]]/Olfa[[#This Row],[Proj. de V. 6 meses]],"")</f>
        <v>1.5269461077844313</v>
      </c>
      <c r="AA1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55.43333333333333</v>
      </c>
      <c r="AB11" s="39">
        <f>IFERROR(VLOOKUP(Fellowes[[#This Row],[Código]],Venda_12meses[],2,FALSE),0)</f>
        <v>68</v>
      </c>
      <c r="AC11" s="171">
        <f>Olfa[[#This Row],[V. 12 meses]]/6</f>
        <v>11.333333333333334</v>
      </c>
      <c r="AD11" s="171">
        <f>Olfa[[#This Row],[Colunas1]]*0.2</f>
        <v>2.2666666666666671</v>
      </c>
      <c r="AE11" s="44">
        <f>IFERROR(Olfa[[#This Row],[V. 12 meses]]/Olfa[[#This Row],[Proj. de V. 12 meses]],"")</f>
        <v>1.2266987372218883</v>
      </c>
      <c r="AF11" s="22"/>
    </row>
    <row r="12" spans="1:32" hidden="1" x14ac:dyDescent="0.25">
      <c r="A12" s="22" t="s">
        <v>2129</v>
      </c>
      <c r="B12" s="22" t="str">
        <f>IF(OR(Olfa[[#This Row],[Status]]="Em linha",Olfa[[#This Row],[Status]]="Materia Prima",Olfa[[#This Row],[Status]]="Componente"),"ok",IF(Olfa[[#This Row],[Estoque+Importação]]&lt;1,"Tirar","ok"))</f>
        <v>ok</v>
      </c>
      <c r="C12" s="23">
        <v>33070614813</v>
      </c>
      <c r="D12" s="22" t="s">
        <v>644</v>
      </c>
      <c r="E12" s="22" t="str">
        <f>VLOOKUP(Olfa[[#This Row],[Código]],BD_Produto[],3,FALSE)</f>
        <v>Base de Corte</v>
      </c>
      <c r="F12" s="22" t="str">
        <f>VLOOKUP(Olfa[[#This Row],[Código]],BD_Produto[],4,FALSE)</f>
        <v>Multiuso</v>
      </c>
      <c r="G12" s="24">
        <v>20</v>
      </c>
      <c r="H12" s="28">
        <v>898</v>
      </c>
      <c r="I12" s="22" t="s">
        <v>2849</v>
      </c>
      <c r="J12" s="24"/>
      <c r="K12" s="24"/>
      <c r="L12" s="177">
        <f>IFERROR(VLOOKUP(Olfa[[#This Row],[Código]],Saldo[],3,FALSE),0)</f>
        <v>1049</v>
      </c>
      <c r="M12" s="24">
        <f>SUM(Olfa[[#This Row],[Produção]:[Estoque]])</f>
        <v>1049</v>
      </c>
      <c r="N12" s="177">
        <f>IFERROR(Olfa[[#This Row],[Estoque+Importação]]/Olfa[[#This Row],[Proj. de V. No prox. mes]],"Sem Projeção")</f>
        <v>6.6730279898218834</v>
      </c>
      <c r="O12" s="177">
        <f>IF(OR(Olfa[[#This Row],[Status]]="Em Linha",Olfa[[#This Row],[Status]]="Componente",Olfa[[#This Row],[Status]]="Materia Prima"),Olfa[[#This Row],[Proj. de V. No prox. mes]]*10,"-")</f>
        <v>1572</v>
      </c>
      <c r="P12" s="34">
        <f>IF(OR(Olfa[[#This Row],[Status]]="Em Linha",Olfa[[#This Row],[Status]]="Componente",Olfa[[#This Row],[Status]]="Materia Prima"),Olfa[[#This Row],[estoque 10 meses]]-Olfa[[#This Row],[Estoque+Importação]],0)</f>
        <v>523</v>
      </c>
      <c r="Q12" s="75">
        <f>Olfa[[#This Row],[Colunas1]]+Olfa[[#This Row],[Colunas2]]</f>
        <v>157.19999999999999</v>
      </c>
      <c r="R12" s="43">
        <f>VLOOKUP(Olfa[[#This Row],[Código]],Projeção[#All],14,FALSE)</f>
        <v>71.23333333333332</v>
      </c>
      <c r="S12" s="39">
        <f>IFERROR(VLOOKUP(Olfa[[#This Row],[Código]],Vendas!A8:B87,2,FALSE),0)</f>
        <v>0</v>
      </c>
      <c r="T12" s="44">
        <f>IFERROR(Olfa[[#This Row],[V. No mes]]/Olfa[[#This Row],[Proj. de V. No mes]],"")</f>
        <v>0</v>
      </c>
      <c r="U12" s="43">
        <f>VLOOKUP(Olfa[[#This Row],[Código]],Projeção[#All],14,FALSE)+VLOOKUP(Olfa[[#This Row],[Código]],Projeção[#All],13,FALSE)+VLOOKUP(Olfa[[#This Row],[Código]],Projeção[#All],12,FALSE)</f>
        <v>202.09999999999997</v>
      </c>
      <c r="V12" s="39">
        <f>IFERROR(VLOOKUP(Olfa[[#This Row],[Código]],Venda_3meses[],2,FALSE),0)</f>
        <v>172</v>
      </c>
      <c r="W12" s="44">
        <f>IFERROR(Olfa[[#This Row],[V. 3 meses]]/Olfa[[#This Row],[Proj. de V. 3 meses]],"")</f>
        <v>0.85106382978723416</v>
      </c>
      <c r="X1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303.56666666666661</v>
      </c>
      <c r="Y12" s="101">
        <f>IFERROR(VLOOKUP(Olfa[[#This Row],[Código]],Venda_6meses[],2,FALSE),0)</f>
        <v>336</v>
      </c>
      <c r="Z12" s="45">
        <f>IFERROR(Olfa[[#This Row],[V. 6 meses]]/Olfa[[#This Row],[Proj. de V. 6 meses]],"")</f>
        <v>1.1068408916218295</v>
      </c>
      <c r="AA1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583.56666666666661</v>
      </c>
      <c r="AB12" s="39">
        <f>IFERROR(VLOOKUP(Olfa[[#This Row],[Código]],Venda_12meses[],2,FALSE),0)</f>
        <v>786</v>
      </c>
      <c r="AC12" s="171">
        <f>Olfa[[#This Row],[V. 12 meses]]/6</f>
        <v>131</v>
      </c>
      <c r="AD12" s="171">
        <f>Olfa[[#This Row],[Colunas1]]*0.2</f>
        <v>26.200000000000003</v>
      </c>
      <c r="AE12" s="44">
        <f>IFERROR(Olfa[[#This Row],[V. 12 meses]]/Olfa[[#This Row],[Proj. de V. 12 meses]],"")</f>
        <v>1.3468898155023705</v>
      </c>
      <c r="AF12" s="22"/>
    </row>
    <row r="13" spans="1:32" x14ac:dyDescent="0.25">
      <c r="A13" s="22" t="s">
        <v>2129</v>
      </c>
      <c r="B13" s="22" t="str">
        <f>IF(OR(Olfa[[#This Row],[Status]]="Em linha",Olfa[[#This Row],[Status]]="Materia Prima",Olfa[[#This Row],[Status]]="Componente"),"ok",IF(Olfa[[#This Row],[Estoque+Importação]]&lt;1,"Tirar","ok"))</f>
        <v>ok</v>
      </c>
      <c r="C13" s="23">
        <v>33070663731</v>
      </c>
      <c r="D13" s="22" t="s">
        <v>1214</v>
      </c>
      <c r="E13" s="22" t="str">
        <f>VLOOKUP(Olfa[[#This Row],[Código]],BD_Produto[],3,FALSE)</f>
        <v>Estilete Multiuso</v>
      </c>
      <c r="F13" s="22" t="str">
        <f>VLOOKUP(Olfa[[#This Row],[Código]],BD_Produto[],4,FALSE)</f>
        <v>Multiuso</v>
      </c>
      <c r="G13" s="24">
        <v>240</v>
      </c>
      <c r="H13" s="28">
        <v>199</v>
      </c>
      <c r="I13" s="22" t="s">
        <v>2849</v>
      </c>
      <c r="J13" s="24"/>
      <c r="K13" s="24"/>
      <c r="L13" s="177">
        <f>IFERROR(VLOOKUP(Olfa[[#This Row],[Código]],Saldo[],3,FALSE),0)</f>
        <v>155</v>
      </c>
      <c r="M13" s="24">
        <f>SUM(Olfa[[#This Row],[Produção]:[Estoque]])</f>
        <v>155</v>
      </c>
      <c r="N13" s="177">
        <f>IFERROR(Olfa[[#This Row],[Estoque+Importação]]/Olfa[[#This Row],[Proj. de V. No prox. mes]],"Sem Projeção")</f>
        <v>2.9922779922779923</v>
      </c>
      <c r="O13" s="177">
        <f>IF(OR(Olfa[[#This Row],[Status]]="Em Linha",Olfa[[#This Row],[Status]]="Componente",Olfa[[#This Row],[Status]]="Materia Prima"),Olfa[[#This Row],[Proj. de V. No prox. mes]]*10,"-")</f>
        <v>518</v>
      </c>
      <c r="P13" s="34">
        <f>IF(OR(Olfa[[#This Row],[Status]]="Em Linha",Olfa[[#This Row],[Status]]="Componente",Olfa[[#This Row],[Status]]="Materia Prima"),Olfa[[#This Row],[estoque 10 meses]]-Olfa[[#This Row],[Estoque+Importação]],0)</f>
        <v>363</v>
      </c>
      <c r="Q13" s="75">
        <f>Olfa[[#This Row],[Colunas1]]+Olfa[[#This Row],[Colunas2]]</f>
        <v>51.8</v>
      </c>
      <c r="R13" s="43">
        <f>VLOOKUP(Olfa[[#This Row],[Código]],Projeção[#All],14,FALSE)</f>
        <v>22.066666666666666</v>
      </c>
      <c r="S13" s="39">
        <f>IFERROR(VLOOKUP(Olfa[[#This Row],[Código]],Vendas!A9:B88,2,FALSE),0)</f>
        <v>0</v>
      </c>
      <c r="T13" s="44">
        <f>IFERROR(Olfa[[#This Row],[V. No mes]]/Olfa[[#This Row],[Proj. de V. No mes]],"")</f>
        <v>0</v>
      </c>
      <c r="U13" s="43">
        <f>VLOOKUP(Olfa[[#This Row],[Código]],Projeção[#All],14,FALSE)+VLOOKUP(Olfa[[#This Row],[Código]],Projeção[#All],13,FALSE)+VLOOKUP(Olfa[[#This Row],[Código]],Projeção[#All],12,FALSE)</f>
        <v>50.733333333333327</v>
      </c>
      <c r="V13" s="39">
        <f>IFERROR(VLOOKUP(Olfa[[#This Row],[Código]],Venda_3meses[],2,FALSE),0)</f>
        <v>115</v>
      </c>
      <c r="W13" s="44">
        <f>IFERROR(Olfa[[#This Row],[V. 3 meses]]/Olfa[[#This Row],[Proj. de V. 3 meses]],"")</f>
        <v>2.2667542706964525</v>
      </c>
      <c r="X1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88.633333333333326</v>
      </c>
      <c r="Y13" s="101">
        <f>IFERROR(VLOOKUP(Olfa[[#This Row],[Código]],Venda_6meses[],2,FALSE),0)</f>
        <v>153</v>
      </c>
      <c r="Z13" s="45">
        <f>IFERROR(Olfa[[#This Row],[V. 6 meses]]/Olfa[[#This Row],[Proj. de V. 6 meses]],"")</f>
        <v>1.7262128619781874</v>
      </c>
      <c r="AA1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226.06666666666661</v>
      </c>
      <c r="AB13" s="39">
        <f>IFERROR(VLOOKUP(Olfa[[#This Row],[Código]],Venda_12meses[],2,FALSE),0)</f>
        <v>259</v>
      </c>
      <c r="AC13" s="171">
        <f>Olfa[[#This Row],[V. 12 meses]]/6</f>
        <v>43.166666666666664</v>
      </c>
      <c r="AD13" s="171">
        <f>Olfa[[#This Row],[Colunas1]]*0.2</f>
        <v>8.6333333333333329</v>
      </c>
      <c r="AE13" s="44">
        <f>IFERROR(Olfa[[#This Row],[V. 12 meses]]/Olfa[[#This Row],[Proj. de V. 12 meses]],"")</f>
        <v>1.1456797404895314</v>
      </c>
      <c r="AF13" s="22"/>
    </row>
    <row r="14" spans="1:32" hidden="1" x14ac:dyDescent="0.25">
      <c r="A14" s="22" t="s">
        <v>2129</v>
      </c>
      <c r="B14" s="22" t="str">
        <f>IF(OR(Olfa[[#This Row],[Status]]="Em linha",Olfa[[#This Row],[Status]]="Materia Prima",Olfa[[#This Row],[Status]]="Componente"),"ok",IF(Olfa[[#This Row],[Estoque+Importação]]&lt;1,"Tirar","ok"))</f>
        <v>ok</v>
      </c>
      <c r="C14" s="23">
        <v>33070614747</v>
      </c>
      <c r="D14" s="22" t="s">
        <v>630</v>
      </c>
      <c r="E14" s="22" t="str">
        <f>VLOOKUP(Olfa[[#This Row],[Código]],BD_Produto[],3,FALSE)</f>
        <v>Estojo de Lâminas</v>
      </c>
      <c r="F14" s="22" t="str">
        <f>VLOOKUP(Olfa[[#This Row],[Código]],BD_Produto[],4,FALSE)</f>
        <v>Especial</v>
      </c>
      <c r="G14" s="24">
        <v>240</v>
      </c>
      <c r="H14" s="28">
        <v>88</v>
      </c>
      <c r="I14" s="22" t="s">
        <v>2849</v>
      </c>
      <c r="J14" s="24"/>
      <c r="K14" s="24"/>
      <c r="L14" s="177">
        <f>IFERROR(VLOOKUP(Olfa[[#This Row],[Código]],Saldo[],3,FALSE),0)</f>
        <v>449</v>
      </c>
      <c r="M14" s="24">
        <f>SUM(Olfa[[#This Row],[Produção]:[Estoque]])</f>
        <v>449</v>
      </c>
      <c r="N14" s="177">
        <f>IFERROR(Olfa[[#This Row],[Estoque+Importação]]/Olfa[[#This Row],[Proj. de V. No prox. mes]],"Sem Projeção")</f>
        <v>4.7362869198312234</v>
      </c>
      <c r="O14" s="177">
        <f>IF(OR(Olfa[[#This Row],[Status]]="Em Linha",Olfa[[#This Row],[Status]]="Componente",Olfa[[#This Row],[Status]]="Materia Prima"),Olfa[[#This Row],[Proj. de V. No prox. mes]]*10,"-")</f>
        <v>948</v>
      </c>
      <c r="P14" s="34">
        <f>IF(OR(Olfa[[#This Row],[Status]]="Em Linha",Olfa[[#This Row],[Status]]="Componente",Olfa[[#This Row],[Status]]="Materia Prima"),Olfa[[#This Row],[estoque 10 meses]]-Olfa[[#This Row],[Estoque+Importação]],0)</f>
        <v>499</v>
      </c>
      <c r="Q14" s="75">
        <f>Olfa[[#This Row],[Colunas1]]+Olfa[[#This Row],[Colunas2]]</f>
        <v>94.8</v>
      </c>
      <c r="R14" s="43">
        <f>VLOOKUP(Olfa[[#This Row],[Código]],Projeção[#All],14,FALSE)</f>
        <v>57.533333333333339</v>
      </c>
      <c r="S14" s="39">
        <f>IFERROR(VLOOKUP(Olfa[[#This Row],[Código]],Vendas!A10:B89,2,FALSE),0)</f>
        <v>0</v>
      </c>
      <c r="T14" s="44">
        <f>IFERROR(Olfa[[#This Row],[V. No mes]]/Olfa[[#This Row],[Proj. de V. No mes]],"")</f>
        <v>0</v>
      </c>
      <c r="U14" s="43">
        <f>VLOOKUP(Olfa[[#This Row],[Código]],Projeção[#All],14,FALSE)+VLOOKUP(Olfa[[#This Row],[Código]],Projeção[#All],13,FALSE)+VLOOKUP(Olfa[[#This Row],[Código]],Projeção[#All],12,FALSE)</f>
        <v>131.80000000000001</v>
      </c>
      <c r="V14" s="39">
        <f>IFERROR(VLOOKUP(Olfa[[#This Row],[Código]],Venda_3meses[],2,FALSE),0)</f>
        <v>46</v>
      </c>
      <c r="W14" s="44">
        <f>IFERROR(Olfa[[#This Row],[V. 3 meses]]/Olfa[[#This Row],[Proj. de V. 3 meses]],"")</f>
        <v>0.34901365705614562</v>
      </c>
      <c r="X1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173.6</v>
      </c>
      <c r="Y14" s="101">
        <f>IFERROR(VLOOKUP(Olfa[[#This Row],[Código]],Venda_6meses[],2,FALSE),0)</f>
        <v>166</v>
      </c>
      <c r="Z14" s="45">
        <f>IFERROR(Olfa[[#This Row],[V. 6 meses]]/Olfa[[#This Row],[Proj. de V. 6 meses]],"")</f>
        <v>0.95622119815668205</v>
      </c>
      <c r="AA1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365.76666666666665</v>
      </c>
      <c r="AB14" s="39">
        <f>IFERROR(VLOOKUP(Olfa[[#This Row],[Código]],Venda_12meses[],2,FALSE),0)</f>
        <v>474</v>
      </c>
      <c r="AC14" s="171">
        <f>Olfa[[#This Row],[V. 12 meses]]/6</f>
        <v>79</v>
      </c>
      <c r="AD14" s="171">
        <f>Olfa[[#This Row],[Colunas1]]*0.2</f>
        <v>15.8</v>
      </c>
      <c r="AE14" s="44">
        <f>IFERROR(Olfa[[#This Row],[V. 12 meses]]/Olfa[[#This Row],[Proj. de V. 12 meses]],"")</f>
        <v>1.2959081381572952</v>
      </c>
      <c r="AF14" s="22"/>
    </row>
    <row r="15" spans="1:32" hidden="1" x14ac:dyDescent="0.25">
      <c r="A15" s="22" t="s">
        <v>2129</v>
      </c>
      <c r="B15" s="22" t="str">
        <f>IF(OR(Olfa[[#This Row],[Status]]="Em linha",Olfa[[#This Row],[Status]]="Materia Prima",Olfa[[#This Row],[Status]]="Componente"),"ok",IF(Olfa[[#This Row],[Estoque+Importação]]&lt;1,"Tirar","ok"))</f>
        <v>ok</v>
      </c>
      <c r="C15" s="23">
        <v>33070614831</v>
      </c>
      <c r="D15" s="22" t="s">
        <v>648</v>
      </c>
      <c r="E15" s="22" t="str">
        <f>VLOOKUP(Olfa[[#This Row],[Código]],BD_Produto[],3,FALSE)</f>
        <v>Estilete Especial</v>
      </c>
      <c r="F15" s="22" t="str">
        <f>VLOOKUP(Olfa[[#This Row],[Código]],BD_Produto[],4,FALSE)</f>
        <v>Especial</v>
      </c>
      <c r="G15" s="24">
        <v>240</v>
      </c>
      <c r="H15" s="28">
        <v>139.5</v>
      </c>
      <c r="I15" s="22" t="s">
        <v>2849</v>
      </c>
      <c r="J15" s="24"/>
      <c r="K15" s="24"/>
      <c r="L15" s="177">
        <f>IFERROR(VLOOKUP(Olfa[[#This Row],[Código]],Saldo[],3,FALSE),0)</f>
        <v>1109</v>
      </c>
      <c r="M15" s="24">
        <f>SUM(Olfa[[#This Row],[Produção]:[Estoque]])</f>
        <v>1109</v>
      </c>
      <c r="N15" s="177">
        <f>IFERROR(Olfa[[#This Row],[Estoque+Importação]]/Olfa[[#This Row],[Proj. de V. No prox. mes]],"Sem Projeção")</f>
        <v>5.1058931860036836</v>
      </c>
      <c r="O15" s="177">
        <f>IF(OR(Olfa[[#This Row],[Status]]="Em Linha",Olfa[[#This Row],[Status]]="Componente",Olfa[[#This Row],[Status]]="Materia Prima"),Olfa[[#This Row],[Proj. de V. No prox. mes]]*10,"-")</f>
        <v>2172</v>
      </c>
      <c r="P15" s="34">
        <f>IF(OR(Olfa[[#This Row],[Status]]="Em Linha",Olfa[[#This Row],[Status]]="Componente",Olfa[[#This Row],[Status]]="Materia Prima"),Olfa[[#This Row],[estoque 10 meses]]-Olfa[[#This Row],[Estoque+Importação]],0)</f>
        <v>1063</v>
      </c>
      <c r="Q15" s="75">
        <f>Olfa[[#This Row],[Colunas1]]+Olfa[[#This Row],[Colunas2]]</f>
        <v>217.2</v>
      </c>
      <c r="R15" s="43">
        <f>VLOOKUP(Olfa[[#This Row],[Código]],Projeção[#All],14,FALSE)</f>
        <v>140.06666666666666</v>
      </c>
      <c r="S15" s="39">
        <f>IFERROR(VLOOKUP(Olfa[[#This Row],[Código]],Vendas!A11:B90,2,FALSE),0)</f>
        <v>0</v>
      </c>
      <c r="T15" s="44">
        <f>IFERROR(Olfa[[#This Row],[V. No mes]]/Olfa[[#This Row],[Proj. de V. No mes]],"")</f>
        <v>0</v>
      </c>
      <c r="U15" s="43">
        <f>VLOOKUP(Olfa[[#This Row],[Código]],Projeção[#All],14,FALSE)+VLOOKUP(Olfa[[#This Row],[Código]],Projeção[#All],13,FALSE)+VLOOKUP(Olfa[[#This Row],[Código]],Projeção[#All],12,FALSE)</f>
        <v>329.2</v>
      </c>
      <c r="V15" s="39">
        <f>IFERROR(VLOOKUP(Olfa[[#This Row],[Código]],Venda_3meses[],2,FALSE),0)</f>
        <v>258</v>
      </c>
      <c r="W15" s="44">
        <f>IFERROR(Olfa[[#This Row],[V. 3 meses]]/Olfa[[#This Row],[Proj. de V. 3 meses]],"")</f>
        <v>0.7837181044957473</v>
      </c>
      <c r="X1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594.9</v>
      </c>
      <c r="Y15" s="101">
        <f>IFERROR(VLOOKUP(Olfa[[#This Row],[Código]],Venda_6meses[],2,FALSE),0)</f>
        <v>428</v>
      </c>
      <c r="Z15" s="45">
        <f>IFERROR(Olfa[[#This Row],[V. 6 meses]]/Olfa[[#This Row],[Proj. de V. 6 meses]],"")</f>
        <v>0.71944864683140031</v>
      </c>
      <c r="AA1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1183.5333333333333</v>
      </c>
      <c r="AB15" s="39">
        <f>IFERROR(VLOOKUP(Olfa[[#This Row],[Código]],Venda_12meses[],2,FALSE),0)</f>
        <v>1086</v>
      </c>
      <c r="AC15" s="171">
        <f>Olfa[[#This Row],[V. 12 meses]]/6</f>
        <v>181</v>
      </c>
      <c r="AD15" s="171">
        <f>Olfa[[#This Row],[Colunas1]]*0.2</f>
        <v>36.200000000000003</v>
      </c>
      <c r="AE15" s="44">
        <f>IFERROR(Olfa[[#This Row],[V. 12 meses]]/Olfa[[#This Row],[Proj. de V. 12 meses]],"")</f>
        <v>0.91759139300399939</v>
      </c>
      <c r="AF15" s="22">
        <v>2250201</v>
      </c>
    </row>
    <row r="16" spans="1:32" hidden="1" x14ac:dyDescent="0.25">
      <c r="A16" s="22" t="s">
        <v>2129</v>
      </c>
      <c r="B16" s="22" t="str">
        <f>IF(OR(Olfa[[#This Row],[Status]]="Em linha",Olfa[[#This Row],[Status]]="Materia Prima",Olfa[[#This Row],[Status]]="Componente"),"ok",IF(Olfa[[#This Row],[Estoque+Importação]]&lt;1,"Tirar","ok"))</f>
        <v>ok</v>
      </c>
      <c r="C16" s="23">
        <v>33070654136</v>
      </c>
      <c r="D16" s="22" t="s">
        <v>669</v>
      </c>
      <c r="E16" s="22" t="str">
        <f>VLOOKUP(Olfa[[#This Row],[Código]],BD_Produto[],3,FALSE)</f>
        <v>Estilete Multiuso</v>
      </c>
      <c r="F16" s="22" t="str">
        <f>VLOOKUP(Olfa[[#This Row],[Código]],BD_Produto[],4,FALSE)</f>
        <v>Multiuso</v>
      </c>
      <c r="G16" s="24">
        <v>800</v>
      </c>
      <c r="H16" s="28">
        <v>47</v>
      </c>
      <c r="I16" s="22" t="s">
        <v>2849</v>
      </c>
      <c r="J16" s="24"/>
      <c r="K16" s="24"/>
      <c r="L16" s="177">
        <f>IFERROR(VLOOKUP(Olfa[[#This Row],[Código]],Saldo[],3,FALSE),0)</f>
        <v>6318</v>
      </c>
      <c r="M16" s="24">
        <f>SUM(Olfa[[#This Row],[Produção]:[Estoque]])</f>
        <v>6318</v>
      </c>
      <c r="N16" s="177">
        <f>IFERROR(Olfa[[#This Row],[Estoque+Importação]]/Olfa[[#This Row],[Proj. de V. No prox. mes]],"Sem Projeção")</f>
        <v>11.182300884955753</v>
      </c>
      <c r="O16" s="177">
        <f>IF(OR(Olfa[[#This Row],[Status]]="Em Linha",Olfa[[#This Row],[Status]]="Componente",Olfa[[#This Row],[Status]]="Materia Prima"),Olfa[[#This Row],[Proj. de V. No prox. mes]]*10,"-")</f>
        <v>5650</v>
      </c>
      <c r="P16" s="34">
        <f>IF(OR(Olfa[[#This Row],[Status]]="Em Linha",Olfa[[#This Row],[Status]]="Componente",Olfa[[#This Row],[Status]]="Materia Prima"),Olfa[[#This Row],[estoque 10 meses]]-Olfa[[#This Row],[Estoque+Importação]],0)</f>
        <v>-668</v>
      </c>
      <c r="Q16" s="75">
        <f>Olfa[[#This Row],[Colunas1]]+Olfa[[#This Row],[Colunas2]]</f>
        <v>565</v>
      </c>
      <c r="R16" s="43">
        <f>VLOOKUP(Olfa[[#This Row],[Código]],Projeção[#All],14,FALSE)</f>
        <v>301.76666666666671</v>
      </c>
      <c r="S16" s="39">
        <f>IFERROR(VLOOKUP(Olfa[[#This Row],[Código]],Vendas!A12:B91,2,FALSE),0)</f>
        <v>0</v>
      </c>
      <c r="T16" s="44">
        <f>IFERROR(Olfa[[#This Row],[V. No mes]]/Olfa[[#This Row],[Proj. de V. No mes]],"")</f>
        <v>0</v>
      </c>
      <c r="U16" s="43">
        <f>VLOOKUP(Olfa[[#This Row],[Código]],Projeção[#All],14,FALSE)+VLOOKUP(Olfa[[#This Row],[Código]],Projeção[#All],13,FALSE)+VLOOKUP(Olfa[[#This Row],[Código]],Projeção[#All],12,FALSE)</f>
        <v>724.5</v>
      </c>
      <c r="V16" s="39">
        <f>IFERROR(VLOOKUP(Olfa[[#This Row],[Código]],Venda_3meses[],2,FALSE),0)</f>
        <v>1130</v>
      </c>
      <c r="W16" s="44">
        <f>IFERROR(Olfa[[#This Row],[V. 3 meses]]/Olfa[[#This Row],[Proj. de V. 3 meses]],"")</f>
        <v>1.5596963423050381</v>
      </c>
      <c r="X1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1317.3666666666666</v>
      </c>
      <c r="Y16" s="101">
        <f>IFERROR(VLOOKUP(Olfa[[#This Row],[Código]],Venda_6meses[],2,FALSE),0)</f>
        <v>1491</v>
      </c>
      <c r="Z16" s="45">
        <f>IFERROR(Olfa[[#This Row],[V. 6 meses]]/Olfa[[#This Row],[Proj. de V. 6 meses]],"")</f>
        <v>1.1318033450570584</v>
      </c>
      <c r="AA1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2964.2999999999993</v>
      </c>
      <c r="AB16" s="39">
        <f>IFERROR(VLOOKUP(Olfa[[#This Row],[Código]],Venda_12meses[],2,FALSE),0)</f>
        <v>2825</v>
      </c>
      <c r="AC16" s="171">
        <f>Olfa[[#This Row],[V. 12 meses]]/6</f>
        <v>470.83333333333331</v>
      </c>
      <c r="AD16" s="171">
        <f>Olfa[[#This Row],[Colunas1]]*0.2</f>
        <v>94.166666666666671</v>
      </c>
      <c r="AE16" s="44">
        <f>IFERROR(Olfa[[#This Row],[V. 12 meses]]/Olfa[[#This Row],[Proj. de V. 12 meses]],"")</f>
        <v>0.95300745538575737</v>
      </c>
      <c r="AF16" s="22"/>
    </row>
    <row r="17" spans="1:32" hidden="1" x14ac:dyDescent="0.25">
      <c r="A17" s="22" t="s">
        <v>2129</v>
      </c>
      <c r="B17" s="22" t="str">
        <f>IF(OR(Olfa[[#This Row],[Status]]="Em linha",Olfa[[#This Row],[Status]]="Materia Prima",Olfa[[#This Row],[Status]]="Componente"),"ok",IF(Olfa[[#This Row],[Estoque+Importação]]&lt;1,"Tirar","ok"))</f>
        <v>ok</v>
      </c>
      <c r="C17" s="23">
        <v>33070614718</v>
      </c>
      <c r="D17" s="22" t="s">
        <v>608</v>
      </c>
      <c r="E17" s="22" t="str">
        <f>VLOOKUP(Olfa[[#This Row],[Código]],BD_Produto[],3,FALSE)</f>
        <v>Estilete Multiuso</v>
      </c>
      <c r="F17" s="22" t="str">
        <f>VLOOKUP(Olfa[[#This Row],[Código]],BD_Produto[],4,FALSE)</f>
        <v>Multiuso</v>
      </c>
      <c r="G17" s="24">
        <v>240</v>
      </c>
      <c r="H17" s="28">
        <v>88</v>
      </c>
      <c r="I17" s="22" t="s">
        <v>2849</v>
      </c>
      <c r="J17" s="24"/>
      <c r="K17" s="24"/>
      <c r="L17" s="177">
        <f>IFERROR(VLOOKUP(Olfa[[#This Row],[Código]],Saldo[],3,FALSE),0)</f>
        <v>709</v>
      </c>
      <c r="M17" s="24">
        <f>SUM(Olfa[[#This Row],[Produção]:[Estoque]])</f>
        <v>709</v>
      </c>
      <c r="N17" s="177">
        <f>IFERROR(Olfa[[#This Row],[Estoque+Importação]]/Olfa[[#This Row],[Proj. de V. No prox. mes]],"Sem Projeção")</f>
        <v>2.3049414824447338</v>
      </c>
      <c r="O17" s="177">
        <f>IF(OR(Olfa[[#This Row],[Status]]="Em Linha",Olfa[[#This Row],[Status]]="Componente",Olfa[[#This Row],[Status]]="Materia Prima"),Olfa[[#This Row],[Proj. de V. No prox. mes]]*10,"-")</f>
        <v>3075.9999999999995</v>
      </c>
      <c r="P17" s="34">
        <f>IF(OR(Olfa[[#This Row],[Status]]="Em Linha",Olfa[[#This Row],[Status]]="Componente",Olfa[[#This Row],[Status]]="Materia Prima"),Olfa[[#This Row],[estoque 10 meses]]-Olfa[[#This Row],[Estoque+Importação]],0)</f>
        <v>2366.9999999999995</v>
      </c>
      <c r="Q17" s="75">
        <f>Olfa[[#This Row],[Colunas1]]+Olfa[[#This Row],[Colunas2]]</f>
        <v>307.59999999999997</v>
      </c>
      <c r="R17" s="43">
        <f>VLOOKUP(Olfa[[#This Row],[Código]],Projeção[#All],14,FALSE)</f>
        <v>214.26666666666665</v>
      </c>
      <c r="S17" s="39">
        <f>IFERROR(VLOOKUP(Olfa[[#This Row],[Código]],Vendas!A13:B92,2,FALSE),0)</f>
        <v>0</v>
      </c>
      <c r="T17" s="44">
        <f>IFERROR(Olfa[[#This Row],[V. No mes]]/Olfa[[#This Row],[Proj. de V. No mes]],"")</f>
        <v>0</v>
      </c>
      <c r="U17" s="43">
        <f>VLOOKUP(Olfa[[#This Row],[Código]],Projeção[#All],14,FALSE)+VLOOKUP(Olfa[[#This Row],[Código]],Projeção[#All],13,FALSE)+VLOOKUP(Olfa[[#This Row],[Código]],Projeção[#All],12,FALSE)</f>
        <v>498.06666666666661</v>
      </c>
      <c r="V17" s="39">
        <f>IFERROR(VLOOKUP(Olfa[[#This Row],[Código]],Venda_3meses[],2,FALSE),0)</f>
        <v>297</v>
      </c>
      <c r="W17" s="44">
        <f>IFERROR(Olfa[[#This Row],[V. 3 meses]]/Olfa[[#This Row],[Proj. de V. 3 meses]],"")</f>
        <v>0.5963057154330077</v>
      </c>
      <c r="X1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847.46666666666658</v>
      </c>
      <c r="Y17" s="101">
        <f>IFERROR(VLOOKUP(Olfa[[#This Row],[Código]],Venda_6meses[],2,FALSE),0)</f>
        <v>473</v>
      </c>
      <c r="Z17" s="45">
        <f>IFERROR(Olfa[[#This Row],[V. 6 meses]]/Olfa[[#This Row],[Proj. de V. 6 meses]],"")</f>
        <v>0.55813404657016996</v>
      </c>
      <c r="AA1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1773.0333333333331</v>
      </c>
      <c r="AB17" s="39">
        <f>IFERROR(VLOOKUP(Olfa[[#This Row],[Código]],Venda_12meses[],2,FALSE),0)</f>
        <v>1538</v>
      </c>
      <c r="AC17" s="171">
        <f>Olfa[[#This Row],[V. 12 meses]]/6</f>
        <v>256.33333333333331</v>
      </c>
      <c r="AD17" s="171">
        <f>Olfa[[#This Row],[Colunas1]]*0.2</f>
        <v>51.266666666666666</v>
      </c>
      <c r="AE17" s="44">
        <f>IFERROR(Olfa[[#This Row],[V. 12 meses]]/Olfa[[#This Row],[Proj. de V. 12 meses]],"")</f>
        <v>0.86743998044782022</v>
      </c>
      <c r="AF17" s="22"/>
    </row>
    <row r="18" spans="1:32" hidden="1" x14ac:dyDescent="0.25">
      <c r="A18" s="22" t="s">
        <v>2129</v>
      </c>
      <c r="B18" s="22" t="str">
        <f>IF(OR(Olfa[[#This Row],[Status]]="Em linha",Olfa[[#This Row],[Status]]="Materia Prima",Olfa[[#This Row],[Status]]="Componente"),"ok",IF(Olfa[[#This Row],[Estoque+Importação]]&lt;1,"Tirar","ok"))</f>
        <v>ok</v>
      </c>
      <c r="C18" s="23">
        <v>33070614744</v>
      </c>
      <c r="D18" s="22" t="s">
        <v>627</v>
      </c>
      <c r="E18" s="22" t="str">
        <f>VLOOKUP(Olfa[[#This Row],[Código]],BD_Produto[],3,FALSE)</f>
        <v>Estojo de Lâminas</v>
      </c>
      <c r="F18" s="22" t="str">
        <f>VLOOKUP(Olfa[[#This Row],[Código]],BD_Produto[],4,FALSE)</f>
        <v>Multiuso</v>
      </c>
      <c r="G18" s="24">
        <v>720</v>
      </c>
      <c r="H18" s="28">
        <v>73</v>
      </c>
      <c r="I18" s="22" t="s">
        <v>2849</v>
      </c>
      <c r="J18" s="24"/>
      <c r="K18" s="24"/>
      <c r="L18" s="177">
        <f>IFERROR(VLOOKUP(Olfa[[#This Row],[Código]],Saldo[],3,FALSE),0)</f>
        <v>7883</v>
      </c>
      <c r="M18" s="24">
        <f>SUM(Olfa[[#This Row],[Produção]:[Estoque]])</f>
        <v>7883</v>
      </c>
      <c r="N18" s="177">
        <f>IFERROR(Olfa[[#This Row],[Estoque+Importação]]/Olfa[[#This Row],[Proj. de V. No prox. mes]],"Sem Projeção")</f>
        <v>3.8801929513683797</v>
      </c>
      <c r="O18" s="177">
        <f>IF(OR(Olfa[[#This Row],[Status]]="Em Linha",Olfa[[#This Row],[Status]]="Componente",Olfa[[#This Row],[Status]]="Materia Prima"),Olfa[[#This Row],[Proj. de V. No prox. mes]]*10,"-")</f>
        <v>20316</v>
      </c>
      <c r="P18" s="34">
        <f>IF(OR(Olfa[[#This Row],[Status]]="Em Linha",Olfa[[#This Row],[Status]]="Componente",Olfa[[#This Row],[Status]]="Materia Prima"),Olfa[[#This Row],[estoque 10 meses]]-Olfa[[#This Row],[Estoque+Importação]],0)</f>
        <v>12433</v>
      </c>
      <c r="Q18" s="75">
        <f>Olfa[[#This Row],[Colunas1]]+Olfa[[#This Row],[Colunas2]]</f>
        <v>2031.6</v>
      </c>
      <c r="R18" s="43">
        <f>VLOOKUP(Olfa[[#This Row],[Código]],Projeção[#All],14,FALSE)</f>
        <v>1056.1666666666667</v>
      </c>
      <c r="S18" s="39">
        <f>IFERROR(VLOOKUP(Olfa[[#This Row],[Código]],Vendas!A14:B93,2,FALSE),0)</f>
        <v>0</v>
      </c>
      <c r="T18" s="44">
        <f>IFERROR(Olfa[[#This Row],[V. No mes]]/Olfa[[#This Row],[Proj. de V. No mes]],"")</f>
        <v>0</v>
      </c>
      <c r="U18" s="43">
        <f>VLOOKUP(Olfa[[#This Row],[Código]],Projeção[#All],14,FALSE)+VLOOKUP(Olfa[[#This Row],[Código]],Projeção[#All],13,FALSE)+VLOOKUP(Olfa[[#This Row],[Código]],Projeção[#All],12,FALSE)</f>
        <v>2810.7666666666664</v>
      </c>
      <c r="V18" s="39">
        <f>IFERROR(VLOOKUP(Olfa[[#This Row],[Código]],Venda_3meses[],2,FALSE),0)</f>
        <v>2309</v>
      </c>
      <c r="W18" s="44">
        <f>IFERROR(Olfa[[#This Row],[V. 3 meses]]/Olfa[[#This Row],[Proj. de V. 3 meses]],"")</f>
        <v>0.82148405535856184</v>
      </c>
      <c r="X1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4699.4999999999991</v>
      </c>
      <c r="Y18" s="101">
        <f>IFERROR(VLOOKUP(Olfa[[#This Row],[Código]],Venda_6meses[],2,FALSE),0)</f>
        <v>5323</v>
      </c>
      <c r="Z18" s="45">
        <f>IFERROR(Olfa[[#This Row],[V. 6 meses]]/Olfa[[#This Row],[Proj. de V. 6 meses]],"")</f>
        <v>1.1326736886902864</v>
      </c>
      <c r="AA1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10334.699999999997</v>
      </c>
      <c r="AB18" s="39">
        <f>IFERROR(VLOOKUP(Olfa[[#This Row],[Código]],Venda_12meses[],2,FALSE),0)</f>
        <v>10158</v>
      </c>
      <c r="AC18" s="171">
        <f>Olfa[[#This Row],[V. 12 meses]]/6</f>
        <v>1693</v>
      </c>
      <c r="AD18" s="171">
        <f>Olfa[[#This Row],[Colunas1]]*0.2</f>
        <v>338.6</v>
      </c>
      <c r="AE18" s="44">
        <f>IFERROR(Olfa[[#This Row],[V. 12 meses]]/Olfa[[#This Row],[Proj. de V. 12 meses]],"")</f>
        <v>0.98290226131382652</v>
      </c>
      <c r="AF18" s="22"/>
    </row>
    <row r="19" spans="1:32" hidden="1" x14ac:dyDescent="0.25">
      <c r="A19" s="22" t="s">
        <v>2129</v>
      </c>
      <c r="B19" s="22" t="str">
        <f>IF(OR(Olfa[[#This Row],[Status]]="Em linha",Olfa[[#This Row],[Status]]="Materia Prima",Olfa[[#This Row],[Status]]="Componente"),"ok",IF(Olfa[[#This Row],[Estoque+Importação]]&lt;1,"Tirar","ok"))</f>
        <v>ok</v>
      </c>
      <c r="C19" s="23">
        <v>33070614830</v>
      </c>
      <c r="D19" s="22" t="s">
        <v>647</v>
      </c>
      <c r="E19" s="22" t="str">
        <f>VLOOKUP(Olfa[[#This Row],[Código]],BD_Produto[],3,FALSE)</f>
        <v>Base de Corte</v>
      </c>
      <c r="F19" s="22" t="str">
        <f>VLOOKUP(Olfa[[#This Row],[Código]],BD_Produto[],4,FALSE)</f>
        <v>Multiuso</v>
      </c>
      <c r="G19" s="24">
        <v>60</v>
      </c>
      <c r="H19" s="28">
        <v>450</v>
      </c>
      <c r="I19" s="22" t="s">
        <v>2849</v>
      </c>
      <c r="J19" s="24"/>
      <c r="K19" s="24"/>
      <c r="L19" s="177">
        <f>IFERROR(VLOOKUP(Olfa[[#This Row],[Código]],Saldo[],3,FALSE),0)</f>
        <v>937</v>
      </c>
      <c r="M19" s="24">
        <f>SUM(Olfa[[#This Row],[Produção]:[Estoque]])</f>
        <v>937</v>
      </c>
      <c r="N19" s="177">
        <f>IFERROR(Olfa[[#This Row],[Estoque+Importação]]/Olfa[[#This Row],[Proj. de V. No prox. mes]],"Sem Projeção")</f>
        <v>3.4423218221895659</v>
      </c>
      <c r="O19" s="177">
        <f>IF(OR(Olfa[[#This Row],[Status]]="Em Linha",Olfa[[#This Row],[Status]]="Componente",Olfa[[#This Row],[Status]]="Materia Prima"),Olfa[[#This Row],[Proj. de V. No prox. mes]]*10,"-")</f>
        <v>2722.0000000000005</v>
      </c>
      <c r="P19" s="34">
        <f>IF(OR(Olfa[[#This Row],[Status]]="Em Linha",Olfa[[#This Row],[Status]]="Componente",Olfa[[#This Row],[Status]]="Materia Prima"),Olfa[[#This Row],[estoque 10 meses]]-Olfa[[#This Row],[Estoque+Importação]],0)</f>
        <v>1785.0000000000005</v>
      </c>
      <c r="Q19" s="75">
        <f>Olfa[[#This Row],[Colunas1]]+Olfa[[#This Row],[Colunas2]]</f>
        <v>272.20000000000005</v>
      </c>
      <c r="R19" s="43">
        <f>VLOOKUP(Olfa[[#This Row],[Código]],Projeção[#All],14,FALSE)</f>
        <v>109.83333333333333</v>
      </c>
      <c r="S19" s="39">
        <f>IFERROR(VLOOKUP(Olfa[[#This Row],[Código]],Vendas!A15:B94,2,FALSE),0)</f>
        <v>0</v>
      </c>
      <c r="T19" s="44">
        <f>IFERROR(Olfa[[#This Row],[V. No mes]]/Olfa[[#This Row],[Proj. de V. No mes]],"")</f>
        <v>0</v>
      </c>
      <c r="U19" s="43">
        <f>VLOOKUP(Olfa[[#This Row],[Código]],Projeção[#All],14,FALSE)+VLOOKUP(Olfa[[#This Row],[Código]],Projeção[#All],13,FALSE)+VLOOKUP(Olfa[[#This Row],[Código]],Projeção[#All],12,FALSE)</f>
        <v>361.7</v>
      </c>
      <c r="V19" s="39">
        <f>IFERROR(VLOOKUP(Olfa[[#This Row],[Código]],Venda_3meses[],2,FALSE),0)</f>
        <v>530</v>
      </c>
      <c r="W19" s="44">
        <f>IFERROR(Olfa[[#This Row],[V. 3 meses]]/Olfa[[#This Row],[Proj. de V. 3 meses]],"")</f>
        <v>1.4653027370749241</v>
      </c>
      <c r="X1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591.06666666666661</v>
      </c>
      <c r="Y19" s="101">
        <f>IFERROR(VLOOKUP(Olfa[[#This Row],[Código]],Venda_6meses[],2,FALSE),0)</f>
        <v>741</v>
      </c>
      <c r="Z19" s="45">
        <f>IFERROR(Olfa[[#This Row],[V. 6 meses]]/Olfa[[#This Row],[Proj. de V. 6 meses]],"")</f>
        <v>1.2536656891495603</v>
      </c>
      <c r="AA1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1339.2333333333333</v>
      </c>
      <c r="AB19" s="39">
        <f>IFERROR(VLOOKUP(Olfa[[#This Row],[Código]],Venda_12meses[],2,FALSE),0)</f>
        <v>1361</v>
      </c>
      <c r="AC19" s="171">
        <f>Olfa[[#This Row],[V. 12 meses]]/6</f>
        <v>226.83333333333334</v>
      </c>
      <c r="AD19" s="171">
        <f>Olfa[[#This Row],[Colunas1]]*0.2</f>
        <v>45.366666666666674</v>
      </c>
      <c r="AE19" s="44">
        <f>IFERROR(Olfa[[#This Row],[V. 12 meses]]/Olfa[[#This Row],[Proj. de V. 12 meses]],"")</f>
        <v>1.016253080120467</v>
      </c>
      <c r="AF19" s="22">
        <v>6210101</v>
      </c>
    </row>
    <row r="20" spans="1:32" x14ac:dyDescent="0.25">
      <c r="A20" s="22" t="s">
        <v>2129</v>
      </c>
      <c r="B20" s="22" t="str">
        <f>IF(OR(Olfa[[#This Row],[Status]]="Em linha",Olfa[[#This Row],[Status]]="Materia Prima",Olfa[[#This Row],[Status]]="Componente"),"ok",IF(Olfa[[#This Row],[Estoque+Importação]]&lt;1,"Tirar","ok"))</f>
        <v>ok</v>
      </c>
      <c r="C20" s="23">
        <v>33070664309</v>
      </c>
      <c r="D20" s="22" t="s">
        <v>709</v>
      </c>
      <c r="E20" s="22" t="str">
        <f>VLOOKUP(Olfa[[#This Row],[Código]],BD_Produto[],3,FALSE)</f>
        <v>Estilete de Segurança</v>
      </c>
      <c r="F20" s="22" t="str">
        <f>VLOOKUP(Olfa[[#This Row],[Código]],BD_Produto[],4,FALSE)</f>
        <v>Segurança</v>
      </c>
      <c r="G20" s="24">
        <v>72</v>
      </c>
      <c r="H20" s="28">
        <v>346</v>
      </c>
      <c r="I20" s="22" t="s">
        <v>2849</v>
      </c>
      <c r="J20" s="24"/>
      <c r="K20" s="24"/>
      <c r="L20" s="177">
        <f>IFERROR(VLOOKUP(Olfa[[#This Row],[Código]],Saldo[],3,FALSE),0)</f>
        <v>431</v>
      </c>
      <c r="M20" s="24">
        <f>SUM(Olfa[[#This Row],[Produção]:[Estoque]])</f>
        <v>431</v>
      </c>
      <c r="N20" s="177">
        <f>IFERROR(Olfa[[#This Row],[Estoque+Importação]]/Olfa[[#This Row],[Proj. de V. No prox. mes]],"Sem Projeção")</f>
        <v>24.213483146067414</v>
      </c>
      <c r="O20" s="177">
        <f>IF(OR(Olfa[[#This Row],[Status]]="Em Linha",Olfa[[#This Row],[Status]]="Componente",Olfa[[#This Row],[Status]]="Materia Prima"),Olfa[[#This Row],[Proj. de V. No prox. mes]]*10,"-")</f>
        <v>178</v>
      </c>
      <c r="P20" s="34">
        <f>IF(OR(Olfa[[#This Row],[Status]]="Em Linha",Olfa[[#This Row],[Status]]="Componente",Olfa[[#This Row],[Status]]="Materia Prima"),Olfa[[#This Row],[estoque 10 meses]]-Olfa[[#This Row],[Estoque+Importação]],0)</f>
        <v>-253</v>
      </c>
      <c r="Q20" s="75">
        <f>Olfa[[#This Row],[Colunas1]]+Olfa[[#This Row],[Colunas2]]</f>
        <v>17.8</v>
      </c>
      <c r="R20" s="43">
        <f>VLOOKUP(Olfa[[#This Row],[Código]],Projeção[#All],14,FALSE)</f>
        <v>9.9</v>
      </c>
      <c r="S20" s="39">
        <f>IFERROR(VLOOKUP(Olfa[[#This Row],[Código]],Vendas!A16:B95,2,FALSE),0)</f>
        <v>0</v>
      </c>
      <c r="T20" s="44">
        <f>IFERROR(Olfa[[#This Row],[V. No mes]]/Olfa[[#This Row],[Proj. de V. No mes]],"")</f>
        <v>0</v>
      </c>
      <c r="U20" s="43">
        <f>VLOOKUP(Olfa[[#This Row],[Código]],Projeção[#All],14,FALSE)+VLOOKUP(Olfa[[#This Row],[Código]],Projeção[#All],13,FALSE)+VLOOKUP(Olfa[[#This Row],[Código]],Projeção[#All],12,FALSE)</f>
        <v>22.7</v>
      </c>
      <c r="V20" s="39">
        <f>IFERROR(VLOOKUP(Olfa[[#This Row],[Código]],Venda_3meses[],2,FALSE),0)</f>
        <v>53</v>
      </c>
      <c r="W20" s="44">
        <f>IFERROR(Olfa[[#This Row],[V. 3 meses]]/Olfa[[#This Row],[Proj. de V. 3 meses]],"")</f>
        <v>2.3348017621145374</v>
      </c>
      <c r="X2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43</v>
      </c>
      <c r="Y20" s="101">
        <f>IFERROR(VLOOKUP(Olfa[[#This Row],[Código]],Venda_6meses[],2,FALSE),0)</f>
        <v>59</v>
      </c>
      <c r="Z20" s="45">
        <f>IFERROR(Olfa[[#This Row],[V. 6 meses]]/Olfa[[#This Row],[Proj. de V. 6 meses]],"")</f>
        <v>1.3720930232558139</v>
      </c>
      <c r="AA2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218.73333333333332</v>
      </c>
      <c r="AB20" s="39">
        <f>IFERROR(VLOOKUP(Olfa[[#This Row],[Código]],Venda_12meses[],2,FALSE),0)</f>
        <v>89</v>
      </c>
      <c r="AC20" s="171">
        <f>Olfa[[#This Row],[V. 12 meses]]/6</f>
        <v>14.833333333333334</v>
      </c>
      <c r="AD20" s="171">
        <f>Olfa[[#This Row],[Colunas1]]*0.2</f>
        <v>2.9666666666666668</v>
      </c>
      <c r="AE20" s="44">
        <f>IFERROR(Olfa[[#This Row],[V. 12 meses]]/Olfa[[#This Row],[Proj. de V. 12 meses]],"")</f>
        <v>0.40688814385857974</v>
      </c>
      <c r="AF20" s="22"/>
    </row>
    <row r="21" spans="1:32" hidden="1" x14ac:dyDescent="0.25">
      <c r="A21" s="22" t="s">
        <v>2129</v>
      </c>
      <c r="B21" s="22" t="str">
        <f>IF(OR(Olfa[[#This Row],[Status]]="Em linha",Olfa[[#This Row],[Status]]="Materia Prima",Olfa[[#This Row],[Status]]="Componente"),"ok",IF(Olfa[[#This Row],[Estoque+Importação]]&lt;1,"Tirar","ok"))</f>
        <v>ok</v>
      </c>
      <c r="C21" s="23">
        <v>33070614729</v>
      </c>
      <c r="D21" s="22" t="s">
        <v>618</v>
      </c>
      <c r="E21" s="22" t="str">
        <f>VLOOKUP(Olfa[[#This Row],[Código]],BD_Produto[],3,FALSE)</f>
        <v>Estilete Heavy Duty</v>
      </c>
      <c r="F21" s="22" t="str">
        <f>VLOOKUP(Olfa[[#This Row],[Código]],BD_Produto[],4,FALSE)</f>
        <v>Heavy Duty</v>
      </c>
      <c r="G21" s="24">
        <v>120</v>
      </c>
      <c r="H21" s="28">
        <v>239</v>
      </c>
      <c r="I21" s="22" t="s">
        <v>2849</v>
      </c>
      <c r="J21" s="24"/>
      <c r="K21" s="24"/>
      <c r="L21" s="177">
        <f>IFERROR(VLOOKUP(Olfa[[#This Row],[Código]],Saldo[],3,FALSE),0)</f>
        <v>210</v>
      </c>
      <c r="M21" s="24">
        <f>SUM(Olfa[[#This Row],[Produção]:[Estoque]])</f>
        <v>210</v>
      </c>
      <c r="N21" s="177">
        <f>IFERROR(Olfa[[#This Row],[Estoque+Importação]]/Olfa[[#This Row],[Proj. de V. No prox. mes]],"Sem Projeção")</f>
        <v>3.9325842696629216</v>
      </c>
      <c r="O21" s="177">
        <f>IF(OR(Olfa[[#This Row],[Status]]="Em Linha",Olfa[[#This Row],[Status]]="Componente",Olfa[[#This Row],[Status]]="Materia Prima"),Olfa[[#This Row],[Proj. de V. No prox. mes]]*10,"-")</f>
        <v>534</v>
      </c>
      <c r="P21" s="34">
        <f>IF(OR(Olfa[[#This Row],[Status]]="Em Linha",Olfa[[#This Row],[Status]]="Componente",Olfa[[#This Row],[Status]]="Materia Prima"),Olfa[[#This Row],[estoque 10 meses]]-Olfa[[#This Row],[Estoque+Importação]],0)</f>
        <v>324</v>
      </c>
      <c r="Q21" s="75">
        <f>Olfa[[#This Row],[Colunas1]]+Olfa[[#This Row],[Colunas2]]</f>
        <v>53.4</v>
      </c>
      <c r="R21" s="43">
        <f>VLOOKUP(Olfa[[#This Row],[Código]],Projeção[#All],14,FALSE)</f>
        <v>32.43333333333333</v>
      </c>
      <c r="S21" s="39">
        <f>IFERROR(VLOOKUP(Olfa[[#This Row],[Código]],Vendas!A17:B96,2,FALSE),0)</f>
        <v>0</v>
      </c>
      <c r="T21" s="44">
        <f>IFERROR(Olfa[[#This Row],[V. No mes]]/Olfa[[#This Row],[Proj. de V. No mes]],"")</f>
        <v>0</v>
      </c>
      <c r="U21" s="43">
        <f>VLOOKUP(Olfa[[#This Row],[Código]],Projeção[#All],14,FALSE)+VLOOKUP(Olfa[[#This Row],[Código]],Projeção[#All],13,FALSE)+VLOOKUP(Olfa[[#This Row],[Código]],Projeção[#All],12,FALSE)</f>
        <v>62.633333333333326</v>
      </c>
      <c r="V21" s="39">
        <f>IFERROR(VLOOKUP(Olfa[[#This Row],[Código]],Venda_3meses[],2,FALSE),0)</f>
        <v>78</v>
      </c>
      <c r="W21" s="44">
        <f>IFERROR(Olfa[[#This Row],[V. 3 meses]]/Olfa[[#This Row],[Proj. de V. 3 meses]],"")</f>
        <v>1.2453432676955829</v>
      </c>
      <c r="X2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83.23333333333332</v>
      </c>
      <c r="Y21" s="101">
        <f>IFERROR(VLOOKUP(Olfa[[#This Row],[Código]],Venda_6meses[],2,FALSE),0)</f>
        <v>122</v>
      </c>
      <c r="Z21" s="45">
        <f>IFERROR(Olfa[[#This Row],[V. 6 meses]]/Olfa[[#This Row],[Proj. de V. 6 meses]],"")</f>
        <v>1.4657589106928317</v>
      </c>
      <c r="AA2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162.36666666666665</v>
      </c>
      <c r="AB21" s="39">
        <f>IFERROR(VLOOKUP(Olfa[[#This Row],[Código]],Venda_12meses[],2,FALSE),0)</f>
        <v>267</v>
      </c>
      <c r="AC21" s="171">
        <f>Olfa[[#This Row],[V. 12 meses]]/6</f>
        <v>44.5</v>
      </c>
      <c r="AD21" s="171">
        <f>Olfa[[#This Row],[Colunas1]]*0.2</f>
        <v>8.9</v>
      </c>
      <c r="AE21" s="44">
        <f>IFERROR(Olfa[[#This Row],[V. 12 meses]]/Olfa[[#This Row],[Proj. de V. 12 meses]],"")</f>
        <v>1.6444261958530078</v>
      </c>
      <c r="AF21" s="22"/>
    </row>
    <row r="22" spans="1:32" hidden="1" x14ac:dyDescent="0.25">
      <c r="A22" s="22" t="s">
        <v>2129</v>
      </c>
      <c r="B22" s="22" t="str">
        <f>IF(OR(Olfa[[#This Row],[Status]]="Em linha",Olfa[[#This Row],[Status]]="Materia Prima",Olfa[[#This Row],[Status]]="Componente"),"ok",IF(Olfa[[#This Row],[Estoque+Importação]]&lt;1,"Tirar","ok"))</f>
        <v>ok</v>
      </c>
      <c r="C22" s="23">
        <v>33070614716</v>
      </c>
      <c r="D22" s="22" t="s">
        <v>606</v>
      </c>
      <c r="E22" s="22" t="str">
        <f>VLOOKUP(Olfa[[#This Row],[Código]],BD_Produto[],3,FALSE)</f>
        <v>Estilete Heavy Duty</v>
      </c>
      <c r="F22" s="22" t="str">
        <f>VLOOKUP(Olfa[[#This Row],[Código]],BD_Produto[],4,FALSE)</f>
        <v>Heavy Duty</v>
      </c>
      <c r="G22" s="24">
        <v>120</v>
      </c>
      <c r="H22" s="28">
        <v>176</v>
      </c>
      <c r="I22" s="22" t="s">
        <v>2849</v>
      </c>
      <c r="J22" s="24"/>
      <c r="K22" s="24"/>
      <c r="L22" s="177">
        <f>IFERROR(VLOOKUP(Olfa[[#This Row],[Código]],Saldo[],3,FALSE),0)</f>
        <v>397</v>
      </c>
      <c r="M22" s="24">
        <f>SUM(Olfa[[#This Row],[Produção]:[Estoque]])</f>
        <v>397</v>
      </c>
      <c r="N22" s="177">
        <f>IFERROR(Olfa[[#This Row],[Estoque+Importação]]/Olfa[[#This Row],[Proj. de V. No prox. mes]],"Sem Projeção")</f>
        <v>3.8998035363457761</v>
      </c>
      <c r="O22" s="177">
        <f>IF(OR(Olfa[[#This Row],[Status]]="Em Linha",Olfa[[#This Row],[Status]]="Componente",Olfa[[#This Row],[Status]]="Materia Prima"),Olfa[[#This Row],[Proj. de V. No prox. mes]]*10,"-")</f>
        <v>1018</v>
      </c>
      <c r="P22" s="34">
        <f>IF(OR(Olfa[[#This Row],[Status]]="Em Linha",Olfa[[#This Row],[Status]]="Componente",Olfa[[#This Row],[Status]]="Materia Prima"),Olfa[[#This Row],[estoque 10 meses]]-Olfa[[#This Row],[Estoque+Importação]],0)</f>
        <v>621</v>
      </c>
      <c r="Q22" s="75">
        <f>Olfa[[#This Row],[Colunas1]]+Olfa[[#This Row],[Colunas2]]</f>
        <v>101.8</v>
      </c>
      <c r="R22" s="43">
        <f>VLOOKUP(Olfa[[#This Row],[Código]],Projeção[#All],14,FALSE)</f>
        <v>53.800000000000004</v>
      </c>
      <c r="S22" s="39">
        <f>IFERROR(VLOOKUP(Olfa[[#This Row],[Código]],Vendas!A18:B97,2,FALSE),0)</f>
        <v>0</v>
      </c>
      <c r="T22" s="44">
        <f>IFERROR(Olfa[[#This Row],[V. No mes]]/Olfa[[#This Row],[Proj. de V. No mes]],"")</f>
        <v>0</v>
      </c>
      <c r="U22" s="43">
        <f>VLOOKUP(Olfa[[#This Row],[Código]],Projeção[#All],14,FALSE)+VLOOKUP(Olfa[[#This Row],[Código]],Projeção[#All],13,FALSE)+VLOOKUP(Olfa[[#This Row],[Código]],Projeção[#All],12,FALSE)</f>
        <v>133.56666666666666</v>
      </c>
      <c r="V22" s="39">
        <f>IFERROR(VLOOKUP(Olfa[[#This Row],[Código]],Venda_3meses[],2,FALSE),0)</f>
        <v>216</v>
      </c>
      <c r="W22" s="44">
        <f>IFERROR(Olfa[[#This Row],[V. 3 meses]]/Olfa[[#This Row],[Proj. de V. 3 meses]],"")</f>
        <v>1.6171699525829799</v>
      </c>
      <c r="X2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216.23333333333335</v>
      </c>
      <c r="Y22" s="101">
        <f>IFERROR(VLOOKUP(Olfa[[#This Row],[Código]],Venda_6meses[],2,FALSE),0)</f>
        <v>268</v>
      </c>
      <c r="Z22" s="45">
        <f>IFERROR(Olfa[[#This Row],[V. 6 meses]]/Olfa[[#This Row],[Proj. de V. 6 meses]],"")</f>
        <v>1.2394018806844458</v>
      </c>
      <c r="AA2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450.66666666666669</v>
      </c>
      <c r="AB22" s="39">
        <f>IFERROR(VLOOKUP(Olfa[[#This Row],[Código]],Venda_12meses[],2,FALSE),0)</f>
        <v>509</v>
      </c>
      <c r="AC22" s="171">
        <f>Olfa[[#This Row],[V. 12 meses]]/6</f>
        <v>84.833333333333329</v>
      </c>
      <c r="AD22" s="171">
        <f>Olfa[[#This Row],[Colunas1]]*0.2</f>
        <v>16.966666666666665</v>
      </c>
      <c r="AE22" s="44">
        <f>IFERROR(Olfa[[#This Row],[V. 12 meses]]/Olfa[[#This Row],[Proj. de V. 12 meses]],"")</f>
        <v>1.1294378698224852</v>
      </c>
      <c r="AF22" s="22"/>
    </row>
    <row r="23" spans="1:32" hidden="1" x14ac:dyDescent="0.25">
      <c r="A23" s="22" t="s">
        <v>2129</v>
      </c>
      <c r="B23" s="22" t="str">
        <f>IF(OR(Olfa[[#This Row],[Status]]="Em linha",Olfa[[#This Row],[Status]]="Materia Prima",Olfa[[#This Row],[Status]]="Componente"),"ok",IF(Olfa[[#This Row],[Estoque+Importação]]&lt;1,"Tirar","ok"))</f>
        <v>ok</v>
      </c>
      <c r="C23" s="23">
        <v>33070614724</v>
      </c>
      <c r="D23" s="22" t="s">
        <v>614</v>
      </c>
      <c r="E23" s="22" t="str">
        <f>VLOOKUP(Olfa[[#This Row],[Código]],BD_Produto[],3,FALSE)</f>
        <v>Estilete Heavy Duty</v>
      </c>
      <c r="F23" s="22" t="str">
        <f>VLOOKUP(Olfa[[#This Row],[Código]],BD_Produto[],4,FALSE)</f>
        <v>Heavy Duty</v>
      </c>
      <c r="G23" s="24">
        <v>120</v>
      </c>
      <c r="H23" s="28">
        <v>252</v>
      </c>
      <c r="I23" s="22" t="s">
        <v>2849</v>
      </c>
      <c r="J23" s="24"/>
      <c r="K23" s="24"/>
      <c r="L23" s="177">
        <f>IFERROR(VLOOKUP(Olfa[[#This Row],[Código]],Saldo[],3,FALSE),0)</f>
        <v>2898</v>
      </c>
      <c r="M23" s="24">
        <f>SUM(Olfa[[#This Row],[Produção]:[Estoque]])</f>
        <v>2898</v>
      </c>
      <c r="N23" s="177">
        <f>IFERROR(Olfa[[#This Row],[Estoque+Importação]]/Olfa[[#This Row],[Proj. de V. No prox. mes]],"Sem Projeção")</f>
        <v>3.7383900928792566</v>
      </c>
      <c r="O23" s="177">
        <f>IF(OR(Olfa[[#This Row],[Status]]="Em Linha",Olfa[[#This Row],[Status]]="Componente",Olfa[[#This Row],[Status]]="Materia Prima"),Olfa[[#This Row],[Proj. de V. No prox. mes]]*10,"-")</f>
        <v>7752</v>
      </c>
      <c r="P23" s="34">
        <f>IF(OR(Olfa[[#This Row],[Status]]="Em Linha",Olfa[[#This Row],[Status]]="Componente",Olfa[[#This Row],[Status]]="Materia Prima"),Olfa[[#This Row],[estoque 10 meses]]-Olfa[[#This Row],[Estoque+Importação]],0)</f>
        <v>4854</v>
      </c>
      <c r="Q23" s="75">
        <f>Olfa[[#This Row],[Colunas1]]+Olfa[[#This Row],[Colunas2]]</f>
        <v>775.2</v>
      </c>
      <c r="R23" s="43">
        <f>VLOOKUP(Olfa[[#This Row],[Código]],Projeção[#All],14,FALSE)</f>
        <v>290.86666666666667</v>
      </c>
      <c r="S23" s="39">
        <f>IFERROR(VLOOKUP(Olfa[[#This Row],[Código]],Vendas!A19:B98,2,FALSE),0)</f>
        <v>0</v>
      </c>
      <c r="T23" s="44">
        <f>IFERROR(Olfa[[#This Row],[V. No mes]]/Olfa[[#This Row],[Proj. de V. No mes]],"")</f>
        <v>0</v>
      </c>
      <c r="U23" s="43">
        <f>VLOOKUP(Olfa[[#This Row],[Código]],Projeção[#All],14,FALSE)+VLOOKUP(Olfa[[#This Row],[Código]],Projeção[#All],13,FALSE)+VLOOKUP(Olfa[[#This Row],[Código]],Projeção[#All],12,FALSE)</f>
        <v>819</v>
      </c>
      <c r="V23" s="39">
        <f>IFERROR(VLOOKUP(Olfa[[#This Row],[Código]],Venda_3meses[],2,FALSE),0)</f>
        <v>1107</v>
      </c>
      <c r="W23" s="44">
        <f>IFERROR(Olfa[[#This Row],[V. 3 meses]]/Olfa[[#This Row],[Proj. de V. 3 meses]],"")</f>
        <v>1.3516483516483517</v>
      </c>
      <c r="X2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1361.9666666666665</v>
      </c>
      <c r="Y23" s="101">
        <f>IFERROR(VLOOKUP(Olfa[[#This Row],[Código]],Venda_6meses[],2,FALSE),0)</f>
        <v>2067</v>
      </c>
      <c r="Z23" s="45">
        <f>IFERROR(Olfa[[#This Row],[V. 6 meses]]/Olfa[[#This Row],[Proj. de V. 6 meses]],"")</f>
        <v>1.5176582882596248</v>
      </c>
      <c r="AA2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3064.333333333333</v>
      </c>
      <c r="AB23" s="39">
        <f>IFERROR(VLOOKUP(Olfa[[#This Row],[Código]],Venda_12meses[],2,FALSE),0)</f>
        <v>3876</v>
      </c>
      <c r="AC23" s="171">
        <f>Olfa[[#This Row],[V. 12 meses]]/6</f>
        <v>646</v>
      </c>
      <c r="AD23" s="171">
        <f>Olfa[[#This Row],[Colunas1]]*0.2</f>
        <v>129.20000000000002</v>
      </c>
      <c r="AE23" s="44">
        <f>IFERROR(Olfa[[#This Row],[V. 12 meses]]/Olfa[[#This Row],[Proj. de V. 12 meses]],"")</f>
        <v>1.2648754487109759</v>
      </c>
      <c r="AF23" s="22"/>
    </row>
    <row r="24" spans="1:32" hidden="1" x14ac:dyDescent="0.25">
      <c r="A24" s="22" t="s">
        <v>2129</v>
      </c>
      <c r="B24" s="22" t="str">
        <f>IF(OR(Olfa[[#This Row],[Status]]="Em linha",Olfa[[#This Row],[Status]]="Materia Prima",Olfa[[#This Row],[Status]]="Componente"),"ok",IF(Olfa[[#This Row],[Estoque+Importação]]&lt;1,"Tirar","ok"))</f>
        <v>ok</v>
      </c>
      <c r="C24" s="23">
        <v>33070614756</v>
      </c>
      <c r="D24" s="22" t="s">
        <v>636</v>
      </c>
      <c r="E24" s="22" t="str">
        <f>VLOOKUP(Olfa[[#This Row],[Código]],BD_Produto[],3,FALSE)</f>
        <v>Estojo de Lâminas</v>
      </c>
      <c r="F24" s="22" t="str">
        <f>VLOOKUP(Olfa[[#This Row],[Código]],BD_Produto[],4,FALSE)</f>
        <v>Rotativo</v>
      </c>
      <c r="G24" s="24">
        <v>480</v>
      </c>
      <c r="H24" s="28">
        <v>158</v>
      </c>
      <c r="I24" s="22" t="s">
        <v>2849</v>
      </c>
      <c r="J24" s="24"/>
      <c r="K24" s="24"/>
      <c r="L24" s="177">
        <f>IFERROR(VLOOKUP(Olfa[[#This Row],[Código]],Saldo[],3,FALSE),0)</f>
        <v>2120</v>
      </c>
      <c r="M24" s="24">
        <f>SUM(Olfa[[#This Row],[Produção]:[Estoque]])</f>
        <v>2120</v>
      </c>
      <c r="N24" s="177">
        <f>IFERROR(Olfa[[#This Row],[Estoque+Importação]]/Olfa[[#This Row],[Proj. de V. No prox. mes]],"Sem Projeção")</f>
        <v>5.22940305870745</v>
      </c>
      <c r="O24" s="177">
        <f>IF(OR(Olfa[[#This Row],[Status]]="Em Linha",Olfa[[#This Row],[Status]]="Componente",Olfa[[#This Row],[Status]]="Materia Prima"),Olfa[[#This Row],[Proj. de V. No prox. mes]]*10,"-")</f>
        <v>4054</v>
      </c>
      <c r="P24" s="34">
        <f>IF(OR(Olfa[[#This Row],[Status]]="Em Linha",Olfa[[#This Row],[Status]]="Componente",Olfa[[#This Row],[Status]]="Materia Prima"),Olfa[[#This Row],[estoque 10 meses]]-Olfa[[#This Row],[Estoque+Importação]],0)</f>
        <v>1934</v>
      </c>
      <c r="Q24" s="75">
        <f>Olfa[[#This Row],[Colunas1]]+Olfa[[#This Row],[Colunas2]]</f>
        <v>405.4</v>
      </c>
      <c r="R24" s="43">
        <f>VLOOKUP(Olfa[[#This Row],[Código]],Projeção[#All],14,FALSE)</f>
        <v>270.39999999999998</v>
      </c>
      <c r="S24" s="39">
        <f>IFERROR(VLOOKUP(Olfa[[#This Row],[Código]],Vendas!A20:B99,2,FALSE),0)</f>
        <v>0</v>
      </c>
      <c r="T24" s="44">
        <f>IFERROR(Olfa[[#This Row],[V. No mes]]/Olfa[[#This Row],[Proj. de V. No mes]],"")</f>
        <v>0</v>
      </c>
      <c r="U24" s="43">
        <f>VLOOKUP(Olfa[[#This Row],[Código]],Projeção[#All],14,FALSE)+VLOOKUP(Olfa[[#This Row],[Código]],Projeção[#All],13,FALSE)+VLOOKUP(Olfa[[#This Row],[Código]],Projeção[#All],12,FALSE)</f>
        <v>744.9</v>
      </c>
      <c r="V24" s="39">
        <f>IFERROR(VLOOKUP(Olfa[[#This Row],[Código]],Venda_3meses[],2,FALSE),0)</f>
        <v>355</v>
      </c>
      <c r="W24" s="44">
        <f>IFERROR(Olfa[[#This Row],[V. 3 meses]]/Olfa[[#This Row],[Proj. de V. 3 meses]],"")</f>
        <v>0.47657403678346089</v>
      </c>
      <c r="X2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1070.5333333333333</v>
      </c>
      <c r="Y24" s="101">
        <f>IFERROR(VLOOKUP(Olfa[[#This Row],[Código]],Venda_6meses[],2,FALSE),0)</f>
        <v>677</v>
      </c>
      <c r="Z24" s="45">
        <f>IFERROR(Olfa[[#This Row],[V. 6 meses]]/Olfa[[#This Row],[Proj. de V. 6 meses]],"")</f>
        <v>0.63239506787893884</v>
      </c>
      <c r="AA2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2284.9666666666667</v>
      </c>
      <c r="AB24" s="39">
        <f>IFERROR(VLOOKUP(Olfa[[#This Row],[Código]],Venda_12meses[],2,FALSE),0)</f>
        <v>2027</v>
      </c>
      <c r="AC24" s="171">
        <f>Olfa[[#This Row],[V. 12 meses]]/6</f>
        <v>337.83333333333331</v>
      </c>
      <c r="AD24" s="171">
        <f>Olfa[[#This Row],[Colunas1]]*0.2</f>
        <v>67.566666666666663</v>
      </c>
      <c r="AE24" s="44">
        <f>IFERROR(Olfa[[#This Row],[V. 12 meses]]/Olfa[[#This Row],[Proj. de V. 12 meses]],"")</f>
        <v>0.88710265649389486</v>
      </c>
      <c r="AF24" s="22"/>
    </row>
    <row r="25" spans="1:32" x14ac:dyDescent="0.25">
      <c r="A25" s="22" t="s">
        <v>2129</v>
      </c>
      <c r="B25" s="22" t="str">
        <f>IF(OR(Olfa[[#This Row],[Status]]="Em linha",Olfa[[#This Row],[Status]]="Materia Prima",Olfa[[#This Row],[Status]]="Componente"),"ok",IF(Olfa[[#This Row],[Estoque+Importação]]&lt;1,"Tirar","ok"))</f>
        <v>ok</v>
      </c>
      <c r="C25" s="23">
        <v>33070614912</v>
      </c>
      <c r="D25" s="22" t="s">
        <v>657</v>
      </c>
      <c r="E25" s="22" t="str">
        <f>VLOOKUP(Olfa[[#This Row],[Código]],BD_Produto[],3,FALSE)</f>
        <v>Estilete Especial</v>
      </c>
      <c r="F25" s="22" t="str">
        <f>VLOOKUP(Olfa[[#This Row],[Código]],BD_Produto[],4,FALSE)</f>
        <v>Especial</v>
      </c>
      <c r="G25" s="24">
        <v>120</v>
      </c>
      <c r="H25" s="28">
        <v>328</v>
      </c>
      <c r="I25" s="22" t="s">
        <v>2849</v>
      </c>
      <c r="J25" s="24"/>
      <c r="K25" s="24"/>
      <c r="L25" s="177">
        <f>IFERROR(VLOOKUP(Olfa[[#This Row],[Código]],Saldo[],3,FALSE),0)</f>
        <v>153</v>
      </c>
      <c r="M25" s="24">
        <f>SUM(Olfa[[#This Row],[Produção]:[Estoque]])</f>
        <v>153</v>
      </c>
      <c r="N25" s="177">
        <f>IFERROR(Olfa[[#This Row],[Estoque+Importação]]/Olfa[[#This Row],[Proj. de V. No prox. mes]],"Sem Projeção")</f>
        <v>11.953125000000002</v>
      </c>
      <c r="O25" s="177">
        <f>IF(OR(Olfa[[#This Row],[Status]]="Em Linha",Olfa[[#This Row],[Status]]="Componente",Olfa[[#This Row],[Status]]="Materia Prima"),Olfa[[#This Row],[Proj. de V. No prox. mes]]*10,"-")</f>
        <v>127.99999999999999</v>
      </c>
      <c r="P25" s="34">
        <f>IF(OR(Olfa[[#This Row],[Status]]="Em Linha",Olfa[[#This Row],[Status]]="Componente",Olfa[[#This Row],[Status]]="Materia Prima"),Olfa[[#This Row],[estoque 10 meses]]-Olfa[[#This Row],[Estoque+Importação]],0)</f>
        <v>-25.000000000000014</v>
      </c>
      <c r="Q25" s="75">
        <f>Olfa[[#This Row],[Colunas1]]+Olfa[[#This Row],[Colunas2]]</f>
        <v>12.799999999999999</v>
      </c>
      <c r="R25" s="43">
        <f>VLOOKUP(Olfa[[#This Row],[Código]],Projeção[#All],14,FALSE)</f>
        <v>6.5666666666666664</v>
      </c>
      <c r="S25" s="39">
        <f>IFERROR(VLOOKUP(Olfa[[#This Row],[Código]],Vendas!A21:B100,2,FALSE),0)</f>
        <v>0</v>
      </c>
      <c r="T25" s="44">
        <f>IFERROR(Olfa[[#This Row],[V. No mes]]/Olfa[[#This Row],[Proj. de V. No mes]],"")</f>
        <v>0</v>
      </c>
      <c r="U25" s="43">
        <f>VLOOKUP(Olfa[[#This Row],[Código]],Projeção[#All],14,FALSE)+VLOOKUP(Olfa[[#This Row],[Código]],Projeção[#All],13,FALSE)+VLOOKUP(Olfa[[#This Row],[Código]],Projeção[#All],12,FALSE)</f>
        <v>17.766666666666666</v>
      </c>
      <c r="V25" s="39">
        <f>IFERROR(VLOOKUP(Olfa[[#This Row],[Código]],Venda_3meses[],2,FALSE),0)</f>
        <v>32</v>
      </c>
      <c r="W25" s="44">
        <f>IFERROR(Olfa[[#This Row],[V. 3 meses]]/Olfa[[#This Row],[Proj. de V. 3 meses]],"")</f>
        <v>1.8011257035647281</v>
      </c>
      <c r="X2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41.866666666666667</v>
      </c>
      <c r="Y25" s="101">
        <f>IFERROR(VLOOKUP(Olfa[[#This Row],[Código]],Venda_6meses[],2,FALSE),0)</f>
        <v>44</v>
      </c>
      <c r="Z25" s="45">
        <f>IFERROR(Olfa[[#This Row],[V. 6 meses]]/Olfa[[#This Row],[Proj. de V. 6 meses]],"")</f>
        <v>1.0509554140127388</v>
      </c>
      <c r="AA2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66.966666666666669</v>
      </c>
      <c r="AB25" s="39">
        <f>IFERROR(VLOOKUP(Olfa[[#This Row],[Código]],Venda_12meses[],2,FALSE),0)</f>
        <v>64</v>
      </c>
      <c r="AC25" s="171">
        <f>Olfa[[#This Row],[V. 12 meses]]/6</f>
        <v>10.666666666666666</v>
      </c>
      <c r="AD25" s="171">
        <f>Olfa[[#This Row],[Colunas1]]*0.2</f>
        <v>2.1333333333333333</v>
      </c>
      <c r="AE25" s="44">
        <f>IFERROR(Olfa[[#This Row],[V. 12 meses]]/Olfa[[#This Row],[Proj. de V. 12 meses]],"")</f>
        <v>0.95569935291189645</v>
      </c>
      <c r="AF25" s="22"/>
    </row>
    <row r="26" spans="1:32" hidden="1" x14ac:dyDescent="0.25">
      <c r="A26" s="22" t="s">
        <v>2129</v>
      </c>
      <c r="B26" s="22" t="str">
        <f>IF(OR(Olfa[[#This Row],[Status]]="Em linha",Olfa[[#This Row],[Status]]="Materia Prima",Olfa[[#This Row],[Status]]="Componente"),"ok",IF(Olfa[[#This Row],[Estoque+Importação]]&lt;1,"Tirar","ok"))</f>
        <v>ok</v>
      </c>
      <c r="C26" s="23">
        <v>33070614727</v>
      </c>
      <c r="D26" s="22" t="s">
        <v>616</v>
      </c>
      <c r="E26" s="22" t="str">
        <f>VLOOKUP(Olfa[[#This Row],[Código]],BD_Produto[],3,FALSE)</f>
        <v>Estilete Heavy Duty</v>
      </c>
      <c r="F26" s="22" t="str">
        <f>VLOOKUP(Olfa[[#This Row],[Código]],BD_Produto[],4,FALSE)</f>
        <v>Heavy Duty</v>
      </c>
      <c r="G26" s="24">
        <v>120</v>
      </c>
      <c r="H26" s="28">
        <v>144</v>
      </c>
      <c r="I26" s="22" t="s">
        <v>2849</v>
      </c>
      <c r="J26" s="24"/>
      <c r="K26" s="24"/>
      <c r="L26" s="177">
        <f>IFERROR(VLOOKUP(Olfa[[#This Row],[Código]],Saldo[],3,FALSE),0)</f>
        <v>1236</v>
      </c>
      <c r="M26" s="24">
        <f>SUM(Olfa[[#This Row],[Produção]:[Estoque]])</f>
        <v>1236</v>
      </c>
      <c r="N26" s="177">
        <f>IFERROR(Olfa[[#This Row],[Estoque+Importação]]/Olfa[[#This Row],[Proj. de V. No prox. mes]],"Sem Projeção")</f>
        <v>2.6500857632933101</v>
      </c>
      <c r="O26" s="177">
        <f>IF(OR(Olfa[[#This Row],[Status]]="Em Linha",Olfa[[#This Row],[Status]]="Componente",Olfa[[#This Row],[Status]]="Materia Prima"),Olfa[[#This Row],[Proj. de V. No prox. mes]]*10,"-")</f>
        <v>4664</v>
      </c>
      <c r="P26" s="34">
        <f>IF(OR(Olfa[[#This Row],[Status]]="Em Linha",Olfa[[#This Row],[Status]]="Componente",Olfa[[#This Row],[Status]]="Materia Prima"),Olfa[[#This Row],[estoque 10 meses]]-Olfa[[#This Row],[Estoque+Importação]],0)</f>
        <v>3428</v>
      </c>
      <c r="Q26" s="75">
        <f>Olfa[[#This Row],[Colunas1]]+Olfa[[#This Row],[Colunas2]]</f>
        <v>466.40000000000003</v>
      </c>
      <c r="R26" s="43">
        <f>VLOOKUP(Olfa[[#This Row],[Código]],Projeção[#All],14,FALSE)</f>
        <v>281.46666666666664</v>
      </c>
      <c r="S26" s="39">
        <f>IFERROR(VLOOKUP(Olfa[[#This Row],[Código]],Vendas!A22:B101,2,FALSE),0)</f>
        <v>0</v>
      </c>
      <c r="T26" s="44">
        <f>IFERROR(Olfa[[#This Row],[V. No mes]]/Olfa[[#This Row],[Proj. de V. No mes]],"")</f>
        <v>0</v>
      </c>
      <c r="U26" s="43">
        <f>VLOOKUP(Olfa[[#This Row],[Código]],Projeção[#All],14,FALSE)+VLOOKUP(Olfa[[#This Row],[Código]],Projeção[#All],13,FALSE)+VLOOKUP(Olfa[[#This Row],[Código]],Projeção[#All],12,FALSE)</f>
        <v>666.73333333333335</v>
      </c>
      <c r="V26" s="39">
        <f>IFERROR(VLOOKUP(Olfa[[#This Row],[Código]],Venda_3meses[],2,FALSE),0)</f>
        <v>483</v>
      </c>
      <c r="W26" s="44">
        <f>IFERROR(Olfa[[#This Row],[V. 3 meses]]/Olfa[[#This Row],[Proj. de V. 3 meses]],"")</f>
        <v>0.72442755724427554</v>
      </c>
      <c r="X2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988.03333333333342</v>
      </c>
      <c r="Y26" s="101">
        <f>IFERROR(VLOOKUP(Olfa[[#This Row],[Código]],Venda_6meses[],2,FALSE),0)</f>
        <v>844</v>
      </c>
      <c r="Z26" s="45">
        <f>IFERROR(Olfa[[#This Row],[V. 6 meses]]/Olfa[[#This Row],[Proj. de V. 6 meses]],"")</f>
        <v>0.85422219223373019</v>
      </c>
      <c r="AA2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1954.4666666666667</v>
      </c>
      <c r="AB26" s="39">
        <f>IFERROR(VLOOKUP(Olfa[[#This Row],[Código]],Venda_12meses[],2,FALSE),0)</f>
        <v>2332</v>
      </c>
      <c r="AC26" s="171">
        <f>Olfa[[#This Row],[V. 12 meses]]/6</f>
        <v>388.66666666666669</v>
      </c>
      <c r="AD26" s="171">
        <f>Olfa[[#This Row],[Colunas1]]*0.2</f>
        <v>77.733333333333348</v>
      </c>
      <c r="AE26" s="44">
        <f>IFERROR(Olfa[[#This Row],[V. 12 meses]]/Olfa[[#This Row],[Proj. de V. 12 meses]],"")</f>
        <v>1.193164375618242</v>
      </c>
      <c r="AF26" s="22"/>
    </row>
    <row r="27" spans="1:32" hidden="1" x14ac:dyDescent="0.25">
      <c r="A27" s="22" t="s">
        <v>2129</v>
      </c>
      <c r="B27" s="22" t="str">
        <f>IF(OR(Olfa[[#This Row],[Status]]="Em linha",Olfa[[#This Row],[Status]]="Materia Prima",Olfa[[#This Row],[Status]]="Componente"),"ok",IF(Olfa[[#This Row],[Estoque+Importação]]&lt;1,"Tirar","ok"))</f>
        <v>ok</v>
      </c>
      <c r="C27" s="23">
        <v>33070663729</v>
      </c>
      <c r="D27" s="22" t="s">
        <v>1240</v>
      </c>
      <c r="E27" s="22" t="str">
        <f>VLOOKUP(Olfa[[#This Row],[Código]],BD_Produto[],3,FALSE)</f>
        <v>Estojo de Lâminas</v>
      </c>
      <c r="F27" s="22" t="str">
        <f>VLOOKUP(Olfa[[#This Row],[Código]],BD_Produto[],4,FALSE)</f>
        <v>Multiuso</v>
      </c>
      <c r="G27" s="24">
        <v>240</v>
      </c>
      <c r="H27" s="28">
        <v>96</v>
      </c>
      <c r="I27" s="22" t="s">
        <v>2849</v>
      </c>
      <c r="J27" s="24"/>
      <c r="K27" s="24"/>
      <c r="L27" s="177">
        <f>IFERROR(VLOOKUP(Olfa[[#This Row],[Código]],Saldo[],3,FALSE),0)</f>
        <v>1632</v>
      </c>
      <c r="M27" s="24">
        <f>SUM(Olfa[[#This Row],[Produção]:[Estoque]])</f>
        <v>1632</v>
      </c>
      <c r="N27" s="177">
        <f>IFERROR(Olfa[[#This Row],[Estoque+Importação]]/Olfa[[#This Row],[Proj. de V. No prox. mes]],"Sem Projeção")</f>
        <v>2.9705132872224245</v>
      </c>
      <c r="O27" s="177">
        <f>IF(OR(Olfa[[#This Row],[Status]]="Em Linha",Olfa[[#This Row],[Status]]="Componente",Olfa[[#This Row],[Status]]="Materia Prima"),Olfa[[#This Row],[Proj. de V. No prox. mes]]*10,"-")</f>
        <v>5494</v>
      </c>
      <c r="P27" s="34">
        <f>IF(OR(Olfa[[#This Row],[Status]]="Em Linha",Olfa[[#This Row],[Status]]="Componente",Olfa[[#This Row],[Status]]="Materia Prima"),Olfa[[#This Row],[estoque 10 meses]]-Olfa[[#This Row],[Estoque+Importação]],0)</f>
        <v>3862</v>
      </c>
      <c r="Q27" s="75">
        <f>Olfa[[#This Row],[Colunas1]]+Olfa[[#This Row],[Colunas2]]</f>
        <v>549.4</v>
      </c>
      <c r="R27" s="43">
        <f>VLOOKUP(Olfa[[#This Row],[Código]],Projeção[#All],14,FALSE)</f>
        <v>290</v>
      </c>
      <c r="S27" s="39">
        <f>IFERROR(VLOOKUP(Olfa[[#This Row],[Código]],Vendas!A23:B102,2,FALSE),0)</f>
        <v>0</v>
      </c>
      <c r="T27" s="44">
        <f>IFERROR(Olfa[[#This Row],[V. No mes]]/Olfa[[#This Row],[Proj. de V. No mes]],"")</f>
        <v>0</v>
      </c>
      <c r="U27" s="43">
        <f>VLOOKUP(Olfa[[#This Row],[Código]],Projeção[#All],14,FALSE)+VLOOKUP(Olfa[[#This Row],[Código]],Projeção[#All],13,FALSE)+VLOOKUP(Olfa[[#This Row],[Código]],Projeção[#All],12,FALSE)</f>
        <v>701.5333333333333</v>
      </c>
      <c r="V27" s="39">
        <f>IFERROR(VLOOKUP(Olfa[[#This Row],[Código]],Venda_3meses[],2,FALSE),0)</f>
        <v>645</v>
      </c>
      <c r="W27" s="44">
        <f>IFERROR(Olfa[[#This Row],[V. 3 meses]]/Olfa[[#This Row],[Proj. de V. 3 meses]],"")</f>
        <v>0.91941461560391524</v>
      </c>
      <c r="X2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1338.0666666666666</v>
      </c>
      <c r="Y27" s="101">
        <f>IFERROR(VLOOKUP(Olfa[[#This Row],[Código]],Venda_6meses[],2,FALSE),0)</f>
        <v>1215</v>
      </c>
      <c r="Z27" s="45">
        <f>IFERROR(Olfa[[#This Row],[V. 6 meses]]/Olfa[[#This Row],[Proj. de V. 6 meses]],"")</f>
        <v>0.90802650590404066</v>
      </c>
      <c r="AA2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2580.5333333333328</v>
      </c>
      <c r="AB27" s="39">
        <f>IFERROR(VLOOKUP(Olfa[[#This Row],[Código]],Venda_12meses[],2,FALSE),0)</f>
        <v>2747</v>
      </c>
      <c r="AC27" s="171">
        <f>Olfa[[#This Row],[V. 12 meses]]/6</f>
        <v>457.83333333333331</v>
      </c>
      <c r="AD27" s="171">
        <f>Olfa[[#This Row],[Colunas1]]*0.2</f>
        <v>91.566666666666663</v>
      </c>
      <c r="AE27" s="44">
        <f>IFERROR(Olfa[[#This Row],[V. 12 meses]]/Olfa[[#This Row],[Proj. de V. 12 meses]],"")</f>
        <v>1.0645086287072443</v>
      </c>
      <c r="AF27" s="22" t="s">
        <v>1668</v>
      </c>
    </row>
    <row r="28" spans="1:32" hidden="1" x14ac:dyDescent="0.25">
      <c r="A28" s="22" t="s">
        <v>2129</v>
      </c>
      <c r="B28" s="22" t="str">
        <f>IF(OR(Olfa[[#This Row],[Status]]="Em linha",Olfa[[#This Row],[Status]]="Materia Prima",Olfa[[#This Row],[Status]]="Componente"),"ok",IF(Olfa[[#This Row],[Estoque+Importação]]&lt;1,"Tirar","ok"))</f>
        <v>ok</v>
      </c>
      <c r="C28" s="23">
        <v>33070663733</v>
      </c>
      <c r="D28" s="22" t="s">
        <v>1161</v>
      </c>
      <c r="E28" s="22" t="str">
        <f>VLOOKUP(Olfa[[#This Row],[Código]],BD_Produto[],3,FALSE)</f>
        <v>Estilete Especial</v>
      </c>
      <c r="F28" s="22" t="str">
        <f>VLOOKUP(Olfa[[#This Row],[Código]],BD_Produto[],4,FALSE)</f>
        <v>Especial</v>
      </c>
      <c r="G28" s="24">
        <v>120</v>
      </c>
      <c r="H28" s="28">
        <v>456.5</v>
      </c>
      <c r="I28" s="22" t="s">
        <v>2849</v>
      </c>
      <c r="J28" s="24"/>
      <c r="K28" s="24"/>
      <c r="L28" s="177">
        <f>IFERROR(VLOOKUP(Olfa[[#This Row],[Código]],Saldo[],3,FALSE),0)</f>
        <v>167</v>
      </c>
      <c r="M28" s="24">
        <f>SUM(Olfa[[#This Row],[Produção]:[Estoque]])</f>
        <v>167</v>
      </c>
      <c r="N28" s="177">
        <f>IFERROR(Olfa[[#This Row],[Estoque+Importação]]/Olfa[[#This Row],[Proj. de V. No prox. mes]],"Sem Projeção")</f>
        <v>4.1336633663366342</v>
      </c>
      <c r="O28" s="177">
        <f>IF(OR(Olfa[[#This Row],[Status]]="Em Linha",Olfa[[#This Row],[Status]]="Componente",Olfa[[#This Row],[Status]]="Materia Prima"),Olfa[[#This Row],[Proj. de V. No prox. mes]]*10,"-")</f>
        <v>404</v>
      </c>
      <c r="P28" s="34">
        <f>IF(OR(Olfa[[#This Row],[Status]]="Em Linha",Olfa[[#This Row],[Status]]="Componente",Olfa[[#This Row],[Status]]="Materia Prima"),Olfa[[#This Row],[estoque 10 meses]]-Olfa[[#This Row],[Estoque+Importação]],0)</f>
        <v>237</v>
      </c>
      <c r="Q28" s="75">
        <f>Olfa[[#This Row],[Colunas1]]+Olfa[[#This Row],[Colunas2]]</f>
        <v>40.4</v>
      </c>
      <c r="R28" s="43">
        <f>VLOOKUP(Olfa[[#This Row],[Código]],Projeção[#All],14,FALSE)</f>
        <v>19.599999999999998</v>
      </c>
      <c r="S28" s="39">
        <f>IFERROR(VLOOKUP(Olfa[[#This Row],[Código]],Vendas!A24:B103,2,FALSE),0)</f>
        <v>0</v>
      </c>
      <c r="T28" s="44">
        <f>IFERROR(Olfa[[#This Row],[V. No mes]]/Olfa[[#This Row],[Proj. de V. No mes]],"")</f>
        <v>0</v>
      </c>
      <c r="U28" s="43">
        <f>VLOOKUP(Olfa[[#This Row],[Código]],Projeção[#All],14,FALSE)+VLOOKUP(Olfa[[#This Row],[Código]],Projeção[#All],13,FALSE)+VLOOKUP(Olfa[[#This Row],[Código]],Projeção[#All],12,FALSE)</f>
        <v>44.966666666666661</v>
      </c>
      <c r="V28" s="39">
        <f>IFERROR(VLOOKUP(Olfa[[#This Row],[Código]],Venda_3meses[],2,FALSE),0)</f>
        <v>73</v>
      </c>
      <c r="W28" s="44">
        <f>IFERROR(Olfa[[#This Row],[V. 3 meses]]/Olfa[[#This Row],[Proj. de V. 3 meses]],"")</f>
        <v>1.6234247590808009</v>
      </c>
      <c r="X2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75.733333333333334</v>
      </c>
      <c r="Y28" s="101">
        <f>IFERROR(VLOOKUP(Olfa[[#This Row],[Código]],Venda_6meses[],2,FALSE),0)</f>
        <v>102</v>
      </c>
      <c r="Z28" s="45">
        <f>IFERROR(Olfa[[#This Row],[V. 6 meses]]/Olfa[[#This Row],[Proj. de V. 6 meses]],"")</f>
        <v>1.346830985915493</v>
      </c>
      <c r="AA2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146.5333333333333</v>
      </c>
      <c r="AB28" s="39">
        <f>IFERROR(VLOOKUP(Olfa[[#This Row],[Código]],Venda_12meses[],2,FALSE),0)</f>
        <v>202</v>
      </c>
      <c r="AC28" s="171">
        <f>Olfa[[#This Row],[V. 12 meses]]/6</f>
        <v>33.666666666666664</v>
      </c>
      <c r="AD28" s="171">
        <f>Olfa[[#This Row],[Colunas1]]*0.2</f>
        <v>6.7333333333333334</v>
      </c>
      <c r="AE28" s="44">
        <f>IFERROR(Olfa[[#This Row],[V. 12 meses]]/Olfa[[#This Row],[Proj. de V. 12 meses]],"")</f>
        <v>1.3785259326660604</v>
      </c>
      <c r="AF28" s="22"/>
    </row>
    <row r="29" spans="1:32" hidden="1" x14ac:dyDescent="0.25">
      <c r="A29" s="22" t="s">
        <v>2129</v>
      </c>
      <c r="B29" s="22" t="str">
        <f>IF(OR(Olfa[[#This Row],[Status]]="Em linha",Olfa[[#This Row],[Status]]="Materia Prima",Olfa[[#This Row],[Status]]="Componente"),"ok",IF(Olfa[[#This Row],[Estoque+Importação]]&lt;1,"Tirar","ok"))</f>
        <v>ok</v>
      </c>
      <c r="C29" s="23">
        <v>33070664013</v>
      </c>
      <c r="D29" s="22" t="s">
        <v>706</v>
      </c>
      <c r="E29" s="22" t="str">
        <f>VLOOKUP(Olfa[[#This Row],[Código]],BD_Produto[],3,FALSE)</f>
        <v>Estilete Multiuso</v>
      </c>
      <c r="F29" s="22" t="str">
        <f>VLOOKUP(Olfa[[#This Row],[Código]],BD_Produto[],4,FALSE)</f>
        <v>Multiuso</v>
      </c>
      <c r="G29" s="24">
        <v>240</v>
      </c>
      <c r="H29" s="28">
        <v>137</v>
      </c>
      <c r="I29" s="22" t="s">
        <v>2849</v>
      </c>
      <c r="J29" s="24"/>
      <c r="K29" s="24"/>
      <c r="L29" s="177">
        <f>IFERROR(VLOOKUP(Olfa[[#This Row],[Código]],Saldo[],3,FALSE),0)</f>
        <v>100</v>
      </c>
      <c r="M29" s="24">
        <f>SUM(Olfa[[#This Row],[Produção]:[Estoque]])</f>
        <v>100</v>
      </c>
      <c r="N29" s="177">
        <f>IFERROR(Olfa[[#This Row],[Estoque+Importação]]/Olfa[[#This Row],[Proj. de V. No prox. mes]],"Sem Projeção")</f>
        <v>1.0775862068965518</v>
      </c>
      <c r="O29" s="177">
        <f>IF(OR(Olfa[[#This Row],[Status]]="Em Linha",Olfa[[#This Row],[Status]]="Componente",Olfa[[#This Row],[Status]]="Materia Prima"),Olfa[[#This Row],[Proj. de V. No prox. mes]]*10,"-")</f>
        <v>928</v>
      </c>
      <c r="P29" s="34">
        <f>IF(OR(Olfa[[#This Row],[Status]]="Em Linha",Olfa[[#This Row],[Status]]="Componente",Olfa[[#This Row],[Status]]="Materia Prima"),Olfa[[#This Row],[estoque 10 meses]]-Olfa[[#This Row],[Estoque+Importação]],0)</f>
        <v>828</v>
      </c>
      <c r="Q29" s="75">
        <f>Olfa[[#This Row],[Colunas1]]+Olfa[[#This Row],[Colunas2]]</f>
        <v>92.8</v>
      </c>
      <c r="R29" s="43">
        <f>VLOOKUP(Olfa[[#This Row],[Código]],Projeção[#All],14,FALSE)</f>
        <v>44.86666666666666</v>
      </c>
      <c r="S29" s="39">
        <f>IFERROR(VLOOKUP(Olfa[[#This Row],[Código]],Vendas!A25:B104,2,FALSE),0)</f>
        <v>0</v>
      </c>
      <c r="T29" s="44">
        <f>IFERROR(Olfa[[#This Row],[V. No mes]]/Olfa[[#This Row],[Proj. de V. No mes]],"")</f>
        <v>0</v>
      </c>
      <c r="U29" s="43">
        <f>VLOOKUP(Olfa[[#This Row],[Código]],Projeção[#All],14,FALSE)+VLOOKUP(Olfa[[#This Row],[Código]],Projeção[#All],13,FALSE)+VLOOKUP(Olfa[[#This Row],[Código]],Projeção[#All],12,FALSE)</f>
        <v>114.46666666666665</v>
      </c>
      <c r="V29" s="39">
        <f>IFERROR(VLOOKUP(Olfa[[#This Row],[Código]],Venda_3meses[],2,FALSE),0)</f>
        <v>136</v>
      </c>
      <c r="W29" s="44">
        <f>IFERROR(Olfa[[#This Row],[V. 3 meses]]/Olfa[[#This Row],[Proj. de V. 3 meses]],"")</f>
        <v>1.1881188118811883</v>
      </c>
      <c r="X2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225.93333333333334</v>
      </c>
      <c r="Y29" s="101">
        <f>IFERROR(VLOOKUP(Olfa[[#This Row],[Código]],Venda_6meses[],2,FALSE),0)</f>
        <v>227</v>
      </c>
      <c r="Z29" s="45">
        <f>IFERROR(Olfa[[#This Row],[V. 6 meses]]/Olfa[[#This Row],[Proj. de V. 6 meses]],"")</f>
        <v>1.0047211566833874</v>
      </c>
      <c r="AA2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508.86666666666673</v>
      </c>
      <c r="AB29" s="39">
        <f>IFERROR(VLOOKUP(Olfa[[#This Row],[Código]],Venda_12meses[],2,FALSE),0)</f>
        <v>464</v>
      </c>
      <c r="AC29" s="171">
        <f>Olfa[[#This Row],[V. 12 meses]]/6</f>
        <v>77.333333333333329</v>
      </c>
      <c r="AD29" s="171">
        <f>Olfa[[#This Row],[Colunas1]]*0.2</f>
        <v>15.466666666666667</v>
      </c>
      <c r="AE29" s="44">
        <f>IFERROR(Olfa[[#This Row],[V. 12 meses]]/Olfa[[#This Row],[Proj. de V. 12 meses]],"")</f>
        <v>0.91183021092624117</v>
      </c>
      <c r="AF29" s="22"/>
    </row>
    <row r="30" spans="1:32" hidden="1" x14ac:dyDescent="0.25">
      <c r="A30" s="22" t="s">
        <v>2129</v>
      </c>
      <c r="B30" s="22" t="str">
        <f>IF(OR(Olfa[[#This Row],[Status]]="Em linha",Olfa[[#This Row],[Status]]="Materia Prima",Olfa[[#This Row],[Status]]="Componente"),"ok",IF(Olfa[[#This Row],[Estoque+Importação]]&lt;1,"Tirar","ok"))</f>
        <v>ok</v>
      </c>
      <c r="C30" s="23">
        <v>33070661636</v>
      </c>
      <c r="D30" s="22" t="s">
        <v>678</v>
      </c>
      <c r="E30" s="22" t="str">
        <f>VLOOKUP(Olfa[[#This Row],[Código]],BD_Produto[],3,FALSE)</f>
        <v>Estojo de Lâminas</v>
      </c>
      <c r="F30" s="22" t="str">
        <f>VLOOKUP(Olfa[[#This Row],[Código]],BD_Produto[],4,FALSE)</f>
        <v>Multiuso</v>
      </c>
      <c r="G30" s="24">
        <v>240</v>
      </c>
      <c r="H30" s="28">
        <v>150</v>
      </c>
      <c r="I30" s="22" t="s">
        <v>2849</v>
      </c>
      <c r="J30" s="24"/>
      <c r="K30" s="24"/>
      <c r="L30" s="177">
        <f>IFERROR(VLOOKUP(Olfa[[#This Row],[Código]],Saldo[],3,FALSE),0)</f>
        <v>340</v>
      </c>
      <c r="M30" s="24">
        <f>SUM(Olfa[[#This Row],[Produção]:[Estoque]])</f>
        <v>340</v>
      </c>
      <c r="N30" s="177">
        <f>IFERROR(Olfa[[#This Row],[Estoque+Importação]]/Olfa[[#This Row],[Proj. de V. No prox. mes]],"Sem Projeção")</f>
        <v>3.1307550644567219</v>
      </c>
      <c r="O30" s="177">
        <f>IF(OR(Olfa[[#This Row],[Status]]="Em Linha",Olfa[[#This Row],[Status]]="Componente",Olfa[[#This Row],[Status]]="Materia Prima"),Olfa[[#This Row],[Proj. de V. No prox. mes]]*10,"-")</f>
        <v>1086</v>
      </c>
      <c r="P30" s="34">
        <f>IF(OR(Olfa[[#This Row],[Status]]="Em Linha",Olfa[[#This Row],[Status]]="Componente",Olfa[[#This Row],[Status]]="Materia Prima"),Olfa[[#This Row],[estoque 10 meses]]-Olfa[[#This Row],[Estoque+Importação]],0)</f>
        <v>746</v>
      </c>
      <c r="Q30" s="75">
        <f>Olfa[[#This Row],[Colunas1]]+Olfa[[#This Row],[Colunas2]]</f>
        <v>108.6</v>
      </c>
      <c r="R30" s="43">
        <f>VLOOKUP(Olfa[[#This Row],[Código]],Projeção[#All],14,FALSE)</f>
        <v>47.033333333333339</v>
      </c>
      <c r="S30" s="39">
        <f>IFERROR(VLOOKUP(Olfa[[#This Row],[Código]],Vendas!A26:B105,2,FALSE),0)</f>
        <v>0</v>
      </c>
      <c r="T30" s="44">
        <f>IFERROR(Olfa[[#This Row],[V. No mes]]/Olfa[[#This Row],[Proj. de V. No mes]],"")</f>
        <v>0</v>
      </c>
      <c r="U30" s="43">
        <f>VLOOKUP(Olfa[[#This Row],[Código]],Projeção[#All],14,FALSE)+VLOOKUP(Olfa[[#This Row],[Código]],Projeção[#All],13,FALSE)+VLOOKUP(Olfa[[#This Row],[Código]],Projeção[#All],12,FALSE)</f>
        <v>126.60000000000001</v>
      </c>
      <c r="V30" s="39">
        <f>IFERROR(VLOOKUP(Olfa[[#This Row],[Código]],Venda_3meses[],2,FALSE),0)</f>
        <v>224</v>
      </c>
      <c r="W30" s="44">
        <f>IFERROR(Olfa[[#This Row],[V. 3 meses]]/Olfa[[#This Row],[Proj. de V. 3 meses]],"")</f>
        <v>1.7693522906793049</v>
      </c>
      <c r="X3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212.70000000000002</v>
      </c>
      <c r="Y30" s="101">
        <f>IFERROR(VLOOKUP(Olfa[[#This Row],[Código]],Venda_6meses[],2,FALSE),0)</f>
        <v>278</v>
      </c>
      <c r="Z30" s="45">
        <f>IFERROR(Olfa[[#This Row],[V. 6 meses]]/Olfa[[#This Row],[Proj. de V. 6 meses]],"")</f>
        <v>1.307005171603197</v>
      </c>
      <c r="AA3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437.96666666666675</v>
      </c>
      <c r="AB30" s="39">
        <f>IFERROR(VLOOKUP(Olfa[[#This Row],[Código]],Venda_12meses[],2,FALSE),0)</f>
        <v>543</v>
      </c>
      <c r="AC30" s="171">
        <f>Olfa[[#This Row],[V. 12 meses]]/6</f>
        <v>90.5</v>
      </c>
      <c r="AD30" s="171">
        <f>Olfa[[#This Row],[Colunas1]]*0.2</f>
        <v>18.100000000000001</v>
      </c>
      <c r="AE30" s="44">
        <f>IFERROR(Olfa[[#This Row],[V. 12 meses]]/Olfa[[#This Row],[Proj. de V. 12 meses]],"")</f>
        <v>1.2398203820686504</v>
      </c>
      <c r="AF30" s="22"/>
    </row>
    <row r="31" spans="1:32" hidden="1" x14ac:dyDescent="0.25">
      <c r="A31" s="22" t="s">
        <v>2129</v>
      </c>
      <c r="B31" s="22" t="str">
        <f>IF(OR(Olfa[[#This Row],[Status]]="Em linha",Olfa[[#This Row],[Status]]="Materia Prima",Olfa[[#This Row],[Status]]="Componente"),"ok",IF(Olfa[[#This Row],[Estoque+Importação]]&lt;1,"Tirar","ok"))</f>
        <v>ok</v>
      </c>
      <c r="C31" s="23">
        <v>33070614028</v>
      </c>
      <c r="D31" s="22" t="s">
        <v>604</v>
      </c>
      <c r="E31" s="22" t="str">
        <f>VLOOKUP(Olfa[[#This Row],[Código]],BD_Produto[],3,FALSE)</f>
        <v>Estilete Heavy Duty</v>
      </c>
      <c r="F31" s="22" t="str">
        <f>VLOOKUP(Olfa[[#This Row],[Código]],BD_Produto[],4,FALSE)</f>
        <v>Heavy Duty</v>
      </c>
      <c r="G31" s="24">
        <v>120</v>
      </c>
      <c r="H31" s="28">
        <v>267</v>
      </c>
      <c r="I31" s="22" t="s">
        <v>2849</v>
      </c>
      <c r="J31" s="24"/>
      <c r="K31" s="24"/>
      <c r="L31" s="177">
        <f>IFERROR(VLOOKUP(Olfa[[#This Row],[Código]],Saldo[],3,FALSE),0)</f>
        <v>483</v>
      </c>
      <c r="M31" s="24">
        <f>SUM(Olfa[[#This Row],[Produção]:[Estoque]])</f>
        <v>483</v>
      </c>
      <c r="N31" s="177">
        <f>IFERROR(Olfa[[#This Row],[Estoque+Importação]]/Olfa[[#This Row],[Proj. de V. No prox. mes]],"Sem Projeção")</f>
        <v>4.2592592592592586</v>
      </c>
      <c r="O31" s="177">
        <f>IF(OR(Olfa[[#This Row],[Status]]="Em Linha",Olfa[[#This Row],[Status]]="Componente",Olfa[[#This Row],[Status]]="Materia Prima"),Olfa[[#This Row],[Proj. de V. No prox. mes]]*10,"-")</f>
        <v>1134</v>
      </c>
      <c r="P31" s="34">
        <f>IF(OR(Olfa[[#This Row],[Status]]="Em Linha",Olfa[[#This Row],[Status]]="Componente",Olfa[[#This Row],[Status]]="Materia Prima"),Olfa[[#This Row],[estoque 10 meses]]-Olfa[[#This Row],[Estoque+Importação]],0)</f>
        <v>651</v>
      </c>
      <c r="Q31" s="75">
        <f>Olfa[[#This Row],[Colunas1]]+Olfa[[#This Row],[Colunas2]]</f>
        <v>113.4</v>
      </c>
      <c r="R31" s="43">
        <f>VLOOKUP(Olfa[[#This Row],[Código]],Projeção[#All],14,FALSE)</f>
        <v>82.6</v>
      </c>
      <c r="S31" s="39">
        <f>IFERROR(VLOOKUP(Olfa[[#This Row],[Código]],Vendas!A27:B106,2,FALSE),0)</f>
        <v>50</v>
      </c>
      <c r="T31" s="44">
        <f>IFERROR(Olfa[[#This Row],[V. No mes]]/Olfa[[#This Row],[Proj. de V. No mes]],"")</f>
        <v>0.60532687651331718</v>
      </c>
      <c r="U31" s="43">
        <f>VLOOKUP(Olfa[[#This Row],[Código]],Projeção[#All],14,FALSE)+VLOOKUP(Olfa[[#This Row],[Código]],Projeção[#All],13,FALSE)+VLOOKUP(Olfa[[#This Row],[Código]],Projeção[#All],12,FALSE)</f>
        <v>206.76666666666665</v>
      </c>
      <c r="V31" s="39">
        <f>IFERROR(VLOOKUP(Olfa[[#This Row],[Código]],Venda_3meses[],2,FALSE),0)</f>
        <v>115</v>
      </c>
      <c r="W31" s="44">
        <f>IFERROR(Olfa[[#This Row],[V. 3 meses]]/Olfa[[#This Row],[Proj. de V. 3 meses]],"")</f>
        <v>0.55618249234241501</v>
      </c>
      <c r="X3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382.09999999999991</v>
      </c>
      <c r="Y31" s="101">
        <f>IFERROR(VLOOKUP(Olfa[[#This Row],[Código]],Venda_6meses[],2,FALSE),0)</f>
        <v>234</v>
      </c>
      <c r="Z31" s="45">
        <f>IFERROR(Olfa[[#This Row],[V. 6 meses]]/Olfa[[#This Row],[Proj. de V. 6 meses]],"")</f>
        <v>0.61240512954723914</v>
      </c>
      <c r="AA3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921.06666666666649</v>
      </c>
      <c r="AB31" s="39">
        <f>IFERROR(VLOOKUP(Olfa[[#This Row],[Código]],Venda_12meses[],2,FALSE),0)</f>
        <v>567</v>
      </c>
      <c r="AC31" s="171">
        <f>Olfa[[#This Row],[V. 12 meses]]/6</f>
        <v>94.5</v>
      </c>
      <c r="AD31" s="171">
        <f>Olfa[[#This Row],[Colunas1]]*0.2</f>
        <v>18.900000000000002</v>
      </c>
      <c r="AE31" s="44">
        <f>IFERROR(Olfa[[#This Row],[V. 12 meses]]/Olfa[[#This Row],[Proj. de V. 12 meses]],"")</f>
        <v>0.6155906195715114</v>
      </c>
      <c r="AF31" s="22"/>
    </row>
    <row r="32" spans="1:32" hidden="1" x14ac:dyDescent="0.25">
      <c r="A32" s="22" t="s">
        <v>2129</v>
      </c>
      <c r="B32" s="22" t="str">
        <f>IF(OR(Olfa[[#This Row],[Status]]="Em linha",Olfa[[#This Row],[Status]]="Materia Prima",Olfa[[#This Row],[Status]]="Componente"),"ok",IF(Olfa[[#This Row],[Estoque+Importação]]&lt;1,"Tirar","ok"))</f>
        <v>ok</v>
      </c>
      <c r="C32" s="23">
        <v>33070663730</v>
      </c>
      <c r="D32" s="22" t="s">
        <v>701</v>
      </c>
      <c r="E32" s="22" t="str">
        <f>VLOOKUP(Olfa[[#This Row],[Código]],BD_Produto[],3,FALSE)</f>
        <v>Estilete Multiuso</v>
      </c>
      <c r="F32" s="22" t="str">
        <f>VLOOKUP(Olfa[[#This Row],[Código]],BD_Produto[],4,FALSE)</f>
        <v>Multiuso</v>
      </c>
      <c r="G32" s="24">
        <v>120</v>
      </c>
      <c r="H32" s="28">
        <v>210</v>
      </c>
      <c r="I32" s="22" t="s">
        <v>2849</v>
      </c>
      <c r="J32" s="24"/>
      <c r="K32" s="24"/>
      <c r="L32" s="177">
        <f>IFERROR(VLOOKUP(Olfa[[#This Row],[Código]],Saldo[],3,FALSE),0)</f>
        <v>166</v>
      </c>
      <c r="M32" s="24">
        <f>SUM(Olfa[[#This Row],[Produção]:[Estoque]])</f>
        <v>166</v>
      </c>
      <c r="N32" s="177">
        <f>IFERROR(Olfa[[#This Row],[Estoque+Importação]]/Olfa[[#This Row],[Proj. de V. No prox. mes]],"Sem Projeção")</f>
        <v>6.8032786885245908</v>
      </c>
      <c r="O32" s="177">
        <f>IF(OR(Olfa[[#This Row],[Status]]="Em Linha",Olfa[[#This Row],[Status]]="Componente",Olfa[[#This Row],[Status]]="Materia Prima"),Olfa[[#This Row],[Proj. de V. No prox. mes]]*10,"-")</f>
        <v>244</v>
      </c>
      <c r="P32" s="34">
        <f>IF(OR(Olfa[[#This Row],[Status]]="Em Linha",Olfa[[#This Row],[Status]]="Componente",Olfa[[#This Row],[Status]]="Materia Prima"),Olfa[[#This Row],[estoque 10 meses]]-Olfa[[#This Row],[Estoque+Importação]],0)</f>
        <v>78</v>
      </c>
      <c r="Q32" s="75">
        <f>Olfa[[#This Row],[Colunas1]]+Olfa[[#This Row],[Colunas2]]</f>
        <v>24.4</v>
      </c>
      <c r="R32" s="43">
        <f>VLOOKUP(Olfa[[#This Row],[Código]],Projeção[#All],14,FALSE)</f>
        <v>16.666666666666664</v>
      </c>
      <c r="S32" s="39">
        <f>IFERROR(VLOOKUP(Olfa[[#This Row],[Código]],Vendas!A28:B107,2,FALSE),0)</f>
        <v>0</v>
      </c>
      <c r="T32" s="44">
        <f>IFERROR(Olfa[[#This Row],[V. No mes]]/Olfa[[#This Row],[Proj. de V. No mes]],"")</f>
        <v>0</v>
      </c>
      <c r="U32" s="43">
        <f>VLOOKUP(Olfa[[#This Row],[Código]],Projeção[#All],14,FALSE)+VLOOKUP(Olfa[[#This Row],[Código]],Projeção[#All],13,FALSE)+VLOOKUP(Olfa[[#This Row],[Código]],Projeção[#All],12,FALSE)</f>
        <v>30.266666666666666</v>
      </c>
      <c r="V32" s="39">
        <f>IFERROR(VLOOKUP(Olfa[[#This Row],[Código]],Venda_3meses[],2,FALSE),0)</f>
        <v>21</v>
      </c>
      <c r="W32" s="44">
        <f>IFERROR(Olfa[[#This Row],[V. 3 meses]]/Olfa[[#This Row],[Proj. de V. 3 meses]],"")</f>
        <v>0.69383259911894279</v>
      </c>
      <c r="X3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41.199999999999996</v>
      </c>
      <c r="Y32" s="101">
        <f>IFERROR(VLOOKUP(Olfa[[#This Row],[Código]],Venda_6meses[],2,FALSE),0)</f>
        <v>30</v>
      </c>
      <c r="Z32" s="45">
        <f>IFERROR(Olfa[[#This Row],[V. 6 meses]]/Olfa[[#This Row],[Proj. de V. 6 meses]],"")</f>
        <v>0.72815533980582536</v>
      </c>
      <c r="AA3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86.59999999999998</v>
      </c>
      <c r="AB32" s="39">
        <f>IFERROR(VLOOKUP(Olfa[[#This Row],[Código]],Venda_12meses[],2,FALSE),0)</f>
        <v>122</v>
      </c>
      <c r="AC32" s="171">
        <f>Olfa[[#This Row],[V. 12 meses]]/6</f>
        <v>20.333333333333332</v>
      </c>
      <c r="AD32" s="171">
        <f>Olfa[[#This Row],[Colunas1]]*0.2</f>
        <v>4.0666666666666664</v>
      </c>
      <c r="AE32" s="44">
        <f>IFERROR(Olfa[[#This Row],[V. 12 meses]]/Olfa[[#This Row],[Proj. de V. 12 meses]],"")</f>
        <v>1.4087759815242498</v>
      </c>
      <c r="AF32" s="22"/>
    </row>
    <row r="33" spans="1:32" hidden="1" x14ac:dyDescent="0.25">
      <c r="A33" s="22" t="s">
        <v>2129</v>
      </c>
      <c r="B33" s="22" t="str">
        <f>IF(OR(Olfa[[#This Row],[Status]]="Em linha",Olfa[[#This Row],[Status]]="Materia Prima",Olfa[[#This Row],[Status]]="Componente"),"ok",IF(Olfa[[#This Row],[Estoque+Importação]]&lt;1,"Tirar","ok"))</f>
        <v>ok</v>
      </c>
      <c r="C33" s="23">
        <v>33070614750</v>
      </c>
      <c r="D33" s="22" t="s">
        <v>1241</v>
      </c>
      <c r="E33" s="22" t="str">
        <f>VLOOKUP(Olfa[[#This Row],[Código]],BD_Produto[],3,FALSE)</f>
        <v>Estojo de Lâminas</v>
      </c>
      <c r="F33" s="22" t="str">
        <f>VLOOKUP(Olfa[[#This Row],[Código]],BD_Produto[],4,FALSE)</f>
        <v>Rotativo</v>
      </c>
      <c r="G33" s="24">
        <v>480</v>
      </c>
      <c r="H33" s="28">
        <v>152</v>
      </c>
      <c r="I33" s="22" t="s">
        <v>2849</v>
      </c>
      <c r="J33" s="24"/>
      <c r="K33" s="24"/>
      <c r="L33" s="177">
        <f>IFERROR(VLOOKUP(Olfa[[#This Row],[Código]],Saldo[],3,FALSE),0)</f>
        <v>1656</v>
      </c>
      <c r="M33" s="24">
        <f>SUM(Olfa[[#This Row],[Produção]:[Estoque]])</f>
        <v>1656</v>
      </c>
      <c r="N33" s="177">
        <f>IFERROR(Olfa[[#This Row],[Estoque+Importação]]/Olfa[[#This Row],[Proj. de V. No prox. mes]],"Sem Projeção")</f>
        <v>4.3556023145712786</v>
      </c>
      <c r="O33" s="177">
        <f>IF(OR(Olfa[[#This Row],[Status]]="Em Linha",Olfa[[#This Row],[Status]]="Componente",Olfa[[#This Row],[Status]]="Materia Prima"),Olfa[[#This Row],[Proj. de V. No prox. mes]]*10,"-")</f>
        <v>3802</v>
      </c>
      <c r="P33" s="34">
        <f>IF(OR(Olfa[[#This Row],[Status]]="Em Linha",Olfa[[#This Row],[Status]]="Componente",Olfa[[#This Row],[Status]]="Materia Prima"),Olfa[[#This Row],[estoque 10 meses]]-Olfa[[#This Row],[Estoque+Importação]],0)</f>
        <v>2146</v>
      </c>
      <c r="Q33" s="75">
        <f>Olfa[[#This Row],[Colunas1]]+Olfa[[#This Row],[Colunas2]]</f>
        <v>380.2</v>
      </c>
      <c r="R33" s="43">
        <f>VLOOKUP(Olfa[[#This Row],[Código]],Projeção[#All],14,FALSE)</f>
        <v>288.89999999999998</v>
      </c>
      <c r="S33" s="39">
        <f>IFERROR(VLOOKUP(Olfa[[#This Row],[Código]],Vendas!A29:B108,2,FALSE),0)</f>
        <v>0</v>
      </c>
      <c r="T33" s="44">
        <f>IFERROR(Olfa[[#This Row],[V. No mes]]/Olfa[[#This Row],[Proj. de V. No mes]],"")</f>
        <v>0</v>
      </c>
      <c r="U33" s="43">
        <f>VLOOKUP(Olfa[[#This Row],[Código]],Projeção[#All],14,FALSE)+VLOOKUP(Olfa[[#This Row],[Código]],Projeção[#All],13,FALSE)+VLOOKUP(Olfa[[#This Row],[Código]],Projeção[#All],12,FALSE)</f>
        <v>743.5</v>
      </c>
      <c r="V33" s="39">
        <f>IFERROR(VLOOKUP(Olfa[[#This Row],[Código]],Venda_3meses[],2,FALSE),0)</f>
        <v>337</v>
      </c>
      <c r="W33" s="44">
        <f>IFERROR(Olfa[[#This Row],[V. 3 meses]]/Olfa[[#This Row],[Proj. de V. 3 meses]],"")</f>
        <v>0.45326160053799597</v>
      </c>
      <c r="X3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1274.8666666666666</v>
      </c>
      <c r="Y33" s="101">
        <f>IFERROR(VLOOKUP(Olfa[[#This Row],[Código]],Venda_6meses[],2,FALSE),0)</f>
        <v>692</v>
      </c>
      <c r="Z33" s="45">
        <f>IFERROR(Olfa[[#This Row],[V. 6 meses]]/Olfa[[#This Row],[Proj. de V. 6 meses]],"")</f>
        <v>0.54280186163258903</v>
      </c>
      <c r="AA3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2387.3666666666668</v>
      </c>
      <c r="AB33" s="39">
        <f>IFERROR(VLOOKUP(Olfa[[#This Row],[Código]],Venda_12meses[],2,FALSE),0)</f>
        <v>1901</v>
      </c>
      <c r="AC33" s="171">
        <f>Olfa[[#This Row],[V. 12 meses]]/6</f>
        <v>316.83333333333331</v>
      </c>
      <c r="AD33" s="171">
        <f>Olfa[[#This Row],[Colunas1]]*0.2</f>
        <v>63.366666666666667</v>
      </c>
      <c r="AE33" s="44">
        <f>IFERROR(Olfa[[#This Row],[V. 12 meses]]/Olfa[[#This Row],[Proj. de V. 12 meses]],"")</f>
        <v>0.79627483559291268</v>
      </c>
      <c r="AF33" s="22"/>
    </row>
    <row r="34" spans="1:32" x14ac:dyDescent="0.25">
      <c r="A34" s="22" t="s">
        <v>2129</v>
      </c>
      <c r="B34" s="22" t="str">
        <f>IF(OR(Olfa[[#This Row],[Status]]="Em linha",Olfa[[#This Row],[Status]]="Materia Prima",Olfa[[#This Row],[Status]]="Componente"),"ok",IF(Olfa[[#This Row],[Estoque+Importação]]&lt;1,"Tirar","ok"))</f>
        <v>ok</v>
      </c>
      <c r="C34" s="23">
        <v>33070614908</v>
      </c>
      <c r="D34" s="22" t="s">
        <v>654</v>
      </c>
      <c r="E34" s="22" t="str">
        <f>VLOOKUP(Olfa[[#This Row],[Código]],BD_Produto[],3,FALSE)</f>
        <v>Estilete Especial</v>
      </c>
      <c r="F34" s="22" t="str">
        <f>VLOOKUP(Olfa[[#This Row],[Código]],BD_Produto[],4,FALSE)</f>
        <v>Especial</v>
      </c>
      <c r="G34" s="24">
        <v>60</v>
      </c>
      <c r="H34" s="28">
        <v>455.5</v>
      </c>
      <c r="I34" s="22" t="s">
        <v>2849</v>
      </c>
      <c r="J34" s="24"/>
      <c r="K34" s="24"/>
      <c r="L34" s="177">
        <f>IFERROR(VLOOKUP(Olfa[[#This Row],[Código]],Saldo[],3,FALSE),0)</f>
        <v>1016</v>
      </c>
      <c r="M34" s="24">
        <f>SUM(Olfa[[#This Row],[Produção]:[Estoque]])</f>
        <v>1016</v>
      </c>
      <c r="N34" s="177">
        <f>IFERROR(Olfa[[#This Row],[Estoque+Importação]]/Olfa[[#This Row],[Proj. de V. No prox. mes]],"Sem Projeção")</f>
        <v>18.078291814946617</v>
      </c>
      <c r="O34" s="177">
        <f>IF(OR(Olfa[[#This Row],[Status]]="Em Linha",Olfa[[#This Row],[Status]]="Componente",Olfa[[#This Row],[Status]]="Materia Prima"),Olfa[[#This Row],[Proj. de V. No prox. mes]]*10,"-")</f>
        <v>562</v>
      </c>
      <c r="P34" s="34">
        <f>IF(OR(Olfa[[#This Row],[Status]]="Em Linha",Olfa[[#This Row],[Status]]="Componente",Olfa[[#This Row],[Status]]="Materia Prima"),Olfa[[#This Row],[estoque 10 meses]]-Olfa[[#This Row],[Estoque+Importação]],0)</f>
        <v>-454</v>
      </c>
      <c r="Q34" s="75">
        <f>Olfa[[#This Row],[Colunas1]]+Olfa[[#This Row],[Colunas2]]</f>
        <v>56.2</v>
      </c>
      <c r="R34" s="43">
        <f>VLOOKUP(Olfa[[#This Row],[Código]],Projeção[#All],14,FALSE)</f>
        <v>19.066666666666663</v>
      </c>
      <c r="S34" s="39">
        <f>IFERROR(VLOOKUP(Olfa[[#This Row],[Código]],Vendas!A30:B109,2,FALSE),0)</f>
        <v>0</v>
      </c>
      <c r="T34" s="44">
        <f>IFERROR(Olfa[[#This Row],[V. No mes]]/Olfa[[#This Row],[Proj. de V. No mes]],"")</f>
        <v>0</v>
      </c>
      <c r="U34" s="43">
        <f>VLOOKUP(Olfa[[#This Row],[Código]],Projeção[#All],14,FALSE)+VLOOKUP(Olfa[[#This Row],[Código]],Projeção[#All],13,FALSE)+VLOOKUP(Olfa[[#This Row],[Código]],Projeção[#All],12,FALSE)</f>
        <v>46.633333333333326</v>
      </c>
      <c r="V34" s="39">
        <f>IFERROR(VLOOKUP(Olfa[[#This Row],[Código]],Venda_3meses[],2,FALSE),0)</f>
        <v>58</v>
      </c>
      <c r="W34" s="44">
        <f>IFERROR(Olfa[[#This Row],[V. 3 meses]]/Olfa[[#This Row],[Proj. de V. 3 meses]],"")</f>
        <v>1.2437455325232312</v>
      </c>
      <c r="X3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73.599999999999994</v>
      </c>
      <c r="Y34" s="101">
        <f>IFERROR(VLOOKUP(Olfa[[#This Row],[Código]],Venda_6meses[],2,FALSE),0)</f>
        <v>186</v>
      </c>
      <c r="Z34" s="45">
        <f>IFERROR(Olfa[[#This Row],[V. 6 meses]]/Olfa[[#This Row],[Proj. de V. 6 meses]],"")</f>
        <v>2.5271739130434785</v>
      </c>
      <c r="AA3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167.99999999999997</v>
      </c>
      <c r="AB34" s="39">
        <f>IFERROR(VLOOKUP(Olfa[[#This Row],[Código]],Venda_12meses[],2,FALSE),0)</f>
        <v>281</v>
      </c>
      <c r="AC34" s="171">
        <f>Olfa[[#This Row],[V. 12 meses]]/6</f>
        <v>46.833333333333336</v>
      </c>
      <c r="AD34" s="171">
        <f>Olfa[[#This Row],[Colunas1]]*0.2</f>
        <v>9.3666666666666671</v>
      </c>
      <c r="AE34" s="44">
        <f>IFERROR(Olfa[[#This Row],[V. 12 meses]]/Olfa[[#This Row],[Proj. de V. 12 meses]],"")</f>
        <v>1.6726190476190479</v>
      </c>
      <c r="AF34" s="22"/>
    </row>
    <row r="35" spans="1:32" hidden="1" x14ac:dyDescent="0.25">
      <c r="A35" s="22" t="s">
        <v>2129</v>
      </c>
      <c r="B35" s="22" t="str">
        <f>IF(OR(Olfa[[#This Row],[Status]]="Em linha",Olfa[[#This Row],[Status]]="Materia Prima",Olfa[[#This Row],[Status]]="Componente"),"ok",IF(Olfa[[#This Row],[Estoque+Importação]]&lt;1,"Tirar","ok"))</f>
        <v>ok</v>
      </c>
      <c r="C35" s="23">
        <v>33070614723</v>
      </c>
      <c r="D35" s="22" t="s">
        <v>613</v>
      </c>
      <c r="E35" s="22" t="str">
        <f>VLOOKUP(Olfa[[#This Row],[Código]],BD_Produto[],3,FALSE)</f>
        <v>Estilete Heavy Duty</v>
      </c>
      <c r="F35" s="22" t="str">
        <f>VLOOKUP(Olfa[[#This Row],[Código]],BD_Produto[],4,FALSE)</f>
        <v>Heavy Duty</v>
      </c>
      <c r="G35" s="24">
        <v>120</v>
      </c>
      <c r="H35" s="28">
        <v>234</v>
      </c>
      <c r="I35" s="22" t="s">
        <v>2849</v>
      </c>
      <c r="J35" s="24"/>
      <c r="K35" s="24"/>
      <c r="L35" s="177">
        <f>IFERROR(VLOOKUP(Olfa[[#This Row],[Código]],Saldo[],3,FALSE),0)</f>
        <v>1659</v>
      </c>
      <c r="M35" s="24">
        <f>SUM(Olfa[[#This Row],[Produção]:[Estoque]])</f>
        <v>1659</v>
      </c>
      <c r="N35" s="177">
        <f>IFERROR(Olfa[[#This Row],[Estoque+Importação]]/Olfa[[#This Row],[Proj. de V. No prox. mes]],"Sem Projeção")</f>
        <v>2.7723930481283419</v>
      </c>
      <c r="O35" s="177">
        <f>IF(OR(Olfa[[#This Row],[Status]]="Em Linha",Olfa[[#This Row],[Status]]="Componente",Olfa[[#This Row],[Status]]="Materia Prima"),Olfa[[#This Row],[Proj. de V. No prox. mes]]*10,"-")</f>
        <v>5984.0000000000009</v>
      </c>
      <c r="P35" s="34">
        <f>IF(OR(Olfa[[#This Row],[Status]]="Em Linha",Olfa[[#This Row],[Status]]="Componente",Olfa[[#This Row],[Status]]="Materia Prima"),Olfa[[#This Row],[estoque 10 meses]]-Olfa[[#This Row],[Estoque+Importação]],0)</f>
        <v>4325.0000000000009</v>
      </c>
      <c r="Q35" s="75">
        <f>Olfa[[#This Row],[Colunas1]]+Olfa[[#This Row],[Colunas2]]</f>
        <v>598.40000000000009</v>
      </c>
      <c r="R35" s="43">
        <f>VLOOKUP(Olfa[[#This Row],[Código]],Projeção[#All],14,FALSE)</f>
        <v>280.60000000000002</v>
      </c>
      <c r="S35" s="39">
        <f>IFERROR(VLOOKUP(Olfa[[#This Row],[Código]],Vendas!A31:B110,2,FALSE),0)</f>
        <v>222</v>
      </c>
      <c r="T35" s="44">
        <f>IFERROR(Olfa[[#This Row],[V. No mes]]/Olfa[[#This Row],[Proj. de V. No mes]],"")</f>
        <v>0.79116179615110471</v>
      </c>
      <c r="U35" s="43">
        <f>VLOOKUP(Olfa[[#This Row],[Código]],Projeção[#All],14,FALSE)+VLOOKUP(Olfa[[#This Row],[Código]],Projeção[#All],13,FALSE)+VLOOKUP(Olfa[[#This Row],[Código]],Projeção[#All],12,FALSE)</f>
        <v>833.16666666666674</v>
      </c>
      <c r="V35" s="39">
        <f>IFERROR(VLOOKUP(Olfa[[#This Row],[Código]],Venda_3meses[],2,FALSE),0)</f>
        <v>955</v>
      </c>
      <c r="W35" s="44">
        <f>IFERROR(Olfa[[#This Row],[V. 3 meses]]/Olfa[[#This Row],[Proj. de V. 3 meses]],"")</f>
        <v>1.1462292458491696</v>
      </c>
      <c r="X3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1309.9000000000001</v>
      </c>
      <c r="Y35" s="101">
        <f>IFERROR(VLOOKUP(Olfa[[#This Row],[Código]],Venda_6meses[],2,FALSE),0)</f>
        <v>1524</v>
      </c>
      <c r="Z35" s="45">
        <f>IFERROR(Olfa[[#This Row],[V. 6 meses]]/Olfa[[#This Row],[Proj. de V. 6 meses]],"")</f>
        <v>1.1634475914191922</v>
      </c>
      <c r="AA3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2704.2666666666669</v>
      </c>
      <c r="AB35" s="39">
        <f>IFERROR(VLOOKUP(Olfa[[#This Row],[Código]],Venda_12meses[],2,FALSE),0)</f>
        <v>2992</v>
      </c>
      <c r="AC35" s="171">
        <f>Olfa[[#This Row],[V. 12 meses]]/6</f>
        <v>498.66666666666669</v>
      </c>
      <c r="AD35" s="171">
        <f>Olfa[[#This Row],[Colunas1]]*0.2</f>
        <v>99.733333333333348</v>
      </c>
      <c r="AE35" s="44">
        <f>IFERROR(Olfa[[#This Row],[V. 12 meses]]/Olfa[[#This Row],[Proj. de V. 12 meses]],"")</f>
        <v>1.1063997633369489</v>
      </c>
      <c r="AF35" s="22"/>
    </row>
    <row r="36" spans="1:32" hidden="1" x14ac:dyDescent="0.25">
      <c r="A36" s="22" t="s">
        <v>2129</v>
      </c>
      <c r="B36" s="22" t="str">
        <f>IF(OR(Olfa[[#This Row],[Status]]="Em linha",Olfa[[#This Row],[Status]]="Materia Prima",Olfa[[#This Row],[Status]]="Componente"),"ok",IF(Olfa[[#This Row],[Estoque+Importação]]&lt;1,"Tirar","ok"))</f>
        <v>ok</v>
      </c>
      <c r="C36" s="23">
        <v>33070614776</v>
      </c>
      <c r="D36" s="22" t="s">
        <v>640</v>
      </c>
      <c r="E36" s="22" t="str">
        <f>VLOOKUP(Olfa[[#This Row],[Código]],BD_Produto[],3,FALSE)</f>
        <v>Estojo de Lâminas</v>
      </c>
      <c r="F36" s="22" t="str">
        <f>VLOOKUP(Olfa[[#This Row],[Código]],BD_Produto[],4,FALSE)</f>
        <v>Especial</v>
      </c>
      <c r="G36" s="24">
        <v>240</v>
      </c>
      <c r="H36" s="28">
        <v>84</v>
      </c>
      <c r="I36" s="22" t="s">
        <v>2849</v>
      </c>
      <c r="J36" s="24"/>
      <c r="K36" s="24"/>
      <c r="L36" s="177">
        <f>IFERROR(VLOOKUP(Olfa[[#This Row],[Código]],Saldo[],3,FALSE),0)</f>
        <v>362</v>
      </c>
      <c r="M36" s="24">
        <f>SUM(Olfa[[#This Row],[Produção]:[Estoque]])</f>
        <v>362</v>
      </c>
      <c r="N36" s="177">
        <f>IFERROR(Olfa[[#This Row],[Estoque+Importação]]/Olfa[[#This Row],[Proj. de V. No prox. mes]],"Sem Projeção")</f>
        <v>1.2380300957592341</v>
      </c>
      <c r="O36" s="177">
        <f>IF(OR(Olfa[[#This Row],[Status]]="Em Linha",Olfa[[#This Row],[Status]]="Componente",Olfa[[#This Row],[Status]]="Materia Prima"),Olfa[[#This Row],[Proj. de V. No prox. mes]]*10,"-")</f>
        <v>2924</v>
      </c>
      <c r="P36" s="34">
        <f>IF(OR(Olfa[[#This Row],[Status]]="Em Linha",Olfa[[#This Row],[Status]]="Componente",Olfa[[#This Row],[Status]]="Materia Prima"),Olfa[[#This Row],[estoque 10 meses]]-Olfa[[#This Row],[Estoque+Importação]],0)</f>
        <v>2562</v>
      </c>
      <c r="Q36" s="75">
        <f>Olfa[[#This Row],[Colunas1]]+Olfa[[#This Row],[Colunas2]]</f>
        <v>292.39999999999998</v>
      </c>
      <c r="R36" s="43">
        <f>VLOOKUP(Olfa[[#This Row],[Código]],Projeção[#All],14,FALSE)</f>
        <v>144.53333333333333</v>
      </c>
      <c r="S36" s="39">
        <f>IFERROR(VLOOKUP(Olfa[[#This Row],[Código]],Vendas!A32:B111,2,FALSE),0)</f>
        <v>0</v>
      </c>
      <c r="T36" s="44">
        <f>IFERROR(Olfa[[#This Row],[V. No mes]]/Olfa[[#This Row],[Proj. de V. No mes]],"")</f>
        <v>0</v>
      </c>
      <c r="U36" s="43">
        <f>VLOOKUP(Olfa[[#This Row],[Código]],Projeção[#All],14,FALSE)+VLOOKUP(Olfa[[#This Row],[Código]],Projeção[#All],13,FALSE)+VLOOKUP(Olfa[[#This Row],[Código]],Projeção[#All],12,FALSE)</f>
        <v>368.9666666666667</v>
      </c>
      <c r="V36" s="39">
        <f>IFERROR(VLOOKUP(Olfa[[#This Row],[Código]],Venda_3meses[],2,FALSE),0)</f>
        <v>368</v>
      </c>
      <c r="W36" s="44">
        <f>IFERROR(Olfa[[#This Row],[V. 3 meses]]/Olfa[[#This Row],[Proj. de V. 3 meses]],"")</f>
        <v>0.99738007046707011</v>
      </c>
      <c r="X3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679.43333333333339</v>
      </c>
      <c r="Y36" s="101">
        <f>IFERROR(VLOOKUP(Olfa[[#This Row],[Código]],Venda_6meses[],2,FALSE),0)</f>
        <v>766</v>
      </c>
      <c r="Z36" s="45">
        <f>IFERROR(Olfa[[#This Row],[V. 6 meses]]/Olfa[[#This Row],[Proj. de V. 6 meses]],"")</f>
        <v>1.1274100966491682</v>
      </c>
      <c r="AA3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1515.5333333333333</v>
      </c>
      <c r="AB36" s="39">
        <f>IFERROR(VLOOKUP(Olfa[[#This Row],[Código]],Venda_12meses[],2,FALSE),0)</f>
        <v>1462</v>
      </c>
      <c r="AC36" s="171">
        <f>Olfa[[#This Row],[V. 12 meses]]/6</f>
        <v>243.66666666666666</v>
      </c>
      <c r="AD36" s="171">
        <f>Olfa[[#This Row],[Colunas1]]*0.2</f>
        <v>48.733333333333334</v>
      </c>
      <c r="AE36" s="44">
        <f>IFERROR(Olfa[[#This Row],[V. 12 meses]]/Olfa[[#This Row],[Proj. de V. 12 meses]],"")</f>
        <v>0.96467690142084195</v>
      </c>
      <c r="AF36" s="22"/>
    </row>
    <row r="37" spans="1:32" hidden="1" x14ac:dyDescent="0.25">
      <c r="A37" s="22" t="s">
        <v>2129</v>
      </c>
      <c r="B37" s="22" t="str">
        <f>IF(OR(Olfa[[#This Row],[Status]]="Em linha",Olfa[[#This Row],[Status]]="Materia Prima",Olfa[[#This Row],[Status]]="Componente"),"ok",IF(Olfa[[#This Row],[Estoque+Importação]]&lt;1,"Tirar","ok"))</f>
        <v>ok</v>
      </c>
      <c r="C37" s="23">
        <v>33070660894</v>
      </c>
      <c r="D37" s="22" t="s">
        <v>673</v>
      </c>
      <c r="E37" s="22" t="str">
        <f>VLOOKUP(Olfa[[#This Row],[Código]],BD_Produto[],3,FALSE)</f>
        <v>Estilete Multiuso</v>
      </c>
      <c r="F37" s="22" t="str">
        <f>VLOOKUP(Olfa[[#This Row],[Código]],BD_Produto[],4,FALSE)</f>
        <v>Multiuso</v>
      </c>
      <c r="G37" s="24">
        <v>240</v>
      </c>
      <c r="H37" s="28">
        <v>137</v>
      </c>
      <c r="I37" s="22" t="s">
        <v>2849</v>
      </c>
      <c r="J37" s="24"/>
      <c r="K37" s="24"/>
      <c r="L37" s="177">
        <f>IFERROR(VLOOKUP(Olfa[[#This Row],[Código]],Saldo[],3,FALSE),0)</f>
        <v>321</v>
      </c>
      <c r="M37" s="24">
        <f>SUM(Olfa[[#This Row],[Produção]:[Estoque]])</f>
        <v>321</v>
      </c>
      <c r="N37" s="177">
        <f>IFERROR(Olfa[[#This Row],[Estoque+Importação]]/Olfa[[#This Row],[Proj. de V. No prox. mes]],"Sem Projeção")</f>
        <v>2.8108581436077058</v>
      </c>
      <c r="O37" s="177">
        <f>IF(OR(Olfa[[#This Row],[Status]]="Em Linha",Olfa[[#This Row],[Status]]="Componente",Olfa[[#This Row],[Status]]="Materia Prima"),Olfa[[#This Row],[Proj. de V. No prox. mes]]*10,"-")</f>
        <v>1142</v>
      </c>
      <c r="P37" s="34">
        <f>IF(OR(Olfa[[#This Row],[Status]]="Em Linha",Olfa[[#This Row],[Status]]="Componente",Olfa[[#This Row],[Status]]="Materia Prima"),Olfa[[#This Row],[estoque 10 meses]]-Olfa[[#This Row],[Estoque+Importação]],0)</f>
        <v>821</v>
      </c>
      <c r="Q37" s="75">
        <f>Olfa[[#This Row],[Colunas1]]+Olfa[[#This Row],[Colunas2]]</f>
        <v>114.2</v>
      </c>
      <c r="R37" s="43">
        <f>VLOOKUP(Olfa[[#This Row],[Código]],Projeção[#All],14,FALSE)</f>
        <v>70.566666666666677</v>
      </c>
      <c r="S37" s="39">
        <f>IFERROR(VLOOKUP(Olfa[[#This Row],[Código]],Vendas!A33:B112,2,FALSE),0)</f>
        <v>0</v>
      </c>
      <c r="T37" s="44">
        <f>IFERROR(Olfa[[#This Row],[V. No mes]]/Olfa[[#This Row],[Proj. de V. No mes]],"")</f>
        <v>0</v>
      </c>
      <c r="U37" s="43">
        <f>VLOOKUP(Olfa[[#This Row],[Código]],Projeção[#All],14,FALSE)+VLOOKUP(Olfa[[#This Row],[Código]],Projeção[#All],13,FALSE)+VLOOKUP(Olfa[[#This Row],[Código]],Projeção[#All],12,FALSE)</f>
        <v>137.03333333333333</v>
      </c>
      <c r="V37" s="39">
        <f>IFERROR(VLOOKUP(Olfa[[#This Row],[Código]],Venda_3meses[],2,FALSE),0)</f>
        <v>118</v>
      </c>
      <c r="W37" s="44">
        <f>IFERROR(Olfa[[#This Row],[V. 3 meses]]/Olfa[[#This Row],[Proj. de V. 3 meses]],"")</f>
        <v>0.86110435417173437</v>
      </c>
      <c r="X3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199.79999999999998</v>
      </c>
      <c r="Y37" s="101">
        <f>IFERROR(VLOOKUP(Olfa[[#This Row],[Código]],Venda_6meses[],2,FALSE),0)</f>
        <v>230</v>
      </c>
      <c r="Z37" s="45">
        <f>IFERROR(Olfa[[#This Row],[V. 6 meses]]/Olfa[[#This Row],[Proj. de V. 6 meses]],"")</f>
        <v>1.1511511511511512</v>
      </c>
      <c r="AA3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396.63333333333327</v>
      </c>
      <c r="AB37" s="39">
        <f>IFERROR(VLOOKUP(Olfa[[#This Row],[Código]],Venda_12meses[],2,FALSE),0)</f>
        <v>571</v>
      </c>
      <c r="AC37" s="171">
        <f>Olfa[[#This Row],[V. 12 meses]]/6</f>
        <v>95.166666666666671</v>
      </c>
      <c r="AD37" s="171">
        <f>Olfa[[#This Row],[Colunas1]]*0.2</f>
        <v>19.033333333333335</v>
      </c>
      <c r="AE37" s="44">
        <f>IFERROR(Olfa[[#This Row],[V. 12 meses]]/Olfa[[#This Row],[Proj. de V. 12 meses]],"")</f>
        <v>1.4396167745188673</v>
      </c>
      <c r="AF37" s="22"/>
    </row>
    <row r="38" spans="1:32" hidden="1" x14ac:dyDescent="0.25">
      <c r="A38" s="22" t="s">
        <v>2129</v>
      </c>
      <c r="B38" s="22" t="str">
        <f>IF(OR(Olfa[[#This Row],[Status]]="Em linha",Olfa[[#This Row],[Status]]="Materia Prima",Olfa[[#This Row],[Status]]="Componente"),"ok",IF(Olfa[[#This Row],[Estoque+Importação]]&lt;1,"Tirar","ok"))</f>
        <v>ok</v>
      </c>
      <c r="C38" s="23">
        <v>33070614741</v>
      </c>
      <c r="D38" s="22" t="s">
        <v>625</v>
      </c>
      <c r="E38" s="22" t="str">
        <f>VLOOKUP(Olfa[[#This Row],[Código]],BD_Produto[],3,FALSE)</f>
        <v>Estilete Rotativo</v>
      </c>
      <c r="F38" s="22" t="str">
        <f>VLOOKUP(Olfa[[#This Row],[Código]],BD_Produto[],4,FALSE)</f>
        <v>Rotativo</v>
      </c>
      <c r="G38" s="24">
        <v>120</v>
      </c>
      <c r="H38" s="28">
        <v>292</v>
      </c>
      <c r="I38" s="22" t="s">
        <v>2849</v>
      </c>
      <c r="J38" s="24"/>
      <c r="K38" s="24"/>
      <c r="L38" s="177">
        <f>IFERROR(VLOOKUP(Olfa[[#This Row],[Código]],Saldo[],3,FALSE),0)</f>
        <v>474</v>
      </c>
      <c r="M38" s="24">
        <f>SUM(Olfa[[#This Row],[Produção]:[Estoque]])</f>
        <v>474</v>
      </c>
      <c r="N38" s="177">
        <f>IFERROR(Olfa[[#This Row],[Estoque+Importação]]/Olfa[[#This Row],[Proj. de V. No prox. mes]],"Sem Projeção")</f>
        <v>8.5559566787003618</v>
      </c>
      <c r="O38" s="177">
        <f>IF(OR(Olfa[[#This Row],[Status]]="Em Linha",Olfa[[#This Row],[Status]]="Componente",Olfa[[#This Row],[Status]]="Materia Prima"),Olfa[[#This Row],[Proj. de V. No prox. mes]]*10,"-")</f>
        <v>554</v>
      </c>
      <c r="P38" s="34">
        <f>IF(OR(Olfa[[#This Row],[Status]]="Em Linha",Olfa[[#This Row],[Status]]="Componente",Olfa[[#This Row],[Status]]="Materia Prima"),Olfa[[#This Row],[estoque 10 meses]]-Olfa[[#This Row],[Estoque+Importação]],0)</f>
        <v>80</v>
      </c>
      <c r="Q38" s="75">
        <f>Olfa[[#This Row],[Colunas1]]+Olfa[[#This Row],[Colunas2]]</f>
        <v>55.4</v>
      </c>
      <c r="R38" s="43">
        <f>VLOOKUP(Olfa[[#This Row],[Código]],Projeção[#All],14,FALSE)</f>
        <v>47.5</v>
      </c>
      <c r="S38" s="39">
        <f>IFERROR(VLOOKUP(Olfa[[#This Row],[Código]],Vendas!A34:B113,2,FALSE),0)</f>
        <v>0</v>
      </c>
      <c r="T38" s="44">
        <f>IFERROR(Olfa[[#This Row],[V. No mes]]/Olfa[[#This Row],[Proj. de V. No mes]],"")</f>
        <v>0</v>
      </c>
      <c r="U38" s="43">
        <f>VLOOKUP(Olfa[[#This Row],[Código]],Projeção[#All],14,FALSE)+VLOOKUP(Olfa[[#This Row],[Código]],Projeção[#All],13,FALSE)+VLOOKUP(Olfa[[#This Row],[Código]],Projeção[#All],12,FALSE)</f>
        <v>125.8</v>
      </c>
      <c r="V38" s="39">
        <f>IFERROR(VLOOKUP(Olfa[[#This Row],[Código]],Venda_3meses[],2,FALSE),0)</f>
        <v>55</v>
      </c>
      <c r="W38" s="44">
        <f>IFERROR(Olfa[[#This Row],[V. 3 meses]]/Olfa[[#This Row],[Proj. de V. 3 meses]],"")</f>
        <v>0.43720190779014312</v>
      </c>
      <c r="X3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212.8</v>
      </c>
      <c r="Y38" s="101">
        <f>IFERROR(VLOOKUP(Olfa[[#This Row],[Código]],Venda_6meses[],2,FALSE),0)</f>
        <v>82</v>
      </c>
      <c r="Z38" s="45">
        <f>IFERROR(Olfa[[#This Row],[V. 6 meses]]/Olfa[[#This Row],[Proj. de V. 6 meses]],"")</f>
        <v>0.38533834586466165</v>
      </c>
      <c r="AA3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416.76666666666665</v>
      </c>
      <c r="AB38" s="39">
        <f>IFERROR(VLOOKUP(Olfa[[#This Row],[Código]],Venda_12meses[],2,FALSE),0)</f>
        <v>277</v>
      </c>
      <c r="AC38" s="171">
        <f>Olfa[[#This Row],[V. 12 meses]]/6</f>
        <v>46.166666666666664</v>
      </c>
      <c r="AD38" s="171">
        <f>Olfa[[#This Row],[Colunas1]]*0.2</f>
        <v>9.2333333333333325</v>
      </c>
      <c r="AE38" s="44">
        <f>IFERROR(Olfa[[#This Row],[V. 12 meses]]/Olfa[[#This Row],[Proj. de V. 12 meses]],"")</f>
        <v>0.66464048628329209</v>
      </c>
      <c r="AF38" s="22"/>
    </row>
    <row r="39" spans="1:32" hidden="1" x14ac:dyDescent="0.25">
      <c r="A39" s="22" t="s">
        <v>2129</v>
      </c>
      <c r="B39" s="22" t="str">
        <f>IF(OR(Olfa[[#This Row],[Status]]="Em linha",Olfa[[#This Row],[Status]]="Materia Prima",Olfa[[#This Row],[Status]]="Componente"),"ok",IF(Olfa[[#This Row],[Estoque+Importação]]&lt;1,"Tirar","ok"))</f>
        <v>ok</v>
      </c>
      <c r="C39" s="23">
        <v>33070614909</v>
      </c>
      <c r="D39" s="22" t="s">
        <v>655</v>
      </c>
      <c r="E39" s="22" t="str">
        <f>VLOOKUP(Olfa[[#This Row],[Código]],BD_Produto[],3,FALSE)</f>
        <v>Estojo de Lâminas</v>
      </c>
      <c r="F39" s="22" t="str">
        <f>VLOOKUP(Olfa[[#This Row],[Código]],BD_Produto[],4,FALSE)</f>
        <v>Rotativo</v>
      </c>
      <c r="G39" s="24">
        <v>60</v>
      </c>
      <c r="H39" s="28">
        <v>1089</v>
      </c>
      <c r="I39" s="22" t="s">
        <v>2849</v>
      </c>
      <c r="J39" s="24"/>
      <c r="K39" s="24"/>
      <c r="L39" s="177">
        <f>IFERROR(VLOOKUP(Olfa[[#This Row],[Código]],Saldo[],3,FALSE),0)</f>
        <v>144</v>
      </c>
      <c r="M39" s="24">
        <f>SUM(Olfa[[#This Row],[Produção]:[Estoque]])</f>
        <v>144</v>
      </c>
      <c r="N39" s="177">
        <f>IFERROR(Olfa[[#This Row],[Estoque+Importação]]/Olfa[[#This Row],[Proj. de V. No prox. mes]],"Sem Projeção")</f>
        <v>3.5121951219512195</v>
      </c>
      <c r="O39" s="177">
        <f>IF(OR(Olfa[[#This Row],[Status]]="Em Linha",Olfa[[#This Row],[Status]]="Componente",Olfa[[#This Row],[Status]]="Materia Prima"),Olfa[[#This Row],[Proj. de V. No prox. mes]]*10,"-")</f>
        <v>410</v>
      </c>
      <c r="P39" s="34">
        <f>IF(OR(Olfa[[#This Row],[Status]]="Em Linha",Olfa[[#This Row],[Status]]="Componente",Olfa[[#This Row],[Status]]="Materia Prima"),Olfa[[#This Row],[estoque 10 meses]]-Olfa[[#This Row],[Estoque+Importação]],0)</f>
        <v>266</v>
      </c>
      <c r="Q39" s="75">
        <f>Olfa[[#This Row],[Colunas1]]+Olfa[[#This Row],[Colunas2]]</f>
        <v>41</v>
      </c>
      <c r="R39" s="43">
        <f>VLOOKUP(Olfa[[#This Row],[Código]],Projeção[#All],14,FALSE)</f>
        <v>25.299999999999997</v>
      </c>
      <c r="S39" s="39">
        <f>IFERROR(VLOOKUP(Olfa[[#This Row],[Código]],Vendas!A35:B114,2,FALSE),0)</f>
        <v>0</v>
      </c>
      <c r="T39" s="44">
        <f>IFERROR(Olfa[[#This Row],[V. No mes]]/Olfa[[#This Row],[Proj. de V. No mes]],"")</f>
        <v>0</v>
      </c>
      <c r="U39" s="43">
        <f>VLOOKUP(Olfa[[#This Row],[Código]],Projeção[#All],14,FALSE)+VLOOKUP(Olfa[[#This Row],[Código]],Projeção[#All],13,FALSE)+VLOOKUP(Olfa[[#This Row],[Código]],Projeção[#All],12,FALSE)</f>
        <v>67.633333333333326</v>
      </c>
      <c r="V39" s="39">
        <f>IFERROR(VLOOKUP(Olfa[[#This Row],[Código]],Venda_3meses[],2,FALSE),0)</f>
        <v>59</v>
      </c>
      <c r="W39" s="44">
        <f>IFERROR(Olfa[[#This Row],[V. 3 meses]]/Olfa[[#This Row],[Proj. de V. 3 meses]],"")</f>
        <v>0.87235091177920165</v>
      </c>
      <c r="X3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105.16666666666666</v>
      </c>
      <c r="Y39" s="101">
        <f>IFERROR(VLOOKUP(Olfa[[#This Row],[Código]],Venda_6meses[],2,FALSE),0)</f>
        <v>104</v>
      </c>
      <c r="Z39" s="45">
        <f>IFERROR(Olfa[[#This Row],[V. 6 meses]]/Olfa[[#This Row],[Proj. de V. 6 meses]],"")</f>
        <v>0.98890649762282101</v>
      </c>
      <c r="AA3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211.16666666666663</v>
      </c>
      <c r="AB39" s="39">
        <f>IFERROR(VLOOKUP(Olfa[[#This Row],[Código]],Venda_12meses[],2,FALSE),0)</f>
        <v>205</v>
      </c>
      <c r="AC39" s="171">
        <f>Olfa[[#This Row],[V. 12 meses]]/6</f>
        <v>34.166666666666664</v>
      </c>
      <c r="AD39" s="171">
        <f>Olfa[[#This Row],[Colunas1]]*0.2</f>
        <v>6.833333333333333</v>
      </c>
      <c r="AE39" s="44">
        <f>IFERROR(Olfa[[#This Row],[V. 12 meses]]/Olfa[[#This Row],[Proj. de V. 12 meses]],"")</f>
        <v>0.97079715864246263</v>
      </c>
      <c r="AF39" s="22"/>
    </row>
    <row r="40" spans="1:32" hidden="1" x14ac:dyDescent="0.25">
      <c r="A40" s="22" t="s">
        <v>2129</v>
      </c>
      <c r="B40" s="22" t="str">
        <f>IF(OR(Olfa[[#This Row],[Status]]="Em linha",Olfa[[#This Row],[Status]]="Materia Prima",Olfa[[#This Row],[Status]]="Componente"),"ok",IF(Olfa[[#This Row],[Estoque+Importação]]&lt;1,"Tirar","ok"))</f>
        <v>ok</v>
      </c>
      <c r="C40" s="23">
        <v>33070614742</v>
      </c>
      <c r="D40" s="22" t="s">
        <v>626</v>
      </c>
      <c r="E40" s="22" t="str">
        <f>VLOOKUP(Olfa[[#This Row],[Código]],BD_Produto[],3,FALSE)</f>
        <v>Estilete Rotativo</v>
      </c>
      <c r="F40" s="22" t="str">
        <f>VLOOKUP(Olfa[[#This Row],[Código]],BD_Produto[],4,FALSE)</f>
        <v>Rotativo</v>
      </c>
      <c r="G40" s="24">
        <v>120</v>
      </c>
      <c r="H40" s="28">
        <v>410</v>
      </c>
      <c r="I40" s="22" t="s">
        <v>2849</v>
      </c>
      <c r="J40" s="24"/>
      <c r="K40" s="24"/>
      <c r="L40" s="177">
        <f>IFERROR(VLOOKUP(Olfa[[#This Row],[Código]],Saldo[],3,FALSE),0)</f>
        <v>677</v>
      </c>
      <c r="M40" s="24">
        <f>SUM(Olfa[[#This Row],[Produção]:[Estoque]])</f>
        <v>677</v>
      </c>
      <c r="N40" s="177">
        <f>IFERROR(Olfa[[#This Row],[Estoque+Importação]]/Olfa[[#This Row],[Proj. de V. No prox. mes]],"Sem Projeção")</f>
        <v>4.4480946123521683</v>
      </c>
      <c r="O40" s="177">
        <f>IF(OR(Olfa[[#This Row],[Status]]="Em Linha",Olfa[[#This Row],[Status]]="Componente",Olfa[[#This Row],[Status]]="Materia Prima"),Olfa[[#This Row],[Proj. de V. No prox. mes]]*10,"-")</f>
        <v>1522</v>
      </c>
      <c r="P40" s="34">
        <f>IF(OR(Olfa[[#This Row],[Status]]="Em Linha",Olfa[[#This Row],[Status]]="Componente",Olfa[[#This Row],[Status]]="Materia Prima"),Olfa[[#This Row],[estoque 10 meses]]-Olfa[[#This Row],[Estoque+Importação]],0)</f>
        <v>845</v>
      </c>
      <c r="Q40" s="75">
        <f>Olfa[[#This Row],[Colunas1]]+Olfa[[#This Row],[Colunas2]]</f>
        <v>152.19999999999999</v>
      </c>
      <c r="R40" s="43">
        <f>VLOOKUP(Olfa[[#This Row],[Código]],Projeção[#All],14,FALSE)</f>
        <v>100.2</v>
      </c>
      <c r="S40" s="39">
        <f>IFERROR(VLOOKUP(Olfa[[#This Row],[Código]],Vendas!A36:B115,2,FALSE),0)</f>
        <v>0</v>
      </c>
      <c r="T40" s="44">
        <f>IFERROR(Olfa[[#This Row],[V. No mes]]/Olfa[[#This Row],[Proj. de V. No mes]],"")</f>
        <v>0</v>
      </c>
      <c r="U40" s="43">
        <f>VLOOKUP(Olfa[[#This Row],[Código]],Projeção[#All],14,FALSE)+VLOOKUP(Olfa[[#This Row],[Código]],Projeção[#All],13,FALSE)+VLOOKUP(Olfa[[#This Row],[Código]],Projeção[#All],12,FALSE)</f>
        <v>275.2</v>
      </c>
      <c r="V40" s="39">
        <f>IFERROR(VLOOKUP(Olfa[[#This Row],[Código]],Venda_3meses[],2,FALSE),0)</f>
        <v>168</v>
      </c>
      <c r="W40" s="44">
        <f>IFERROR(Olfa[[#This Row],[V. 3 meses]]/Olfa[[#This Row],[Proj. de V. 3 meses]],"")</f>
        <v>0.61046511627906974</v>
      </c>
      <c r="X4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464</v>
      </c>
      <c r="Y40" s="101">
        <f>IFERROR(VLOOKUP(Olfa[[#This Row],[Código]],Venda_6meses[],2,FALSE),0)</f>
        <v>275</v>
      </c>
      <c r="Z40" s="45">
        <f>IFERROR(Olfa[[#This Row],[V. 6 meses]]/Olfa[[#This Row],[Proj. de V. 6 meses]],"")</f>
        <v>0.59267241379310343</v>
      </c>
      <c r="AA4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944.53333333333342</v>
      </c>
      <c r="AB40" s="39">
        <f>IFERROR(VLOOKUP(Olfa[[#This Row],[Código]],Venda_12meses[],2,FALSE),0)</f>
        <v>761</v>
      </c>
      <c r="AC40" s="171">
        <f>Olfa[[#This Row],[V. 12 meses]]/6</f>
        <v>126.83333333333333</v>
      </c>
      <c r="AD40" s="171">
        <f>Olfa[[#This Row],[Colunas1]]*0.2</f>
        <v>25.366666666666667</v>
      </c>
      <c r="AE40" s="44">
        <f>IFERROR(Olfa[[#This Row],[V. 12 meses]]/Olfa[[#This Row],[Proj. de V. 12 meses]],"")</f>
        <v>0.80568887634105013</v>
      </c>
      <c r="AF40" s="22"/>
    </row>
    <row r="41" spans="1:32" hidden="1" x14ac:dyDescent="0.25">
      <c r="A41" s="22" t="s">
        <v>2129</v>
      </c>
      <c r="B41" s="22" t="str">
        <f>IF(OR(Olfa[[#This Row],[Status]]="Em linha",Olfa[[#This Row],[Status]]="Materia Prima",Olfa[[#This Row],[Status]]="Componente"),"ok",IF(Olfa[[#This Row],[Estoque+Importação]]&lt;1,"Tirar","ok"))</f>
        <v>ok</v>
      </c>
      <c r="C41" s="23">
        <v>33070614719</v>
      </c>
      <c r="D41" s="22" t="s">
        <v>609</v>
      </c>
      <c r="E41" s="22" t="str">
        <f>VLOOKUP(Olfa[[#This Row],[Código]],BD_Produto[],3,FALSE)</f>
        <v>Estilete Multiuso</v>
      </c>
      <c r="F41" s="22" t="str">
        <f>VLOOKUP(Olfa[[#This Row],[Código]],BD_Produto[],4,FALSE)</f>
        <v>Multiuso</v>
      </c>
      <c r="G41" s="24">
        <v>240</v>
      </c>
      <c r="H41" s="28">
        <v>137</v>
      </c>
      <c r="I41" s="22" t="s">
        <v>2849</v>
      </c>
      <c r="J41" s="24"/>
      <c r="K41" s="24"/>
      <c r="L41" s="177">
        <f>IFERROR(VLOOKUP(Olfa[[#This Row],[Código]],Saldo[],3,FALSE),0)</f>
        <v>887</v>
      </c>
      <c r="M41" s="24">
        <f>SUM(Olfa[[#This Row],[Produção]:[Estoque]])</f>
        <v>887</v>
      </c>
      <c r="N41" s="177">
        <f>IFERROR(Olfa[[#This Row],[Estoque+Importação]]/Olfa[[#This Row],[Proj. de V. No prox. mes]],"Sem Projeção")</f>
        <v>6.3721264367816097</v>
      </c>
      <c r="O41" s="177">
        <f>IF(OR(Olfa[[#This Row],[Status]]="Em Linha",Olfa[[#This Row],[Status]]="Componente",Olfa[[#This Row],[Status]]="Materia Prima"),Olfa[[#This Row],[Proj. de V. No prox. mes]]*10,"-")</f>
        <v>1392</v>
      </c>
      <c r="P41" s="34">
        <f>IF(OR(Olfa[[#This Row],[Status]]="Em Linha",Olfa[[#This Row],[Status]]="Componente",Olfa[[#This Row],[Status]]="Materia Prima"),Olfa[[#This Row],[estoque 10 meses]]-Olfa[[#This Row],[Estoque+Importação]],0)</f>
        <v>505</v>
      </c>
      <c r="Q41" s="75">
        <f>Olfa[[#This Row],[Colunas1]]+Olfa[[#This Row],[Colunas2]]</f>
        <v>139.19999999999999</v>
      </c>
      <c r="R41" s="43">
        <f>VLOOKUP(Olfa[[#This Row],[Código]],Projeção[#All],14,FALSE)</f>
        <v>90.899999999999991</v>
      </c>
      <c r="S41" s="39">
        <f>IFERROR(VLOOKUP(Olfa[[#This Row],[Código]],Vendas!A37:B116,2,FALSE),0)</f>
        <v>84</v>
      </c>
      <c r="T41" s="44">
        <f>IFERROR(Olfa[[#This Row],[V. No mes]]/Olfa[[#This Row],[Proj. de V. No mes]],"")</f>
        <v>0.92409240924092417</v>
      </c>
      <c r="U41" s="43">
        <f>VLOOKUP(Olfa[[#This Row],[Código]],Projeção[#All],14,FALSE)+VLOOKUP(Olfa[[#This Row],[Código]],Projeção[#All],13,FALSE)+VLOOKUP(Olfa[[#This Row],[Código]],Projeção[#All],12,FALSE)</f>
        <v>215.83333333333331</v>
      </c>
      <c r="V41" s="39">
        <f>IFERROR(VLOOKUP(Olfa[[#This Row],[Código]],Venda_3meses[],2,FALSE),0)</f>
        <v>216</v>
      </c>
      <c r="W41" s="44">
        <f>IFERROR(Olfa[[#This Row],[V. 3 meses]]/Olfa[[#This Row],[Proj. de V. 3 meses]],"")</f>
        <v>1.0007722007722009</v>
      </c>
      <c r="X4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430.13333333333327</v>
      </c>
      <c r="Y41" s="101">
        <f>IFERROR(VLOOKUP(Olfa[[#This Row],[Código]],Venda_6meses[],2,FALSE),0)</f>
        <v>334</v>
      </c>
      <c r="Z41" s="45">
        <f>IFERROR(Olfa[[#This Row],[V. 6 meses]]/Olfa[[#This Row],[Proj. de V. 6 meses]],"")</f>
        <v>0.77650340979541244</v>
      </c>
      <c r="AA4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1029.1333333333332</v>
      </c>
      <c r="AB41" s="39">
        <f>IFERROR(VLOOKUP(Olfa[[#This Row],[Código]],Venda_12meses[],2,FALSE),0)</f>
        <v>696</v>
      </c>
      <c r="AC41" s="171">
        <f>Olfa[[#This Row],[V. 12 meses]]/6</f>
        <v>116</v>
      </c>
      <c r="AD41" s="171">
        <f>Olfa[[#This Row],[Colunas1]]*0.2</f>
        <v>23.200000000000003</v>
      </c>
      <c r="AE41" s="44">
        <f>IFERROR(Olfa[[#This Row],[V. 12 meses]]/Olfa[[#This Row],[Proj. de V. 12 meses]],"")</f>
        <v>0.67629720800673709</v>
      </c>
      <c r="AF41" s="22"/>
    </row>
    <row r="42" spans="1:32" hidden="1" x14ac:dyDescent="0.25">
      <c r="A42" s="22" t="s">
        <v>2129</v>
      </c>
      <c r="B42" s="22" t="str">
        <f>IF(OR(Olfa[[#This Row],[Status]]="Em linha",Olfa[[#This Row],[Status]]="Materia Prima",Olfa[[#This Row],[Status]]="Componente"),"ok",IF(Olfa[[#This Row],[Estoque+Importação]]&lt;1,"Tirar","ok"))</f>
        <v>ok</v>
      </c>
      <c r="C42" s="23">
        <v>33070614717</v>
      </c>
      <c r="D42" s="22" t="s">
        <v>607</v>
      </c>
      <c r="E42" s="22" t="str">
        <f>VLOOKUP(Olfa[[#This Row],[Código]],BD_Produto[],3,FALSE)</f>
        <v>Estilete Multiuso</v>
      </c>
      <c r="F42" s="22" t="str">
        <f>VLOOKUP(Olfa[[#This Row],[Código]],BD_Produto[],4,FALSE)</f>
        <v>Multiuso</v>
      </c>
      <c r="G42" s="24">
        <v>480</v>
      </c>
      <c r="H42" s="28">
        <v>64</v>
      </c>
      <c r="I42" s="22" t="s">
        <v>2849</v>
      </c>
      <c r="J42" s="24"/>
      <c r="K42" s="24"/>
      <c r="L42" s="177">
        <f>IFERROR(VLOOKUP(Olfa[[#This Row],[Código]],Saldo[],3,FALSE),0)</f>
        <v>890</v>
      </c>
      <c r="M42" s="24">
        <f>SUM(Olfa[[#This Row],[Produção]:[Estoque]])</f>
        <v>890</v>
      </c>
      <c r="N42" s="177">
        <f>IFERROR(Olfa[[#This Row],[Estoque+Importação]]/Olfa[[#This Row],[Proj. de V. No prox. mes]],"Sem Projeção")</f>
        <v>4.9444444444444446</v>
      </c>
      <c r="O42" s="177">
        <f>IF(OR(Olfa[[#This Row],[Status]]="Em Linha",Olfa[[#This Row],[Status]]="Componente",Olfa[[#This Row],[Status]]="Materia Prima"),Olfa[[#This Row],[Proj. de V. No prox. mes]]*10,"-")</f>
        <v>1800</v>
      </c>
      <c r="P42" s="34">
        <f>IF(OR(Olfa[[#This Row],[Status]]="Em Linha",Olfa[[#This Row],[Status]]="Componente",Olfa[[#This Row],[Status]]="Materia Prima"),Olfa[[#This Row],[estoque 10 meses]]-Olfa[[#This Row],[Estoque+Importação]],0)</f>
        <v>910</v>
      </c>
      <c r="Q42" s="75">
        <f>Olfa[[#This Row],[Colunas1]]+Olfa[[#This Row],[Colunas2]]</f>
        <v>180</v>
      </c>
      <c r="R42" s="43">
        <f>VLOOKUP(Olfa[[#This Row],[Código]],Projeção[#All],14,FALSE)</f>
        <v>122.06666666666666</v>
      </c>
      <c r="S42" s="39">
        <f>IFERROR(VLOOKUP(Olfa[[#This Row],[Código]],Vendas!A38:B117,2,FALSE),0)</f>
        <v>149</v>
      </c>
      <c r="T42" s="44">
        <f>IFERROR(Olfa[[#This Row],[V. No mes]]/Olfa[[#This Row],[Proj. de V. No mes]],"")</f>
        <v>1.2206444565811032</v>
      </c>
      <c r="U42" s="43">
        <f>VLOOKUP(Olfa[[#This Row],[Código]],Projeção[#All],14,FALSE)+VLOOKUP(Olfa[[#This Row],[Código]],Projeção[#All],13,FALSE)+VLOOKUP(Olfa[[#This Row],[Código]],Projeção[#All],12,FALSE)</f>
        <v>253.20000000000002</v>
      </c>
      <c r="V42" s="39">
        <f>IFERROR(VLOOKUP(Olfa[[#This Row],[Código]],Venda_3meses[],2,FALSE),0)</f>
        <v>260</v>
      </c>
      <c r="W42" s="44">
        <f>IFERROR(Olfa[[#This Row],[V. 3 meses]]/Olfa[[#This Row],[Proj. de V. 3 meses]],"")</f>
        <v>1.0268562401263823</v>
      </c>
      <c r="X4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488.6</v>
      </c>
      <c r="Y42" s="101">
        <f>IFERROR(VLOOKUP(Olfa[[#This Row],[Código]],Venda_6meses[],2,FALSE),0)</f>
        <v>400</v>
      </c>
      <c r="Z42" s="45">
        <f>IFERROR(Olfa[[#This Row],[V. 6 meses]]/Olfa[[#This Row],[Proj. de V. 6 meses]],"")</f>
        <v>0.81866557511256643</v>
      </c>
      <c r="AA4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1106.2666666666667</v>
      </c>
      <c r="AB42" s="39">
        <f>IFERROR(VLOOKUP(Olfa[[#This Row],[Código]],Venda_12meses[],2,FALSE),0)</f>
        <v>900</v>
      </c>
      <c r="AC42" s="171">
        <f>Olfa[[#This Row],[V. 12 meses]]/6</f>
        <v>150</v>
      </c>
      <c r="AD42" s="171">
        <f>Olfa[[#This Row],[Colunas1]]*0.2</f>
        <v>30</v>
      </c>
      <c r="AE42" s="44">
        <f>IFERROR(Olfa[[#This Row],[V. 12 meses]]/Olfa[[#This Row],[Proj. de V. 12 meses]],"")</f>
        <v>0.81354706520429076</v>
      </c>
      <c r="AF42" s="22"/>
    </row>
    <row r="43" spans="1:32" hidden="1" x14ac:dyDescent="0.25">
      <c r="A43" s="22" t="s">
        <v>2129</v>
      </c>
      <c r="B43" s="22" t="str">
        <f>IF(OR(Olfa[[#This Row],[Status]]="Em linha",Olfa[[#This Row],[Status]]="Materia Prima",Olfa[[#This Row],[Status]]="Componente"),"ok",IF(Olfa[[#This Row],[Estoque+Importação]]&lt;1,"Tirar","ok"))</f>
        <v>ok</v>
      </c>
      <c r="C43" s="23">
        <v>33070663175</v>
      </c>
      <c r="D43" s="22" t="s">
        <v>682</v>
      </c>
      <c r="E43" s="22" t="str">
        <f>VLOOKUP(Olfa[[#This Row],[Código]],BD_Produto[],3,FALSE)</f>
        <v>Estilete Especial</v>
      </c>
      <c r="F43" s="22" t="str">
        <f>VLOOKUP(Olfa[[#This Row],[Código]],BD_Produto[],4,FALSE)</f>
        <v>Especial</v>
      </c>
      <c r="G43" s="24">
        <v>120</v>
      </c>
      <c r="H43" s="28">
        <v>204</v>
      </c>
      <c r="I43" s="22" t="s">
        <v>2849</v>
      </c>
      <c r="J43" s="24"/>
      <c r="K43" s="24"/>
      <c r="L43" s="177">
        <f>IFERROR(VLOOKUP(Olfa[[#This Row],[Código]],Saldo[],3,FALSE),0)</f>
        <v>327</v>
      </c>
      <c r="M43" s="24">
        <f>SUM(Olfa[[#This Row],[Produção]:[Estoque]])</f>
        <v>327</v>
      </c>
      <c r="N43" s="177">
        <f>IFERROR(Olfa[[#This Row],[Estoque+Importação]]/Olfa[[#This Row],[Proj. de V. No prox. mes]],"Sem Projeção")</f>
        <v>12.293233082706767</v>
      </c>
      <c r="O43" s="177">
        <f>IF(OR(Olfa[[#This Row],[Status]]="Em Linha",Olfa[[#This Row],[Status]]="Componente",Olfa[[#This Row],[Status]]="Materia Prima"),Olfa[[#This Row],[Proj. de V. No prox. mes]]*10,"-")</f>
        <v>266</v>
      </c>
      <c r="P43" s="34">
        <f>IF(OR(Olfa[[#This Row],[Status]]="Em Linha",Olfa[[#This Row],[Status]]="Componente",Olfa[[#This Row],[Status]]="Materia Prima"),Olfa[[#This Row],[estoque 10 meses]]-Olfa[[#This Row],[Estoque+Importação]],0)</f>
        <v>-61</v>
      </c>
      <c r="Q43" s="75">
        <f>Olfa[[#This Row],[Colunas1]]+Olfa[[#This Row],[Colunas2]]</f>
        <v>26.6</v>
      </c>
      <c r="R43" s="43">
        <f>VLOOKUP(Olfa[[#This Row],[Código]],Projeção[#All],14,FALSE)</f>
        <v>18.333333333333332</v>
      </c>
      <c r="S43" s="39">
        <f>IFERROR(VLOOKUP(Olfa[[#This Row],[Código]],Vendas!A39:B118,2,FALSE),0)</f>
        <v>0</v>
      </c>
      <c r="T43" s="44">
        <f>IFERROR(Olfa[[#This Row],[V. No mes]]/Olfa[[#This Row],[Proj. de V. No mes]],"")</f>
        <v>0</v>
      </c>
      <c r="U43" s="43">
        <f>VLOOKUP(Olfa[[#This Row],[Código]],Projeção[#All],14,FALSE)+VLOOKUP(Olfa[[#This Row],[Código]],Projeção[#All],13,FALSE)+VLOOKUP(Olfa[[#This Row],[Código]],Projeção[#All],12,FALSE)</f>
        <v>44.333333333333329</v>
      </c>
      <c r="V43" s="39">
        <f>IFERROR(VLOOKUP(Olfa[[#This Row],[Código]],Venda_3meses[],2,FALSE),0)</f>
        <v>51</v>
      </c>
      <c r="W43" s="44">
        <f>IFERROR(Olfa[[#This Row],[V. 3 meses]]/Olfa[[#This Row],[Proj. de V. 3 meses]],"")</f>
        <v>1.1503759398496243</v>
      </c>
      <c r="X4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88.133333333333326</v>
      </c>
      <c r="Y43" s="101">
        <f>IFERROR(VLOOKUP(Olfa[[#This Row],[Código]],Venda_6meses[],2,FALSE),0)</f>
        <v>69</v>
      </c>
      <c r="Z43" s="45">
        <f>IFERROR(Olfa[[#This Row],[V. 6 meses]]/Olfa[[#This Row],[Proj. de V. 6 meses]],"")</f>
        <v>0.78290468986384276</v>
      </c>
      <c r="AA4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173.43333333333331</v>
      </c>
      <c r="AB43" s="39">
        <f>IFERROR(VLOOKUP(Olfa[[#This Row],[Código]],Venda_12meses[],2,FALSE),0)</f>
        <v>133</v>
      </c>
      <c r="AC43" s="171">
        <f>Olfa[[#This Row],[V. 12 meses]]/6</f>
        <v>22.166666666666668</v>
      </c>
      <c r="AD43" s="171">
        <f>Olfa[[#This Row],[Colunas1]]*0.2</f>
        <v>4.4333333333333336</v>
      </c>
      <c r="AE43" s="44">
        <f>IFERROR(Olfa[[#This Row],[V. 12 meses]]/Olfa[[#This Row],[Proj. de V. 12 meses]],"")</f>
        <v>0.7668652700365175</v>
      </c>
      <c r="AF43" s="22" t="s">
        <v>1666</v>
      </c>
    </row>
    <row r="44" spans="1:32" x14ac:dyDescent="0.25">
      <c r="A44" s="22" t="s">
        <v>2129</v>
      </c>
      <c r="B44" s="22" t="str">
        <f>IF(OR(Olfa[[#This Row],[Status]]="Em linha",Olfa[[#This Row],[Status]]="Materia Prima",Olfa[[#This Row],[Status]]="Componente"),"ok",IF(Olfa[[#This Row],[Estoque+Importação]]&lt;1,"Tirar","ok"))</f>
        <v>ok</v>
      </c>
      <c r="C44" s="23">
        <v>33070614812</v>
      </c>
      <c r="D44" s="22" t="s">
        <v>643</v>
      </c>
      <c r="E44" s="22" t="str">
        <f>VLOOKUP(Olfa[[#This Row],[Código]],BD_Produto[],3,FALSE)</f>
        <v>Base de Corte</v>
      </c>
      <c r="F44" s="22" t="str">
        <f>VLOOKUP(Olfa[[#This Row],[Código]],BD_Produto[],4,FALSE)</f>
        <v>Multiuso</v>
      </c>
      <c r="G44" s="24">
        <v>10</v>
      </c>
      <c r="H44" s="28">
        <v>1684</v>
      </c>
      <c r="I44" s="22" t="s">
        <v>2849</v>
      </c>
      <c r="J44" s="24"/>
      <c r="K44" s="24"/>
      <c r="L44" s="177">
        <f>IFERROR(VLOOKUP(Olfa[[#This Row],[Código]],Saldo[],3,FALSE),0)</f>
        <v>85</v>
      </c>
      <c r="M44" s="24">
        <f>SUM(Olfa[[#This Row],[Produção]:[Estoque]])</f>
        <v>85</v>
      </c>
      <c r="N44" s="177">
        <f>IFERROR(Olfa[[#This Row],[Estoque+Importação]]/Olfa[[#This Row],[Proj. de V. No prox. mes]],"Sem Projeção")</f>
        <v>22.368421052631579</v>
      </c>
      <c r="O44" s="177">
        <f>IF(OR(Olfa[[#This Row],[Status]]="Em Linha",Olfa[[#This Row],[Status]]="Componente",Olfa[[#This Row],[Status]]="Materia Prima"),Olfa[[#This Row],[Proj. de V. No prox. mes]]*10,"-")</f>
        <v>38</v>
      </c>
      <c r="P44" s="34">
        <f>IF(OR(Olfa[[#This Row],[Status]]="Em Linha",Olfa[[#This Row],[Status]]="Componente",Olfa[[#This Row],[Status]]="Materia Prima"),Olfa[[#This Row],[estoque 10 meses]]-Olfa[[#This Row],[Estoque+Importação]],0)</f>
        <v>-47</v>
      </c>
      <c r="Q44" s="75">
        <f>Olfa[[#This Row],[Colunas1]]+Olfa[[#This Row],[Colunas2]]</f>
        <v>3.8</v>
      </c>
      <c r="R44" s="43">
        <f>VLOOKUP(Olfa[[#This Row],[Código]],Projeção[#All],14,FALSE)</f>
        <v>4.5</v>
      </c>
      <c r="S44" s="39">
        <f>IFERROR(VLOOKUP(Olfa[[#This Row],[Código]],Vendas!A40:B119,2,FALSE),0)</f>
        <v>0</v>
      </c>
      <c r="T44" s="44">
        <f>IFERROR(Olfa[[#This Row],[V. No mes]]/Olfa[[#This Row],[Proj. de V. No mes]],"")</f>
        <v>0</v>
      </c>
      <c r="U44" s="43">
        <f>VLOOKUP(Olfa[[#This Row],[Código]],Projeção[#All],14,FALSE)+VLOOKUP(Olfa[[#This Row],[Código]],Projeção[#All],13,FALSE)+VLOOKUP(Olfa[[#This Row],[Código]],Projeção[#All],12,FALSE)</f>
        <v>11.6</v>
      </c>
      <c r="V44" s="39">
        <f>IFERROR(VLOOKUP(Olfa[[#This Row],[Código]],Venda_3meses[],2,FALSE),0)</f>
        <v>7</v>
      </c>
      <c r="W44" s="44">
        <f>IFERROR(Olfa[[#This Row],[V. 3 meses]]/Olfa[[#This Row],[Proj. de V. 3 meses]],"")</f>
        <v>0.60344827586206895</v>
      </c>
      <c r="X4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24.6</v>
      </c>
      <c r="Y44" s="101">
        <f>IFERROR(VLOOKUP(Olfa[[#This Row],[Código]],Venda_6meses[],2,FALSE),0)</f>
        <v>7</v>
      </c>
      <c r="Z44" s="45">
        <f>IFERROR(Olfa[[#This Row],[V. 6 meses]]/Olfa[[#This Row],[Proj. de V. 6 meses]],"")</f>
        <v>0.28455284552845528</v>
      </c>
      <c r="AA4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48.033333333333339</v>
      </c>
      <c r="AB44" s="39">
        <f>IFERROR(VLOOKUP(Olfa[[#This Row],[Código]],Venda_12meses[],2,FALSE),0)</f>
        <v>19</v>
      </c>
      <c r="AC44" s="171">
        <f>Olfa[[#This Row],[V. 12 meses]]/6</f>
        <v>3.1666666666666665</v>
      </c>
      <c r="AD44" s="171">
        <f>Olfa[[#This Row],[Colunas1]]*0.2</f>
        <v>0.6333333333333333</v>
      </c>
      <c r="AE44" s="44">
        <f>IFERROR(Olfa[[#This Row],[V. 12 meses]]/Olfa[[#This Row],[Proj. de V. 12 meses]],"")</f>
        <v>0.39555863983344897</v>
      </c>
      <c r="AF44" s="22"/>
    </row>
    <row r="45" spans="1:32" hidden="1" x14ac:dyDescent="0.25">
      <c r="A45" s="22" t="s">
        <v>2129</v>
      </c>
      <c r="B45" s="22" t="str">
        <f>IF(OR(Olfa[[#This Row],[Status]]="Em linha",Olfa[[#This Row],[Status]]="Materia Prima",Olfa[[#This Row],[Status]]="Componente"),"ok",IF(Olfa[[#This Row],[Estoque+Importação]]&lt;1,"Tirar","ok"))</f>
        <v>ok</v>
      </c>
      <c r="C45" s="23">
        <v>33070663734</v>
      </c>
      <c r="D45" s="22" t="s">
        <v>1205</v>
      </c>
      <c r="E45" s="22" t="str">
        <f>VLOOKUP(Olfa[[#This Row],[Código]],BD_Produto[],3,FALSE)</f>
        <v>Estilete Especial</v>
      </c>
      <c r="F45" s="22" t="str">
        <f>VLOOKUP(Olfa[[#This Row],[Código]],BD_Produto[],4,FALSE)</f>
        <v>Especial</v>
      </c>
      <c r="G45" s="24">
        <v>120</v>
      </c>
      <c r="H45" s="28">
        <v>362</v>
      </c>
      <c r="I45" s="22" t="s">
        <v>2849</v>
      </c>
      <c r="J45" s="24"/>
      <c r="K45" s="24"/>
      <c r="L45" s="177">
        <f>IFERROR(VLOOKUP(Olfa[[#This Row],[Código]],Saldo[],3,FALSE),0)</f>
        <v>188</v>
      </c>
      <c r="M45" s="24">
        <f>SUM(Olfa[[#This Row],[Produção]:[Estoque]])</f>
        <v>188</v>
      </c>
      <c r="N45" s="177">
        <f>IFERROR(Olfa[[#This Row],[Estoque+Importação]]/Olfa[[#This Row],[Proj. de V. No prox. mes]],"Sem Projeção")</f>
        <v>8.0341880341880341</v>
      </c>
      <c r="O45" s="177">
        <f>IF(OR(Olfa[[#This Row],[Status]]="Em Linha",Olfa[[#This Row],[Status]]="Componente",Olfa[[#This Row],[Status]]="Materia Prima"),Olfa[[#This Row],[Proj. de V. No prox. mes]]*10,"-")</f>
        <v>234</v>
      </c>
      <c r="P45" s="34">
        <f>IF(OR(Olfa[[#This Row],[Status]]="Em Linha",Olfa[[#This Row],[Status]]="Componente",Olfa[[#This Row],[Status]]="Materia Prima"),Olfa[[#This Row],[estoque 10 meses]]-Olfa[[#This Row],[Estoque+Importação]],0)</f>
        <v>46</v>
      </c>
      <c r="Q45" s="75">
        <f>Olfa[[#This Row],[Colunas1]]+Olfa[[#This Row],[Colunas2]]</f>
        <v>23.4</v>
      </c>
      <c r="R45" s="43">
        <f>VLOOKUP(Olfa[[#This Row],[Código]],Projeção[#All],14,FALSE)</f>
        <v>19.233333333333331</v>
      </c>
      <c r="S45" s="39">
        <f>IFERROR(VLOOKUP(Olfa[[#This Row],[Código]],Vendas!A41:B120,2,FALSE),0)</f>
        <v>0</v>
      </c>
      <c r="T45" s="44">
        <f>IFERROR(Olfa[[#This Row],[V. No mes]]/Olfa[[#This Row],[Proj. de V. No mes]],"")</f>
        <v>0</v>
      </c>
      <c r="U45" s="43">
        <f>VLOOKUP(Olfa[[#This Row],[Código]],Projeção[#All],14,FALSE)+VLOOKUP(Olfa[[#This Row],[Código]],Projeção[#All],13,FALSE)+VLOOKUP(Olfa[[#This Row],[Código]],Projeção[#All],12,FALSE)</f>
        <v>49.066666666666663</v>
      </c>
      <c r="V45" s="39">
        <f>IFERROR(VLOOKUP(Olfa[[#This Row],[Código]],Venda_3meses[],2,FALSE),0)</f>
        <v>19</v>
      </c>
      <c r="W45" s="44">
        <f>IFERROR(Olfa[[#This Row],[V. 3 meses]]/Olfa[[#This Row],[Proj. de V. 3 meses]],"")</f>
        <v>0.38722826086956524</v>
      </c>
      <c r="X4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77.999999999999986</v>
      </c>
      <c r="Y45" s="101">
        <f>IFERROR(VLOOKUP(Olfa[[#This Row],[Código]],Venda_6meses[],2,FALSE),0)</f>
        <v>32</v>
      </c>
      <c r="Z45" s="45">
        <f>IFERROR(Olfa[[#This Row],[V. 6 meses]]/Olfa[[#This Row],[Proj. de V. 6 meses]],"")</f>
        <v>0.41025641025641035</v>
      </c>
      <c r="AA4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199.16666666666663</v>
      </c>
      <c r="AB45" s="39">
        <f>IFERROR(VLOOKUP(Olfa[[#This Row],[Código]],Venda_12meses[],2,FALSE),0)</f>
        <v>117</v>
      </c>
      <c r="AC45" s="171">
        <f>Olfa[[#This Row],[V. 12 meses]]/6</f>
        <v>19.5</v>
      </c>
      <c r="AD45" s="171">
        <f>Olfa[[#This Row],[Colunas1]]*0.2</f>
        <v>3.9000000000000004</v>
      </c>
      <c r="AE45" s="44">
        <f>IFERROR(Olfa[[#This Row],[V. 12 meses]]/Olfa[[#This Row],[Proj. de V. 12 meses]],"")</f>
        <v>0.58744769874476999</v>
      </c>
      <c r="AF45" s="22"/>
    </row>
    <row r="46" spans="1:32" hidden="1" x14ac:dyDescent="0.25">
      <c r="A46" s="22" t="s">
        <v>2129</v>
      </c>
      <c r="B46" s="22" t="str">
        <f>IF(OR(Olfa[[#This Row],[Status]]="Em linha",Olfa[[#This Row],[Status]]="Materia Prima",Olfa[[#This Row],[Status]]="Componente"),"ok",IF(Olfa[[#This Row],[Estoque+Importação]]&lt;1,"Tirar","ok"))</f>
        <v>ok</v>
      </c>
      <c r="C46" s="23">
        <v>33070663219</v>
      </c>
      <c r="D46" s="22" t="s">
        <v>685</v>
      </c>
      <c r="E46" s="22" t="str">
        <f>VLOOKUP(Olfa[[#This Row],[Código]],BD_Produto[],3,FALSE)</f>
        <v>Estojo de Lâminas</v>
      </c>
      <c r="F46" s="22" t="str">
        <f>VLOOKUP(Olfa[[#This Row],[Código]],BD_Produto[],4,FALSE)</f>
        <v>Segurança</v>
      </c>
      <c r="G46" s="24">
        <v>240</v>
      </c>
      <c r="H46" s="28">
        <v>129</v>
      </c>
      <c r="I46" s="22" t="s">
        <v>2849</v>
      </c>
      <c r="J46" s="24"/>
      <c r="K46" s="24"/>
      <c r="L46" s="177">
        <f>IFERROR(VLOOKUP(Olfa[[#This Row],[Código]],Saldo[],3,FALSE),0)</f>
        <v>390</v>
      </c>
      <c r="M46" s="24">
        <f>SUM(Olfa[[#This Row],[Produção]:[Estoque]])</f>
        <v>390</v>
      </c>
      <c r="N46" s="177">
        <f>IFERROR(Olfa[[#This Row],[Estoque+Importação]]/Olfa[[#This Row],[Proj. de V. No prox. mes]],"Sem Projeção")</f>
        <v>7.9918032786885247</v>
      </c>
      <c r="O46" s="177">
        <f>IF(OR(Olfa[[#This Row],[Status]]="Em Linha",Olfa[[#This Row],[Status]]="Componente",Olfa[[#This Row],[Status]]="Materia Prima"),Olfa[[#This Row],[Proj. de V. No prox. mes]]*10,"-")</f>
        <v>488</v>
      </c>
      <c r="P46" s="34">
        <f>IF(OR(Olfa[[#This Row],[Status]]="Em Linha",Olfa[[#This Row],[Status]]="Componente",Olfa[[#This Row],[Status]]="Materia Prima"),Olfa[[#This Row],[estoque 10 meses]]-Olfa[[#This Row],[Estoque+Importação]],0)</f>
        <v>98</v>
      </c>
      <c r="Q46" s="75">
        <f>Olfa[[#This Row],[Colunas1]]+Olfa[[#This Row],[Colunas2]]</f>
        <v>48.8</v>
      </c>
      <c r="R46" s="43">
        <f>VLOOKUP(Olfa[[#This Row],[Código]],Projeção[#All],14,FALSE)</f>
        <v>42.366666666666667</v>
      </c>
      <c r="S46" s="39">
        <f>IFERROR(VLOOKUP(Olfa[[#This Row],[Código]],Vendas!A42:B121,2,FALSE),0)</f>
        <v>0</v>
      </c>
      <c r="T46" s="44">
        <f>IFERROR(Olfa[[#This Row],[V. No mes]]/Olfa[[#This Row],[Proj. de V. No mes]],"")</f>
        <v>0</v>
      </c>
      <c r="U46" s="43">
        <f>VLOOKUP(Olfa[[#This Row],[Código]],Projeção[#All],14,FALSE)+VLOOKUP(Olfa[[#This Row],[Código]],Projeção[#All],13,FALSE)+VLOOKUP(Olfa[[#This Row],[Código]],Projeção[#All],12,FALSE)</f>
        <v>99.100000000000009</v>
      </c>
      <c r="V46" s="39">
        <f>IFERROR(VLOOKUP(Olfa[[#This Row],[Código]],Venda_3meses[],2,FALSE),0)</f>
        <v>13</v>
      </c>
      <c r="W46" s="44">
        <f>IFERROR(Olfa[[#This Row],[V. 3 meses]]/Olfa[[#This Row],[Proj. de V. 3 meses]],"")</f>
        <v>0.13118062563067606</v>
      </c>
      <c r="X4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107.26666666666667</v>
      </c>
      <c r="Y46" s="101">
        <f>IFERROR(VLOOKUP(Olfa[[#This Row],[Código]],Venda_6meses[],2,FALSE),0)</f>
        <v>21</v>
      </c>
      <c r="Z46" s="45">
        <f>IFERROR(Olfa[[#This Row],[V. 6 meses]]/Olfa[[#This Row],[Proj. de V. 6 meses]],"")</f>
        <v>0.19577377252952144</v>
      </c>
      <c r="AA4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131.23333333333332</v>
      </c>
      <c r="AB46" s="39">
        <f>IFERROR(VLOOKUP(Olfa[[#This Row],[Código]],Venda_12meses[],2,FALSE),0)</f>
        <v>244</v>
      </c>
      <c r="AC46" s="171">
        <f>Olfa[[#This Row],[V. 12 meses]]/6</f>
        <v>40.666666666666664</v>
      </c>
      <c r="AD46" s="171">
        <f>Olfa[[#This Row],[Colunas1]]*0.2</f>
        <v>8.1333333333333329</v>
      </c>
      <c r="AE46" s="44">
        <f>IFERROR(Olfa[[#This Row],[V. 12 meses]]/Olfa[[#This Row],[Proj. de V. 12 meses]],"")</f>
        <v>1.8592837185674373</v>
      </c>
      <c r="AF46" s="22"/>
    </row>
    <row r="47" spans="1:32" hidden="1" x14ac:dyDescent="0.25">
      <c r="A47" s="22" t="s">
        <v>2129</v>
      </c>
      <c r="B47" s="22" t="str">
        <f>IF(OR(Olfa[[#This Row],[Status]]="Em linha",Olfa[[#This Row],[Status]]="Materia Prima",Olfa[[#This Row],[Status]]="Componente"),"ok",IF(Olfa[[#This Row],[Estoque+Importação]]&lt;1,"Tirar","ok"))</f>
        <v>ok</v>
      </c>
      <c r="C47" s="23">
        <v>33070614778</v>
      </c>
      <c r="D47" s="22" t="s">
        <v>642</v>
      </c>
      <c r="E47" s="22" t="str">
        <f>VLOOKUP(Olfa[[#This Row],[Código]],BD_Produto[],3,FALSE)</f>
        <v>Estilete de Segurança</v>
      </c>
      <c r="F47" s="22" t="str">
        <f>VLOOKUP(Olfa[[#This Row],[Código]],BD_Produto[],4,FALSE)</f>
        <v>Segurança</v>
      </c>
      <c r="G47" s="24">
        <v>120</v>
      </c>
      <c r="H47" s="28">
        <v>234</v>
      </c>
      <c r="I47" s="22" t="s">
        <v>2849</v>
      </c>
      <c r="J47" s="24"/>
      <c r="K47" s="24"/>
      <c r="L47" s="177">
        <f>IFERROR(VLOOKUP(Olfa[[#This Row],[Código]],Saldo[],3,FALSE),0)</f>
        <v>1230</v>
      </c>
      <c r="M47" s="24">
        <f>SUM(Olfa[[#This Row],[Produção]:[Estoque]])</f>
        <v>1230</v>
      </c>
      <c r="N47" s="177">
        <f>IFERROR(Olfa[[#This Row],[Estoque+Importação]]/Olfa[[#This Row],[Proj. de V. No prox. mes]],"Sem Projeção")</f>
        <v>3.9651837524177953</v>
      </c>
      <c r="O47" s="177">
        <f>IF(OR(Olfa[[#This Row],[Status]]="Em Linha",Olfa[[#This Row],[Status]]="Componente",Olfa[[#This Row],[Status]]="Materia Prima"),Olfa[[#This Row],[Proj. de V. No prox. mes]]*10,"-")</f>
        <v>3102</v>
      </c>
      <c r="P47" s="34">
        <f>IF(OR(Olfa[[#This Row],[Status]]="Em Linha",Olfa[[#This Row],[Status]]="Componente",Olfa[[#This Row],[Status]]="Materia Prima"),Olfa[[#This Row],[estoque 10 meses]]-Olfa[[#This Row],[Estoque+Importação]],0)</f>
        <v>1872</v>
      </c>
      <c r="Q47" s="75">
        <f>Olfa[[#This Row],[Colunas1]]+Olfa[[#This Row],[Colunas2]]</f>
        <v>310.2</v>
      </c>
      <c r="R47" s="43">
        <f>VLOOKUP(Olfa[[#This Row],[Código]],Projeção[#All],14,FALSE)</f>
        <v>233.63333333333333</v>
      </c>
      <c r="S47" s="39">
        <f>IFERROR(VLOOKUP(Olfa[[#This Row],[Código]],Vendas!A43:B122,2,FALSE),0)</f>
        <v>0</v>
      </c>
      <c r="T47" s="44">
        <f>IFERROR(Olfa[[#This Row],[V. No mes]]/Olfa[[#This Row],[Proj. de V. No mes]],"")</f>
        <v>0</v>
      </c>
      <c r="U47" s="43">
        <f>VLOOKUP(Olfa[[#This Row],[Código]],Projeção[#All],14,FALSE)+VLOOKUP(Olfa[[#This Row],[Código]],Projeção[#All],13,FALSE)+VLOOKUP(Olfa[[#This Row],[Código]],Projeção[#All],12,FALSE)</f>
        <v>627.06666666666661</v>
      </c>
      <c r="V47" s="39">
        <f>IFERROR(VLOOKUP(Olfa[[#This Row],[Código]],Venda_3meses[],2,FALSE),0)</f>
        <v>340</v>
      </c>
      <c r="W47" s="44">
        <f>IFERROR(Olfa[[#This Row],[V. 3 meses]]/Olfa[[#This Row],[Proj. de V. 3 meses]],"")</f>
        <v>0.54220710184988308</v>
      </c>
      <c r="X4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1257.3333333333333</v>
      </c>
      <c r="Y47" s="101">
        <f>IFERROR(VLOOKUP(Olfa[[#This Row],[Código]],Venda_6meses[],2,FALSE),0)</f>
        <v>708</v>
      </c>
      <c r="Z47" s="45">
        <f>IFERROR(Olfa[[#This Row],[V. 6 meses]]/Olfa[[#This Row],[Proj. de V. 6 meses]],"")</f>
        <v>0.56309650053022275</v>
      </c>
      <c r="AA4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3203.333333333333</v>
      </c>
      <c r="AB47" s="39">
        <f>IFERROR(VLOOKUP(Olfa[[#This Row],[Código]],Venda_12meses[],2,FALSE),0)</f>
        <v>1551</v>
      </c>
      <c r="AC47" s="171">
        <f>Olfa[[#This Row],[V. 12 meses]]/6</f>
        <v>258.5</v>
      </c>
      <c r="AD47" s="171">
        <f>Olfa[[#This Row],[Colunas1]]*0.2</f>
        <v>51.7</v>
      </c>
      <c r="AE47" s="44">
        <f>IFERROR(Olfa[[#This Row],[V. 12 meses]]/Olfa[[#This Row],[Proj. de V. 12 meses]],"")</f>
        <v>0.48418314255983358</v>
      </c>
      <c r="AF47" s="22"/>
    </row>
    <row r="48" spans="1:32" hidden="1" x14ac:dyDescent="0.25">
      <c r="A48" s="22" t="s">
        <v>2129</v>
      </c>
      <c r="B48" s="22" t="str">
        <f>IF(OR(Olfa[[#This Row],[Status]]="Em linha",Olfa[[#This Row],[Status]]="Materia Prima",Olfa[[#This Row],[Status]]="Componente"),"ok",IF(Olfa[[#This Row],[Estoque+Importação]]&lt;1,"Tirar","ok"))</f>
        <v>ok</v>
      </c>
      <c r="C48" s="23">
        <v>33070614016</v>
      </c>
      <c r="D48" s="22" t="s">
        <v>597</v>
      </c>
      <c r="E48" s="22" t="str">
        <f>VLOOKUP(Olfa[[#This Row],[Código]],BD_Produto[],3,FALSE)</f>
        <v>Estojo de Lâminas</v>
      </c>
      <c r="F48" s="22" t="str">
        <f>VLOOKUP(Olfa[[#This Row],[Código]],BD_Produto[],4,FALSE)</f>
        <v>Rotativo</v>
      </c>
      <c r="G48" s="24">
        <v>240</v>
      </c>
      <c r="H48" s="28">
        <v>211</v>
      </c>
      <c r="I48" s="22" t="s">
        <v>2849</v>
      </c>
      <c r="J48" s="24"/>
      <c r="K48" s="24"/>
      <c r="L48" s="177">
        <f>IFERROR(VLOOKUP(Olfa[[#This Row],[Código]],Saldo[],3,FALSE),0)</f>
        <v>457</v>
      </c>
      <c r="M48" s="24">
        <f>SUM(Olfa[[#This Row],[Produção]:[Estoque]])</f>
        <v>457</v>
      </c>
      <c r="N48" s="177">
        <f>IFERROR(Olfa[[#This Row],[Estoque+Importação]]/Olfa[[#This Row],[Proj. de V. No prox. mes]],"Sem Projeção")</f>
        <v>7.9340277777777777</v>
      </c>
      <c r="O48" s="177">
        <f>IF(OR(Olfa[[#This Row],[Status]]="Em Linha",Olfa[[#This Row],[Status]]="Componente",Olfa[[#This Row],[Status]]="Materia Prima"),Olfa[[#This Row],[Proj. de V. No prox. mes]]*10,"-")</f>
        <v>576</v>
      </c>
      <c r="P48" s="34">
        <f>IF(OR(Olfa[[#This Row],[Status]]="Em Linha",Olfa[[#This Row],[Status]]="Componente",Olfa[[#This Row],[Status]]="Materia Prima"),Olfa[[#This Row],[estoque 10 meses]]-Olfa[[#This Row],[Estoque+Importação]],0)</f>
        <v>119</v>
      </c>
      <c r="Q48" s="75">
        <f>Olfa[[#This Row],[Colunas1]]+Olfa[[#This Row],[Colunas2]]</f>
        <v>57.6</v>
      </c>
      <c r="R48" s="43">
        <f>VLOOKUP(Olfa[[#This Row],[Código]],Projeção[#All],14,FALSE)</f>
        <v>37.43333333333333</v>
      </c>
      <c r="S48" s="39">
        <f>IFERROR(VLOOKUP(Olfa[[#This Row],[Código]],Vendas!A44:B123,2,FALSE),0)</f>
        <v>38</v>
      </c>
      <c r="T48" s="44">
        <f>IFERROR(Olfa[[#This Row],[V. No mes]]/Olfa[[#This Row],[Proj. de V. No mes]],"")</f>
        <v>1.0151380231522709</v>
      </c>
      <c r="U48" s="43">
        <f>VLOOKUP(Olfa[[#This Row],[Código]],Projeção[#All],14,FALSE)+VLOOKUP(Olfa[[#This Row],[Código]],Projeção[#All],13,FALSE)+VLOOKUP(Olfa[[#This Row],[Código]],Projeção[#All],12,FALSE)</f>
        <v>99.633333333333326</v>
      </c>
      <c r="V48" s="39">
        <f>IFERROR(VLOOKUP(Olfa[[#This Row],[Código]],Venda_3meses[],2,FALSE),0)</f>
        <v>92</v>
      </c>
      <c r="W48" s="44">
        <f>IFERROR(Olfa[[#This Row],[V. 3 meses]]/Olfa[[#This Row],[Proj. de V. 3 meses]],"")</f>
        <v>0.92338574774171966</v>
      </c>
      <c r="X4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169.36666666666667</v>
      </c>
      <c r="Y48" s="101">
        <f>IFERROR(VLOOKUP(Olfa[[#This Row],[Código]],Venda_6meses[],2,FALSE),0)</f>
        <v>123</v>
      </c>
      <c r="Z48" s="45">
        <f>IFERROR(Olfa[[#This Row],[V. 6 meses]]/Olfa[[#This Row],[Proj. de V. 6 meses]],"")</f>
        <v>0.72623499311159212</v>
      </c>
      <c r="AA4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303.63333333333333</v>
      </c>
      <c r="AB48" s="39">
        <f>IFERROR(VLOOKUP(Olfa[[#This Row],[Código]],Venda_12meses[],2,FALSE),0)</f>
        <v>288</v>
      </c>
      <c r="AC48" s="171">
        <f>Olfa[[#This Row],[V. 12 meses]]/6</f>
        <v>48</v>
      </c>
      <c r="AD48" s="171">
        <f>Olfa[[#This Row],[Colunas1]]*0.2</f>
        <v>9.6000000000000014</v>
      </c>
      <c r="AE48" s="44">
        <f>IFERROR(Olfa[[#This Row],[V. 12 meses]]/Olfa[[#This Row],[Proj. de V. 12 meses]],"")</f>
        <v>0.94851246020419366</v>
      </c>
      <c r="AF48" s="22"/>
    </row>
    <row r="49" spans="1:32" hidden="1" x14ac:dyDescent="0.25">
      <c r="A49" s="22" t="s">
        <v>2129</v>
      </c>
      <c r="B49" s="22" t="str">
        <f>IF(OR(Olfa[[#This Row],[Status]]="Em linha",Olfa[[#This Row],[Status]]="Materia Prima",Olfa[[#This Row],[Status]]="Componente"),"ok",IF(Olfa[[#This Row],[Estoque+Importação]]&lt;1,"Tirar","ok"))</f>
        <v>ok</v>
      </c>
      <c r="C49" s="23">
        <v>33070614895</v>
      </c>
      <c r="D49" s="22" t="s">
        <v>649</v>
      </c>
      <c r="E49" s="22" t="str">
        <f>VLOOKUP(Olfa[[#This Row],[Código]],BD_Produto[],3,FALSE)</f>
        <v>Estojo de Lâminas</v>
      </c>
      <c r="F49" s="22" t="str">
        <f>VLOOKUP(Olfa[[#This Row],[Código]],BD_Produto[],4,FALSE)</f>
        <v>Rotativo</v>
      </c>
      <c r="G49" s="24">
        <v>240</v>
      </c>
      <c r="H49" s="28">
        <v>140</v>
      </c>
      <c r="I49" s="22" t="s">
        <v>2849</v>
      </c>
      <c r="J49" s="24"/>
      <c r="K49" s="24"/>
      <c r="L49" s="177">
        <f>IFERROR(VLOOKUP(Olfa[[#This Row],[Código]],Saldo[],3,FALSE),0)</f>
        <v>374</v>
      </c>
      <c r="M49" s="24">
        <f>SUM(Olfa[[#This Row],[Produção]:[Estoque]])</f>
        <v>374</v>
      </c>
      <c r="N49" s="177">
        <f>IFERROR(Olfa[[#This Row],[Estoque+Importação]]/Olfa[[#This Row],[Proj. de V. No prox. mes]],"Sem Projeção")</f>
        <v>7.0833333333333339</v>
      </c>
      <c r="O49" s="177">
        <f>IF(OR(Olfa[[#This Row],[Status]]="Em Linha",Olfa[[#This Row],[Status]]="Componente",Olfa[[#This Row],[Status]]="Materia Prima"),Olfa[[#This Row],[Proj. de V. No prox. mes]]*10,"-")</f>
        <v>528</v>
      </c>
      <c r="P49" s="34">
        <f>IF(OR(Olfa[[#This Row],[Status]]="Em Linha",Olfa[[#This Row],[Status]]="Componente",Olfa[[#This Row],[Status]]="Materia Prima"),Olfa[[#This Row],[estoque 10 meses]]-Olfa[[#This Row],[Estoque+Importação]],0)</f>
        <v>154</v>
      </c>
      <c r="Q49" s="75">
        <f>Olfa[[#This Row],[Colunas1]]+Olfa[[#This Row],[Colunas2]]</f>
        <v>52.8</v>
      </c>
      <c r="R49" s="43">
        <f>VLOOKUP(Olfa[[#This Row],[Código]],Projeção[#All],14,FALSE)</f>
        <v>27</v>
      </c>
      <c r="S49" s="39">
        <f>IFERROR(VLOOKUP(Olfa[[#This Row],[Código]],Vendas!A45:B124,2,FALSE),0)</f>
        <v>0</v>
      </c>
      <c r="T49" s="44">
        <f>IFERROR(Olfa[[#This Row],[V. No mes]]/Olfa[[#This Row],[Proj. de V. No mes]],"")</f>
        <v>0</v>
      </c>
      <c r="U49" s="43">
        <f>VLOOKUP(Olfa[[#This Row],[Código]],Projeção[#All],14,FALSE)+VLOOKUP(Olfa[[#This Row],[Código]],Projeção[#All],13,FALSE)+VLOOKUP(Olfa[[#This Row],[Código]],Projeção[#All],12,FALSE)</f>
        <v>77</v>
      </c>
      <c r="V49" s="39">
        <f>IFERROR(VLOOKUP(Olfa[[#This Row],[Código]],Venda_3meses[],2,FALSE),0)</f>
        <v>107</v>
      </c>
      <c r="W49" s="44">
        <f>IFERROR(Olfa[[#This Row],[V. 3 meses]]/Olfa[[#This Row],[Proj. de V. 3 meses]],"")</f>
        <v>1.3896103896103895</v>
      </c>
      <c r="X4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114.43333333333334</v>
      </c>
      <c r="Y49" s="101">
        <f>IFERROR(VLOOKUP(Olfa[[#This Row],[Código]],Venda_6meses[],2,FALSE),0)</f>
        <v>120</v>
      </c>
      <c r="Z49" s="45">
        <f>IFERROR(Olfa[[#This Row],[V. 6 meses]]/Olfa[[#This Row],[Proj. de V. 6 meses]],"")</f>
        <v>1.0486454995630643</v>
      </c>
      <c r="AA4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257.7</v>
      </c>
      <c r="AB49" s="39">
        <f>IFERROR(VLOOKUP(Olfa[[#This Row],[Código]],Venda_12meses[],2,FALSE),0)</f>
        <v>264</v>
      </c>
      <c r="AC49" s="171">
        <f>Olfa[[#This Row],[V. 12 meses]]/6</f>
        <v>44</v>
      </c>
      <c r="AD49" s="171">
        <f>Olfa[[#This Row],[Colunas1]]*0.2</f>
        <v>8.8000000000000007</v>
      </c>
      <c r="AE49" s="44">
        <f>IFERROR(Olfa[[#This Row],[V. 12 meses]]/Olfa[[#This Row],[Proj. de V. 12 meses]],"")</f>
        <v>1.0244470314318976</v>
      </c>
      <c r="AF49" s="22"/>
    </row>
    <row r="50" spans="1:32" hidden="1" x14ac:dyDescent="0.25">
      <c r="A50" s="22" t="s">
        <v>2129</v>
      </c>
      <c r="B50" s="22" t="str">
        <f>IF(OR(Olfa[[#This Row],[Status]]="Em linha",Olfa[[#This Row],[Status]]="Materia Prima",Olfa[[#This Row],[Status]]="Componente"),"ok",IF(Olfa[[#This Row],[Estoque+Importação]]&lt;1,"Tirar","ok"))</f>
        <v>ok</v>
      </c>
      <c r="C50" s="23">
        <v>33070614751</v>
      </c>
      <c r="D50" s="22" t="s">
        <v>633</v>
      </c>
      <c r="E50" s="22" t="str">
        <f>VLOOKUP(Olfa[[#This Row],[Código]],BD_Produto[],3,FALSE)</f>
        <v>Estojo de Lâminas</v>
      </c>
      <c r="F50" s="22" t="str">
        <f>VLOOKUP(Olfa[[#This Row],[Código]],BD_Produto[],4,FALSE)</f>
        <v>Especial</v>
      </c>
      <c r="G50" s="24">
        <v>240</v>
      </c>
      <c r="H50" s="28">
        <v>110</v>
      </c>
      <c r="I50" s="22" t="s">
        <v>2849</v>
      </c>
      <c r="J50" s="24"/>
      <c r="K50" s="24"/>
      <c r="L50" s="177">
        <f>IFERROR(VLOOKUP(Olfa[[#This Row],[Código]],Saldo[],3,FALSE),0)</f>
        <v>546</v>
      </c>
      <c r="M50" s="24">
        <f>SUM(Olfa[[#This Row],[Produção]:[Estoque]])</f>
        <v>546</v>
      </c>
      <c r="N50" s="177">
        <f>IFERROR(Olfa[[#This Row],[Estoque+Importação]]/Olfa[[#This Row],[Proj. de V. No prox. mes]],"Sem Projeção")</f>
        <v>5.6521739130434785</v>
      </c>
      <c r="O50" s="177">
        <f>IF(OR(Olfa[[#This Row],[Status]]="Em Linha",Olfa[[#This Row],[Status]]="Componente",Olfa[[#This Row],[Status]]="Materia Prima"),Olfa[[#This Row],[Proj. de V. No prox. mes]]*10,"-")</f>
        <v>966</v>
      </c>
      <c r="P50" s="34">
        <f>IF(OR(Olfa[[#This Row],[Status]]="Em Linha",Olfa[[#This Row],[Status]]="Componente",Olfa[[#This Row],[Status]]="Materia Prima"),Olfa[[#This Row],[estoque 10 meses]]-Olfa[[#This Row],[Estoque+Importação]],0)</f>
        <v>420</v>
      </c>
      <c r="Q50" s="75">
        <f>Olfa[[#This Row],[Colunas1]]+Olfa[[#This Row],[Colunas2]]</f>
        <v>96.6</v>
      </c>
      <c r="R50" s="43">
        <f>VLOOKUP(Olfa[[#This Row],[Código]],Projeção[#All],14,FALSE)</f>
        <v>62.099999999999994</v>
      </c>
      <c r="S50" s="39">
        <f>IFERROR(VLOOKUP(Olfa[[#This Row],[Código]],Vendas!A46:B125,2,FALSE),0)</f>
        <v>48</v>
      </c>
      <c r="T50" s="44">
        <f>IFERROR(Olfa[[#This Row],[V. No mes]]/Olfa[[#This Row],[Proj. de V. No mes]],"")</f>
        <v>0.77294685990338174</v>
      </c>
      <c r="U50" s="43">
        <f>VLOOKUP(Olfa[[#This Row],[Código]],Projeção[#All],14,FALSE)+VLOOKUP(Olfa[[#This Row],[Código]],Projeção[#All],13,FALSE)+VLOOKUP(Olfa[[#This Row],[Código]],Projeção[#All],12,FALSE)</f>
        <v>164.36666666666665</v>
      </c>
      <c r="V50" s="39">
        <f>IFERROR(VLOOKUP(Olfa[[#This Row],[Código]],Venda_3meses[],2,FALSE),0)</f>
        <v>129</v>
      </c>
      <c r="W50" s="44">
        <f>IFERROR(Olfa[[#This Row],[V. 3 meses]]/Olfa[[#This Row],[Proj. de V. 3 meses]],"")</f>
        <v>0.78483066315149064</v>
      </c>
      <c r="X5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269.59999999999997</v>
      </c>
      <c r="Y50" s="101">
        <f>IFERROR(VLOOKUP(Olfa[[#This Row],[Código]],Venda_6meses[],2,FALSE),0)</f>
        <v>184</v>
      </c>
      <c r="Z50" s="45">
        <f>IFERROR(Olfa[[#This Row],[V. 6 meses]]/Olfa[[#This Row],[Proj. de V. 6 meses]],"")</f>
        <v>0.68249258160237403</v>
      </c>
      <c r="AA5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543.59999999999991</v>
      </c>
      <c r="AB50" s="39">
        <f>IFERROR(VLOOKUP(Olfa[[#This Row],[Código]],Venda_12meses[],2,FALSE),0)</f>
        <v>483</v>
      </c>
      <c r="AC50" s="171">
        <f>Olfa[[#This Row],[V. 12 meses]]/6</f>
        <v>80.5</v>
      </c>
      <c r="AD50" s="171">
        <f>Olfa[[#This Row],[Colunas1]]*0.2</f>
        <v>16.100000000000001</v>
      </c>
      <c r="AE50" s="44">
        <f>IFERROR(Olfa[[#This Row],[V. 12 meses]]/Olfa[[#This Row],[Proj. de V. 12 meses]],"")</f>
        <v>0.88852097130242835</v>
      </c>
      <c r="AF50" s="22"/>
    </row>
    <row r="51" spans="1:32" hidden="1" x14ac:dyDescent="0.25">
      <c r="A51" s="22" t="s">
        <v>2129</v>
      </c>
      <c r="B51" s="22" t="str">
        <f>IF(OR(Olfa[[#This Row],[Status]]="Em linha",Olfa[[#This Row],[Status]]="Materia Prima",Olfa[[#This Row],[Status]]="Componente"),"ok",IF(Olfa[[#This Row],[Estoque+Importação]]&lt;1,"Tirar","ok"))</f>
        <v>ok</v>
      </c>
      <c r="C51" s="23">
        <v>33070614897</v>
      </c>
      <c r="D51" s="22" t="s">
        <v>650</v>
      </c>
      <c r="E51" s="22" t="str">
        <f>VLOOKUP(Olfa[[#This Row],[Código]],BD_Produto[],3,FALSE)</f>
        <v>Estilete Especial</v>
      </c>
      <c r="F51" s="22" t="str">
        <f>VLOOKUP(Olfa[[#This Row],[Código]],BD_Produto[],4,FALSE)</f>
        <v>Especial</v>
      </c>
      <c r="G51" s="24">
        <v>120</v>
      </c>
      <c r="H51" s="28">
        <v>228</v>
      </c>
      <c r="I51" s="22" t="s">
        <v>2849</v>
      </c>
      <c r="J51" s="24"/>
      <c r="K51" s="24"/>
      <c r="L51" s="177">
        <f>IFERROR(VLOOKUP(Olfa[[#This Row],[Código]],Saldo[],3,FALSE),0)</f>
        <v>231</v>
      </c>
      <c r="M51" s="24">
        <f>SUM(Olfa[[#This Row],[Produção]:[Estoque]])</f>
        <v>231</v>
      </c>
      <c r="N51" s="177">
        <f>IFERROR(Olfa[[#This Row],[Estoque+Importação]]/Olfa[[#This Row],[Proj. de V. No prox. mes]],"Sem Projeção")</f>
        <v>6.4525139664804474</v>
      </c>
      <c r="O51" s="177">
        <f>IF(OR(Olfa[[#This Row],[Status]]="Em Linha",Olfa[[#This Row],[Status]]="Componente",Olfa[[#This Row],[Status]]="Materia Prima"),Olfa[[#This Row],[Proj. de V. No prox. mes]]*10,"-")</f>
        <v>358</v>
      </c>
      <c r="P51" s="34">
        <f>IF(OR(Olfa[[#This Row],[Status]]="Em Linha",Olfa[[#This Row],[Status]]="Componente",Olfa[[#This Row],[Status]]="Materia Prima"),Olfa[[#This Row],[estoque 10 meses]]-Olfa[[#This Row],[Estoque+Importação]],0)</f>
        <v>127</v>
      </c>
      <c r="Q51" s="75">
        <f>Olfa[[#This Row],[Colunas1]]+Olfa[[#This Row],[Colunas2]]</f>
        <v>35.799999999999997</v>
      </c>
      <c r="R51" s="43">
        <f>VLOOKUP(Olfa[[#This Row],[Código]],Projeção[#All],14,FALSE)</f>
        <v>23.499999999999996</v>
      </c>
      <c r="S51" s="39">
        <f>IFERROR(VLOOKUP(Olfa[[#This Row],[Código]],Vendas!A47:B126,2,FALSE),0)</f>
        <v>0</v>
      </c>
      <c r="T51" s="44">
        <f>IFERROR(Olfa[[#This Row],[V. No mes]]/Olfa[[#This Row],[Proj. de V. No mes]],"")</f>
        <v>0</v>
      </c>
      <c r="U51" s="43">
        <f>VLOOKUP(Olfa[[#This Row],[Código]],Projeção[#All],14,FALSE)+VLOOKUP(Olfa[[#This Row],[Código]],Projeção[#All],13,FALSE)+VLOOKUP(Olfa[[#This Row],[Código]],Projeção[#All],12,FALSE)</f>
        <v>70.966666666666669</v>
      </c>
      <c r="V51" s="39">
        <f>IFERROR(VLOOKUP(Olfa[[#This Row],[Código]],Venda_3meses[],2,FALSE),0)</f>
        <v>35</v>
      </c>
      <c r="W51" s="44">
        <f>IFERROR(Olfa[[#This Row],[V. 3 meses]]/Olfa[[#This Row],[Proj. de V. 3 meses]],"")</f>
        <v>0.49318929074682949</v>
      </c>
      <c r="X5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107.43333333333332</v>
      </c>
      <c r="Y51" s="101">
        <f>IFERROR(VLOOKUP(Olfa[[#This Row],[Código]],Venda_6meses[],2,FALSE),0)</f>
        <v>52</v>
      </c>
      <c r="Z51" s="45">
        <f>IFERROR(Olfa[[#This Row],[V. 6 meses]]/Olfa[[#This Row],[Proj. de V. 6 meses]],"")</f>
        <v>0.48402109835556939</v>
      </c>
      <c r="AA5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185.73333333333335</v>
      </c>
      <c r="AB51" s="39">
        <f>IFERROR(VLOOKUP(Olfa[[#This Row],[Código]],Venda_12meses[],2,FALSE),0)</f>
        <v>179</v>
      </c>
      <c r="AC51" s="171">
        <f>Olfa[[#This Row],[V. 12 meses]]/6</f>
        <v>29.833333333333332</v>
      </c>
      <c r="AD51" s="171">
        <f>Olfa[[#This Row],[Colunas1]]*0.2</f>
        <v>5.9666666666666668</v>
      </c>
      <c r="AE51" s="44">
        <f>IFERROR(Olfa[[#This Row],[V. 12 meses]]/Olfa[[#This Row],[Proj. de V. 12 meses]],"")</f>
        <v>0.96374730796841346</v>
      </c>
      <c r="AF51" s="22"/>
    </row>
    <row r="52" spans="1:32" hidden="1" x14ac:dyDescent="0.25">
      <c r="A52" s="22" t="s">
        <v>2129</v>
      </c>
      <c r="B52" s="22" t="str">
        <f>IF(OR(Olfa[[#This Row],[Status]]="Em linha",Olfa[[#This Row],[Status]]="Materia Prima",Olfa[[#This Row],[Status]]="Componente"),"ok",IF(Olfa[[#This Row],[Estoque+Importação]]&lt;1,"Tirar","ok"))</f>
        <v>ok</v>
      </c>
      <c r="C52" s="23">
        <v>33070614732</v>
      </c>
      <c r="D52" s="22" t="s">
        <v>621</v>
      </c>
      <c r="E52" s="22" t="str">
        <f>VLOOKUP(Olfa[[#This Row],[Código]],BD_Produto[],3,FALSE)</f>
        <v>Estilete Especial</v>
      </c>
      <c r="F52" s="22" t="str">
        <f>VLOOKUP(Olfa[[#This Row],[Código]],BD_Produto[],4,FALSE)</f>
        <v>Especial</v>
      </c>
      <c r="G52" s="24">
        <v>120</v>
      </c>
      <c r="H52" s="28">
        <v>239.5</v>
      </c>
      <c r="I52" s="22" t="s">
        <v>2849</v>
      </c>
      <c r="J52" s="24"/>
      <c r="K52" s="24"/>
      <c r="L52" s="177">
        <f>IFERROR(VLOOKUP(Olfa[[#This Row],[Código]],Saldo[],3,FALSE),0)</f>
        <v>132</v>
      </c>
      <c r="M52" s="24">
        <f>SUM(Olfa[[#This Row],[Produção]:[Estoque]])</f>
        <v>132</v>
      </c>
      <c r="N52" s="177">
        <f>IFERROR(Olfa[[#This Row],[Estoque+Importação]]/Olfa[[#This Row],[Proj. de V. No prox. mes]],"Sem Projeção")</f>
        <v>2.7966101694915251</v>
      </c>
      <c r="O52" s="177">
        <f>IF(OR(Olfa[[#This Row],[Status]]="Em Linha",Olfa[[#This Row],[Status]]="Componente",Olfa[[#This Row],[Status]]="Materia Prima"),Olfa[[#This Row],[Proj. de V. No prox. mes]]*10,"-")</f>
        <v>472</v>
      </c>
      <c r="P52" s="34">
        <f>IF(OR(Olfa[[#This Row],[Status]]="Em Linha",Olfa[[#This Row],[Status]]="Componente",Olfa[[#This Row],[Status]]="Materia Prima"),Olfa[[#This Row],[estoque 10 meses]]-Olfa[[#This Row],[Estoque+Importação]],0)</f>
        <v>340</v>
      </c>
      <c r="Q52" s="75">
        <f>Olfa[[#This Row],[Colunas1]]+Olfa[[#This Row],[Colunas2]]</f>
        <v>47.2</v>
      </c>
      <c r="R52" s="43">
        <f>VLOOKUP(Olfa[[#This Row],[Código]],Projeção[#All],14,FALSE)</f>
        <v>25.5</v>
      </c>
      <c r="S52" s="39">
        <f>IFERROR(VLOOKUP(Olfa[[#This Row],[Código]],Vendas!A48:B127,2,FALSE),0)</f>
        <v>14</v>
      </c>
      <c r="T52" s="44">
        <f>IFERROR(Olfa[[#This Row],[V. No mes]]/Olfa[[#This Row],[Proj. de V. No mes]],"")</f>
        <v>0.5490196078431373</v>
      </c>
      <c r="U52" s="43">
        <f>VLOOKUP(Olfa[[#This Row],[Código]],Projeção[#All],14,FALSE)+VLOOKUP(Olfa[[#This Row],[Código]],Projeção[#All],13,FALSE)+VLOOKUP(Olfa[[#This Row],[Código]],Projeção[#All],12,FALSE)</f>
        <v>68.066666666666663</v>
      </c>
      <c r="V52" s="39">
        <f>IFERROR(VLOOKUP(Olfa[[#This Row],[Código]],Venda_3meses[],2,FALSE),0)</f>
        <v>47</v>
      </c>
      <c r="W52" s="44">
        <f>IFERROR(Olfa[[#This Row],[V. 3 meses]]/Olfa[[#This Row],[Proj. de V. 3 meses]],"")</f>
        <v>0.69049951028403533</v>
      </c>
      <c r="X5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123.89999999999999</v>
      </c>
      <c r="Y52" s="101">
        <f>IFERROR(VLOOKUP(Olfa[[#This Row],[Código]],Venda_6meses[],2,FALSE),0)</f>
        <v>72</v>
      </c>
      <c r="Z52" s="45">
        <f>IFERROR(Olfa[[#This Row],[V. 6 meses]]/Olfa[[#This Row],[Proj. de V. 6 meses]],"")</f>
        <v>0.58111380145278457</v>
      </c>
      <c r="AA5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286.06666666666666</v>
      </c>
      <c r="AB52" s="39">
        <f>IFERROR(VLOOKUP(Olfa[[#This Row],[Código]],Venda_12meses[],2,FALSE),0)</f>
        <v>236</v>
      </c>
      <c r="AC52" s="171">
        <f>Olfa[[#This Row],[V. 12 meses]]/6</f>
        <v>39.333333333333336</v>
      </c>
      <c r="AD52" s="171">
        <f>Olfa[[#This Row],[Colunas1]]*0.2</f>
        <v>7.8666666666666671</v>
      </c>
      <c r="AE52" s="44">
        <f>IFERROR(Olfa[[#This Row],[V. 12 meses]]/Olfa[[#This Row],[Proj. de V. 12 meses]],"")</f>
        <v>0.82498252155674667</v>
      </c>
      <c r="AF52" s="22"/>
    </row>
    <row r="53" spans="1:32" hidden="1" x14ac:dyDescent="0.25">
      <c r="A53" s="22" t="s">
        <v>2129</v>
      </c>
      <c r="B53" s="22" t="str">
        <f>IF(OR(Olfa[[#This Row],[Status]]="Em linha",Olfa[[#This Row],[Status]]="Materia Prima",Olfa[[#This Row],[Status]]="Componente"),"ok",IF(Olfa[[#This Row],[Estoque+Importação]]&lt;1,"Tirar","ok"))</f>
        <v>ok</v>
      </c>
      <c r="C53" s="23">
        <v>33070614720</v>
      </c>
      <c r="D53" s="22" t="s">
        <v>610</v>
      </c>
      <c r="E53" s="22" t="str">
        <f>VLOOKUP(Olfa[[#This Row],[Código]],BD_Produto[],3,FALSE)</f>
        <v>Estilete Multiuso</v>
      </c>
      <c r="F53" s="22" t="str">
        <f>VLOOKUP(Olfa[[#This Row],[Código]],BD_Produto[],4,FALSE)</f>
        <v>Multiuso</v>
      </c>
      <c r="G53" s="24">
        <v>240</v>
      </c>
      <c r="H53" s="28">
        <v>152</v>
      </c>
      <c r="I53" s="22" t="s">
        <v>2849</v>
      </c>
      <c r="J53" s="24"/>
      <c r="K53" s="24"/>
      <c r="L53" s="177">
        <f>IFERROR(VLOOKUP(Olfa[[#This Row],[Código]],Saldo[],3,FALSE),0)</f>
        <v>347</v>
      </c>
      <c r="M53" s="24">
        <f>SUM(Olfa[[#This Row],[Produção]:[Estoque]])</f>
        <v>347</v>
      </c>
      <c r="N53" s="177">
        <f>IFERROR(Olfa[[#This Row],[Estoque+Importação]]/Olfa[[#This Row],[Proj. de V. No prox. mes]],"Sem Projeção")</f>
        <v>2.7237048665620094</v>
      </c>
      <c r="O53" s="177">
        <f>IF(OR(Olfa[[#This Row],[Status]]="Em Linha",Olfa[[#This Row],[Status]]="Componente",Olfa[[#This Row],[Status]]="Materia Prima"),Olfa[[#This Row],[Proj. de V. No prox. mes]]*10,"-")</f>
        <v>1274</v>
      </c>
      <c r="P53" s="34">
        <f>IF(OR(Olfa[[#This Row],[Status]]="Em Linha",Olfa[[#This Row],[Status]]="Componente",Olfa[[#This Row],[Status]]="Materia Prima"),Olfa[[#This Row],[estoque 10 meses]]-Olfa[[#This Row],[Estoque+Importação]],0)</f>
        <v>927</v>
      </c>
      <c r="Q53" s="75">
        <f>Olfa[[#This Row],[Colunas1]]+Olfa[[#This Row],[Colunas2]]</f>
        <v>127.4</v>
      </c>
      <c r="R53" s="43">
        <f>VLOOKUP(Olfa[[#This Row],[Código]],Projeção[#All],14,FALSE)</f>
        <v>67.36666666666666</v>
      </c>
      <c r="S53" s="39">
        <f>IFERROR(VLOOKUP(Olfa[[#This Row],[Código]],Vendas!A49:B128,2,FALSE),0)</f>
        <v>84</v>
      </c>
      <c r="T53" s="44">
        <f>IFERROR(Olfa[[#This Row],[V. No mes]]/Olfa[[#This Row],[Proj. de V. No mes]],"")</f>
        <v>1.2469074715487383</v>
      </c>
      <c r="U53" s="43">
        <f>VLOOKUP(Olfa[[#This Row],[Código]],Projeção[#All],14,FALSE)+VLOOKUP(Olfa[[#This Row],[Código]],Projeção[#All],13,FALSE)+VLOOKUP(Olfa[[#This Row],[Código]],Projeção[#All],12,FALSE)</f>
        <v>160.19999999999999</v>
      </c>
      <c r="V53" s="39">
        <f>IFERROR(VLOOKUP(Olfa[[#This Row],[Código]],Venda_3meses[],2,FALSE),0)</f>
        <v>150</v>
      </c>
      <c r="W53" s="44">
        <f>IFERROR(Olfa[[#This Row],[V. 3 meses]]/Olfa[[#This Row],[Proj. de V. 3 meses]],"")</f>
        <v>0.93632958801498134</v>
      </c>
      <c r="X5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241.7</v>
      </c>
      <c r="Y53" s="101">
        <f>IFERROR(VLOOKUP(Olfa[[#This Row],[Código]],Venda_6meses[],2,FALSE),0)</f>
        <v>303</v>
      </c>
      <c r="Z53" s="45">
        <f>IFERROR(Olfa[[#This Row],[V. 6 meses]]/Olfa[[#This Row],[Proj. de V. 6 meses]],"")</f>
        <v>1.2536201903185769</v>
      </c>
      <c r="AA5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507.26666666666671</v>
      </c>
      <c r="AB53" s="39">
        <f>IFERROR(VLOOKUP(Olfa[[#This Row],[Código]],Venda_12meses[],2,FALSE),0)</f>
        <v>637</v>
      </c>
      <c r="AC53" s="171">
        <f>Olfa[[#This Row],[V. 12 meses]]/6</f>
        <v>106.16666666666667</v>
      </c>
      <c r="AD53" s="171">
        <f>Olfa[[#This Row],[Colunas1]]*0.2</f>
        <v>21.233333333333334</v>
      </c>
      <c r="AE53" s="44">
        <f>IFERROR(Olfa[[#This Row],[V. 12 meses]]/Olfa[[#This Row],[Proj. de V. 12 meses]],"")</f>
        <v>1.2557497700091995</v>
      </c>
      <c r="AF53" s="22"/>
    </row>
    <row r="54" spans="1:32" x14ac:dyDescent="0.25">
      <c r="A54" s="22" t="s">
        <v>2129</v>
      </c>
      <c r="B54" s="22" t="str">
        <f>IF(OR(Olfa[[#This Row],[Status]]="Em linha",Olfa[[#This Row],[Status]]="Materia Prima",Olfa[[#This Row],[Status]]="Componente"),"ok",IF(Olfa[[#This Row],[Estoque+Importação]]&lt;1,"Tirar","ok"))</f>
        <v>ok</v>
      </c>
      <c r="C54" s="23">
        <v>33070614733</v>
      </c>
      <c r="D54" s="22" t="s">
        <v>622</v>
      </c>
      <c r="E54" s="22" t="str">
        <f>VLOOKUP(Olfa[[#This Row],[Código]],BD_Produto[],3,FALSE)</f>
        <v>Estilete Especial</v>
      </c>
      <c r="F54" s="22" t="str">
        <f>VLOOKUP(Olfa[[#This Row],[Código]],BD_Produto[],4,FALSE)</f>
        <v>Especial</v>
      </c>
      <c r="G54" s="24">
        <v>50</v>
      </c>
      <c r="H54" s="28">
        <v>1064</v>
      </c>
      <c r="I54" s="22" t="s">
        <v>2849</v>
      </c>
      <c r="J54" s="24"/>
      <c r="K54" s="24"/>
      <c r="L54" s="177">
        <f>IFERROR(VLOOKUP(Olfa[[#This Row],[Código]],Saldo[],3,FALSE),0)</f>
        <v>99</v>
      </c>
      <c r="M54" s="24">
        <f>SUM(Olfa[[#This Row],[Produção]:[Estoque]])</f>
        <v>99</v>
      </c>
      <c r="N54" s="177">
        <f>IFERROR(Olfa[[#This Row],[Estoque+Importação]]/Olfa[[#This Row],[Proj. de V. No prox. mes]],"Sem Projeção")</f>
        <v>13.026315789473685</v>
      </c>
      <c r="O54" s="177">
        <f>IF(OR(Olfa[[#This Row],[Status]]="Em Linha",Olfa[[#This Row],[Status]]="Componente",Olfa[[#This Row],[Status]]="Materia Prima"),Olfa[[#This Row],[Proj. de V. No prox. mes]]*10,"-")</f>
        <v>76</v>
      </c>
      <c r="P54" s="34">
        <f>IF(OR(Olfa[[#This Row],[Status]]="Em Linha",Olfa[[#This Row],[Status]]="Componente",Olfa[[#This Row],[Status]]="Materia Prima"),Olfa[[#This Row],[estoque 10 meses]]-Olfa[[#This Row],[Estoque+Importação]],0)</f>
        <v>-23</v>
      </c>
      <c r="Q54" s="75">
        <f>Olfa[[#This Row],[Colunas1]]+Olfa[[#This Row],[Colunas2]]</f>
        <v>7.6</v>
      </c>
      <c r="R54" s="43">
        <f>VLOOKUP(Olfa[[#This Row],[Código]],Projeção[#All],14,FALSE)</f>
        <v>6.1333333333333329</v>
      </c>
      <c r="S54" s="39">
        <f>IFERROR(VLOOKUP(Olfa[[#This Row],[Código]],Vendas!A50:B129,2,FALSE),0)</f>
        <v>2</v>
      </c>
      <c r="T54" s="44">
        <f>IFERROR(Olfa[[#This Row],[V. No mes]]/Olfa[[#This Row],[Proj. de V. No mes]],"")</f>
        <v>0.32608695652173914</v>
      </c>
      <c r="U54" s="43">
        <f>VLOOKUP(Olfa[[#This Row],[Código]],Projeção[#All],14,FALSE)+VLOOKUP(Olfa[[#This Row],[Código]],Projeção[#All],13,FALSE)+VLOOKUP(Olfa[[#This Row],[Código]],Projeção[#All],12,FALSE)</f>
        <v>12.9</v>
      </c>
      <c r="V54" s="39">
        <f>IFERROR(VLOOKUP(Olfa[[#This Row],[Código]],Venda_3meses[],2,FALSE),0)</f>
        <v>10</v>
      </c>
      <c r="W54" s="44">
        <f>IFERROR(Olfa[[#This Row],[V. 3 meses]]/Olfa[[#This Row],[Proj. de V. 3 meses]],"")</f>
        <v>0.77519379844961234</v>
      </c>
      <c r="X5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19.533333333333331</v>
      </c>
      <c r="Y54" s="101">
        <f>IFERROR(VLOOKUP(Olfa[[#This Row],[Código]],Venda_6meses[],2,FALSE),0)</f>
        <v>15</v>
      </c>
      <c r="Z54" s="45">
        <f>IFERROR(Olfa[[#This Row],[V. 6 meses]]/Olfa[[#This Row],[Proj. de V. 6 meses]],"")</f>
        <v>0.76791808873720147</v>
      </c>
      <c r="AA5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30.433333333333326</v>
      </c>
      <c r="AB54" s="39">
        <f>IFERROR(VLOOKUP(Olfa[[#This Row],[Código]],Venda_12meses[],2,FALSE),0)</f>
        <v>38</v>
      </c>
      <c r="AC54" s="171">
        <f>Olfa[[#This Row],[V. 12 meses]]/6</f>
        <v>6.333333333333333</v>
      </c>
      <c r="AD54" s="171">
        <f>Olfa[[#This Row],[Colunas1]]*0.2</f>
        <v>1.2666666666666666</v>
      </c>
      <c r="AE54" s="44">
        <f>IFERROR(Olfa[[#This Row],[V. 12 meses]]/Olfa[[#This Row],[Proj. de V. 12 meses]],"")</f>
        <v>1.2486308871851044</v>
      </c>
      <c r="AF54" s="22"/>
    </row>
    <row r="55" spans="1:32" hidden="1" x14ac:dyDescent="0.25">
      <c r="A55" s="22" t="s">
        <v>2129</v>
      </c>
      <c r="B55" s="22" t="str">
        <f>IF(OR(Olfa[[#This Row],[Status]]="Em linha",Olfa[[#This Row],[Status]]="Materia Prima",Olfa[[#This Row],[Status]]="Componente"),"ok",IF(Olfa[[#This Row],[Estoque+Importação]]&lt;1,"Tirar","ok"))</f>
        <v>ok</v>
      </c>
      <c r="C55" s="23">
        <v>33070614926</v>
      </c>
      <c r="D55" s="22" t="s">
        <v>663</v>
      </c>
      <c r="E55" s="22" t="str">
        <f>VLOOKUP(Olfa[[#This Row],[Código]],BD_Produto[],3,FALSE)</f>
        <v>Régua</v>
      </c>
      <c r="F55" s="22" t="str">
        <f>VLOOKUP(Olfa[[#This Row],[Código]],BD_Produto[],4,FALSE)</f>
        <v>Rotativo</v>
      </c>
      <c r="G55" s="24">
        <v>48</v>
      </c>
      <c r="H55" s="28">
        <v>636</v>
      </c>
      <c r="I55" s="22" t="s">
        <v>2849</v>
      </c>
      <c r="J55" s="24"/>
      <c r="K55" s="24"/>
      <c r="L55" s="177">
        <f>IFERROR(VLOOKUP(Olfa[[#This Row],[Código]],Saldo[],3,FALSE),0)</f>
        <v>194</v>
      </c>
      <c r="M55" s="24">
        <f>SUM(Olfa[[#This Row],[Produção]:[Estoque]])</f>
        <v>194</v>
      </c>
      <c r="N55" s="177">
        <f>IFERROR(Olfa[[#This Row],[Estoque+Importação]]/Olfa[[#This Row],[Proj. de V. No prox. mes]],"Sem Projeção")</f>
        <v>6.7361111111111107</v>
      </c>
      <c r="O55" s="177">
        <f>IF(OR(Olfa[[#This Row],[Status]]="Em Linha",Olfa[[#This Row],[Status]]="Componente",Olfa[[#This Row],[Status]]="Materia Prima"),Olfa[[#This Row],[Proj. de V. No prox. mes]]*10,"-")</f>
        <v>288</v>
      </c>
      <c r="P55" s="34">
        <f>IF(OR(Olfa[[#This Row],[Status]]="Em Linha",Olfa[[#This Row],[Status]]="Componente",Olfa[[#This Row],[Status]]="Materia Prima"),Olfa[[#This Row],[estoque 10 meses]]-Olfa[[#This Row],[Estoque+Importação]],0)</f>
        <v>94</v>
      </c>
      <c r="Q55" s="75">
        <f>Olfa[[#This Row],[Colunas1]]+Olfa[[#This Row],[Colunas2]]</f>
        <v>28.8</v>
      </c>
      <c r="R55" s="43">
        <f>VLOOKUP(Olfa[[#This Row],[Código]],Projeção[#All],14,FALSE)</f>
        <v>17.633333333333333</v>
      </c>
      <c r="S55" s="39">
        <f>IFERROR(VLOOKUP(Olfa[[#This Row],[Código]],Vendas!A51:B130,2,FALSE),0)</f>
        <v>0</v>
      </c>
      <c r="T55" s="44">
        <f>IFERROR(Olfa[[#This Row],[V. No mes]]/Olfa[[#This Row],[Proj. de V. No mes]],"")</f>
        <v>0</v>
      </c>
      <c r="U55" s="43">
        <f>VLOOKUP(Olfa[[#This Row],[Código]],Projeção[#All],14,FALSE)+VLOOKUP(Olfa[[#This Row],[Código]],Projeção[#All],13,FALSE)+VLOOKUP(Olfa[[#This Row],[Código]],Projeção[#All],12,FALSE)</f>
        <v>49.9</v>
      </c>
      <c r="V55" s="39">
        <f>IFERROR(VLOOKUP(Olfa[[#This Row],[Código]],Venda_3meses[],2,FALSE),0)</f>
        <v>47</v>
      </c>
      <c r="W55" s="44">
        <f>IFERROR(Olfa[[#This Row],[V. 3 meses]]/Olfa[[#This Row],[Proj. de V. 3 meses]],"")</f>
        <v>0.94188376753507019</v>
      </c>
      <c r="X5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90.433333333333337</v>
      </c>
      <c r="Y55" s="101">
        <f>IFERROR(VLOOKUP(Olfa[[#This Row],[Código]],Venda_6meses[],2,FALSE),0)</f>
        <v>68</v>
      </c>
      <c r="Z55" s="45">
        <f>IFERROR(Olfa[[#This Row],[V. 6 meses]]/Olfa[[#This Row],[Proj. de V. 6 meses]],"")</f>
        <v>0.75193512716549937</v>
      </c>
      <c r="AA5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197.03333333333333</v>
      </c>
      <c r="AB55" s="39">
        <f>IFERROR(VLOOKUP(Olfa[[#This Row],[Código]],Venda_12meses[],2,FALSE),0)</f>
        <v>144</v>
      </c>
      <c r="AC55" s="171">
        <f>Olfa[[#This Row],[V. 12 meses]]/6</f>
        <v>24</v>
      </c>
      <c r="AD55" s="171">
        <f>Olfa[[#This Row],[Colunas1]]*0.2</f>
        <v>4.8000000000000007</v>
      </c>
      <c r="AE55" s="44">
        <f>IFERROR(Olfa[[#This Row],[V. 12 meses]]/Olfa[[#This Row],[Proj. de V. 12 meses]],"")</f>
        <v>0.73084080527829476</v>
      </c>
      <c r="AF55" s="22"/>
    </row>
    <row r="56" spans="1:32" hidden="1" x14ac:dyDescent="0.25">
      <c r="A56" s="22" t="s">
        <v>2129</v>
      </c>
      <c r="B56" s="22" t="str">
        <f>IF(OR(Olfa[[#This Row],[Status]]="Em linha",Olfa[[#This Row],[Status]]="Materia Prima",Olfa[[#This Row],[Status]]="Componente"),"ok",IF(Olfa[[#This Row],[Estoque+Importação]]&lt;1,"Tirar","ok"))</f>
        <v>ok</v>
      </c>
      <c r="C56" s="23">
        <v>33070654001</v>
      </c>
      <c r="D56" s="22" t="s">
        <v>666</v>
      </c>
      <c r="E56" s="22" t="str">
        <f>VLOOKUP(Olfa[[#This Row],[Código]],BD_Produto[],3,FALSE)</f>
        <v>Estilete Multiuso</v>
      </c>
      <c r="F56" s="22" t="str">
        <f>VLOOKUP(Olfa[[#This Row],[Código]],BD_Produto[],4,FALSE)</f>
        <v>Multiuso</v>
      </c>
      <c r="G56" s="24">
        <v>240</v>
      </c>
      <c r="H56" s="28">
        <v>218</v>
      </c>
      <c r="I56" s="22" t="s">
        <v>2849</v>
      </c>
      <c r="J56" s="24"/>
      <c r="K56" s="24"/>
      <c r="L56" s="177">
        <f>IFERROR(VLOOKUP(Olfa[[#This Row],[Código]],Saldo[],3,FALSE),0)</f>
        <v>136</v>
      </c>
      <c r="M56" s="24">
        <f>SUM(Olfa[[#This Row],[Produção]:[Estoque]])</f>
        <v>136</v>
      </c>
      <c r="N56" s="177">
        <f>IFERROR(Olfa[[#This Row],[Estoque+Importação]]/Olfa[[#This Row],[Proj. de V. No prox. mes]],"Sem Projeção")</f>
        <v>2.1518987341772156</v>
      </c>
      <c r="O56" s="177">
        <f>IF(OR(Olfa[[#This Row],[Status]]="Em Linha",Olfa[[#This Row],[Status]]="Componente",Olfa[[#This Row],[Status]]="Materia Prima"),Olfa[[#This Row],[Proj. de V. No prox. mes]]*10,"-")</f>
        <v>632</v>
      </c>
      <c r="P56" s="34">
        <f>IF(OR(Olfa[[#This Row],[Status]]="Em Linha",Olfa[[#This Row],[Status]]="Componente",Olfa[[#This Row],[Status]]="Materia Prima"),Olfa[[#This Row],[estoque 10 meses]]-Olfa[[#This Row],[Estoque+Importação]],0)</f>
        <v>496</v>
      </c>
      <c r="Q56" s="75">
        <f>Olfa[[#This Row],[Colunas1]]+Olfa[[#This Row],[Colunas2]]</f>
        <v>63.199999999999996</v>
      </c>
      <c r="R56" s="43">
        <f>VLOOKUP(Olfa[[#This Row],[Código]],Projeção[#All],14,FALSE)</f>
        <v>30.966666666666669</v>
      </c>
      <c r="S56" s="39">
        <f>IFERROR(VLOOKUP(Olfa[[#This Row],[Código]],Vendas!A52:B131,2,FALSE),0)</f>
        <v>0</v>
      </c>
      <c r="T56" s="44">
        <f>IFERROR(Olfa[[#This Row],[V. No mes]]/Olfa[[#This Row],[Proj. de V. No mes]],"")</f>
        <v>0</v>
      </c>
      <c r="U56" s="43">
        <f>VLOOKUP(Olfa[[#This Row],[Código]],Projeção[#All],14,FALSE)+VLOOKUP(Olfa[[#This Row],[Código]],Projeção[#All],13,FALSE)+VLOOKUP(Olfa[[#This Row],[Código]],Projeção[#All],12,FALSE)</f>
        <v>81.5</v>
      </c>
      <c r="V56" s="39">
        <f>IFERROR(VLOOKUP(Olfa[[#This Row],[Código]],Venda_3meses[],2,FALSE),0)</f>
        <v>101</v>
      </c>
      <c r="W56" s="44">
        <f>IFERROR(Olfa[[#This Row],[V. 3 meses]]/Olfa[[#This Row],[Proj. de V. 3 meses]],"")</f>
        <v>1.2392638036809815</v>
      </c>
      <c r="X5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156.80000000000001</v>
      </c>
      <c r="Y56" s="101">
        <f>IFERROR(VLOOKUP(Olfa[[#This Row],[Código]],Venda_6meses[],2,FALSE),0)</f>
        <v>168</v>
      </c>
      <c r="Z56" s="45">
        <f>IFERROR(Olfa[[#This Row],[V. 6 meses]]/Olfa[[#This Row],[Proj. de V. 6 meses]],"")</f>
        <v>1.0714285714285714</v>
      </c>
      <c r="AA5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351.83333333333331</v>
      </c>
      <c r="AB56" s="39">
        <f>IFERROR(VLOOKUP(Olfa[[#This Row],[Código]],Venda_12meses[],2,FALSE),0)</f>
        <v>316</v>
      </c>
      <c r="AC56" s="171">
        <f>Olfa[[#This Row],[V. 12 meses]]/6</f>
        <v>52.666666666666664</v>
      </c>
      <c r="AD56" s="171">
        <f>Olfa[[#This Row],[Colunas1]]*0.2</f>
        <v>10.533333333333333</v>
      </c>
      <c r="AE56" s="44">
        <f>IFERROR(Olfa[[#This Row],[V. 12 meses]]/Olfa[[#This Row],[Proj. de V. 12 meses]],"")</f>
        <v>0.89815253434391285</v>
      </c>
      <c r="AF56" s="22"/>
    </row>
    <row r="57" spans="1:32" hidden="1" x14ac:dyDescent="0.25">
      <c r="A57" s="22" t="s">
        <v>2129</v>
      </c>
      <c r="B57" s="22" t="str">
        <f>IF(OR(Olfa[[#This Row],[Status]]="Em linha",Olfa[[#This Row],[Status]]="Materia Prima",Olfa[[#This Row],[Status]]="Componente"),"ok",IF(Olfa[[#This Row],[Estoque+Importação]]&lt;1,"Tirar","ok"))</f>
        <v>ok</v>
      </c>
      <c r="C57" s="23">
        <v>33070614759</v>
      </c>
      <c r="D57" s="22" t="s">
        <v>1233</v>
      </c>
      <c r="E57" s="22" t="str">
        <f>VLOOKUP(Olfa[[#This Row],[Código]],BD_Produto[],3,FALSE)</f>
        <v>Base de Corte</v>
      </c>
      <c r="F57" s="22" t="str">
        <f>VLOOKUP(Olfa[[#This Row],[Código]],BD_Produto[],4,FALSE)</f>
        <v>Rotativo</v>
      </c>
      <c r="G57" s="24">
        <v>20</v>
      </c>
      <c r="H57" s="28">
        <v>707</v>
      </c>
      <c r="I57" s="22" t="s">
        <v>2849</v>
      </c>
      <c r="J57" s="24"/>
      <c r="K57" s="24"/>
      <c r="L57" s="177">
        <f>IFERROR(VLOOKUP(Olfa[[#This Row],[Código]],Saldo[],3,FALSE),0)</f>
        <v>387</v>
      </c>
      <c r="M57" s="24">
        <f>SUM(Olfa[[#This Row],[Produção]:[Estoque]])</f>
        <v>387</v>
      </c>
      <c r="N57" s="177">
        <f>IFERROR(Olfa[[#This Row],[Estoque+Importação]]/Olfa[[#This Row],[Proj. de V. No prox. mes]],"Sem Projeção")</f>
        <v>7.1402214022140225</v>
      </c>
      <c r="O57" s="177">
        <f>IF(OR(Olfa[[#This Row],[Status]]="Em Linha",Olfa[[#This Row],[Status]]="Componente",Olfa[[#This Row],[Status]]="Materia Prima"),Olfa[[#This Row],[Proj. de V. No prox. mes]]*10,"-")</f>
        <v>542</v>
      </c>
      <c r="P57" s="34">
        <f>IF(OR(Olfa[[#This Row],[Status]]="Em Linha",Olfa[[#This Row],[Status]]="Componente",Olfa[[#This Row],[Status]]="Materia Prima"),Olfa[[#This Row],[estoque 10 meses]]-Olfa[[#This Row],[Estoque+Importação]],0)</f>
        <v>155</v>
      </c>
      <c r="Q57" s="75">
        <f>Olfa[[#This Row],[Colunas1]]+Olfa[[#This Row],[Colunas2]]</f>
        <v>54.199999999999996</v>
      </c>
      <c r="R57" s="43">
        <f>VLOOKUP(Olfa[[#This Row],[Código]],Projeção[#All],14,FALSE)</f>
        <v>44.533333333333339</v>
      </c>
      <c r="S57" s="39">
        <f>IFERROR(VLOOKUP(Olfa[[#This Row],[Código]],Vendas!A53:B132,2,FALSE),0)</f>
        <v>28</v>
      </c>
      <c r="T57" s="44">
        <f>IFERROR(Olfa[[#This Row],[V. No mes]]/Olfa[[#This Row],[Proj. de V. No mes]],"")</f>
        <v>0.62874251497005984</v>
      </c>
      <c r="U57" s="43">
        <f>VLOOKUP(Olfa[[#This Row],[Código]],Projeção[#All],14,FALSE)+VLOOKUP(Olfa[[#This Row],[Código]],Projeção[#All],13,FALSE)+VLOOKUP(Olfa[[#This Row],[Código]],Projeção[#All],12,FALSE)</f>
        <v>108.4</v>
      </c>
      <c r="V57" s="39">
        <f>IFERROR(VLOOKUP(Olfa[[#This Row],[Código]],Venda_3meses[],2,FALSE),0)</f>
        <v>95</v>
      </c>
      <c r="W57" s="44">
        <f>IFERROR(Olfa[[#This Row],[V. 3 meses]]/Olfa[[#This Row],[Proj. de V. 3 meses]],"")</f>
        <v>0.87638376383763839</v>
      </c>
      <c r="X5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192.89999999999998</v>
      </c>
      <c r="Y57" s="101">
        <f>IFERROR(VLOOKUP(Olfa[[#This Row],[Código]],Venda_6meses[],2,FALSE),0)</f>
        <v>117</v>
      </c>
      <c r="Z57" s="45">
        <f>IFERROR(Olfa[[#This Row],[V. 6 meses]]/Olfa[[#This Row],[Proj. de V. 6 meses]],"")</f>
        <v>0.6065318818040436</v>
      </c>
      <c r="AA5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420.76666666666665</v>
      </c>
      <c r="AB57" s="39">
        <f>IFERROR(VLOOKUP(Olfa[[#This Row],[Código]],Venda_12meses[],2,FALSE),0)</f>
        <v>271</v>
      </c>
      <c r="AC57" s="171">
        <f>Olfa[[#This Row],[V. 12 meses]]/6</f>
        <v>45.166666666666664</v>
      </c>
      <c r="AD57" s="171">
        <f>Olfa[[#This Row],[Colunas1]]*0.2</f>
        <v>9.0333333333333332</v>
      </c>
      <c r="AE57" s="44">
        <f>IFERROR(Olfa[[#This Row],[V. 12 meses]]/Olfa[[#This Row],[Proj. de V. 12 meses]],"")</f>
        <v>0.64406242573080885</v>
      </c>
      <c r="AF57" s="22"/>
    </row>
    <row r="58" spans="1:32" hidden="1" x14ac:dyDescent="0.25">
      <c r="A58" s="22" t="s">
        <v>2129</v>
      </c>
      <c r="B58" s="22" t="str">
        <f>IF(OR(Olfa[[#This Row],[Status]]="Em linha",Olfa[[#This Row],[Status]]="Materia Prima",Olfa[[#This Row],[Status]]="Componente"),"ok",IF(Olfa[[#This Row],[Estoque+Importação]]&lt;1,"Tirar","ok"))</f>
        <v>ok</v>
      </c>
      <c r="C58" s="23">
        <v>33070614019</v>
      </c>
      <c r="D58" s="22" t="s">
        <v>598</v>
      </c>
      <c r="E58" s="22" t="str">
        <f>VLOOKUP(Olfa[[#This Row],[Código]],BD_Produto[],3,FALSE)</f>
        <v>Estilete Rotativo</v>
      </c>
      <c r="F58" s="22" t="str">
        <f>VLOOKUP(Olfa[[#This Row],[Código]],BD_Produto[],4,FALSE)</f>
        <v>Rotativo</v>
      </c>
      <c r="G58" s="24">
        <v>120</v>
      </c>
      <c r="H58" s="28">
        <v>557</v>
      </c>
      <c r="I58" s="22" t="s">
        <v>2849</v>
      </c>
      <c r="J58" s="24"/>
      <c r="K58" s="24"/>
      <c r="L58" s="177">
        <f>IFERROR(VLOOKUP(Olfa[[#This Row],[Código]],Saldo[],3,FALSE),0)</f>
        <v>95</v>
      </c>
      <c r="M58" s="24">
        <f>SUM(Olfa[[#This Row],[Produção]:[Estoque]])</f>
        <v>95</v>
      </c>
      <c r="N58" s="177">
        <f>IFERROR(Olfa[[#This Row],[Estoque+Importação]]/Olfa[[#This Row],[Proj. de V. No prox. mes]],"Sem Projeção")</f>
        <v>3.1456953642384105</v>
      </c>
      <c r="O58" s="177">
        <f>IF(OR(Olfa[[#This Row],[Status]]="Em Linha",Olfa[[#This Row],[Status]]="Componente",Olfa[[#This Row],[Status]]="Materia Prima"),Olfa[[#This Row],[Proj. de V. No prox. mes]]*10,"-")</f>
        <v>302</v>
      </c>
      <c r="P58" s="34">
        <f>IF(OR(Olfa[[#This Row],[Status]]="Em Linha",Olfa[[#This Row],[Status]]="Componente",Olfa[[#This Row],[Status]]="Materia Prima"),Olfa[[#This Row],[estoque 10 meses]]-Olfa[[#This Row],[Estoque+Importação]],0)</f>
        <v>207</v>
      </c>
      <c r="Q58" s="75">
        <f>Olfa[[#This Row],[Colunas1]]+Olfa[[#This Row],[Colunas2]]</f>
        <v>30.200000000000003</v>
      </c>
      <c r="R58" s="43">
        <f>VLOOKUP(Olfa[[#This Row],[Código]],Projeção[#All],14,FALSE)</f>
        <v>18.100000000000001</v>
      </c>
      <c r="S58" s="39">
        <f>IFERROR(VLOOKUP(Olfa[[#This Row],[Código]],Vendas!A54:B133,2,FALSE),0)</f>
        <v>27</v>
      </c>
      <c r="T58" s="44">
        <f>IFERROR(Olfa[[#This Row],[V. No mes]]/Olfa[[#This Row],[Proj. de V. No mes]],"")</f>
        <v>1.4917127071823204</v>
      </c>
      <c r="U58" s="43">
        <f>VLOOKUP(Olfa[[#This Row],[Código]],Projeção[#All],14,FALSE)+VLOOKUP(Olfa[[#This Row],[Código]],Projeção[#All],13,FALSE)+VLOOKUP(Olfa[[#This Row],[Código]],Projeção[#All],12,FALSE)</f>
        <v>54.833333333333336</v>
      </c>
      <c r="V58" s="39">
        <f>IFERROR(VLOOKUP(Olfa[[#This Row],[Código]],Venda_3meses[],2,FALSE),0)</f>
        <v>43</v>
      </c>
      <c r="W58" s="44">
        <f>IFERROR(Olfa[[#This Row],[V. 3 meses]]/Olfa[[#This Row],[Proj. de V. 3 meses]],"")</f>
        <v>0.78419452887537988</v>
      </c>
      <c r="X5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100.73333333333333</v>
      </c>
      <c r="Y58" s="101">
        <f>IFERROR(VLOOKUP(Olfa[[#This Row],[Código]],Venda_6meses[],2,FALSE),0)</f>
        <v>71</v>
      </c>
      <c r="Z58" s="45">
        <f>IFERROR(Olfa[[#This Row],[V. 6 meses]]/Olfa[[#This Row],[Proj. de V. 6 meses]],"")</f>
        <v>0.7048312375909993</v>
      </c>
      <c r="AA5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232.13333333333335</v>
      </c>
      <c r="AB58" s="39">
        <f>IFERROR(VLOOKUP(Olfa[[#This Row],[Código]],Venda_12meses[],2,FALSE),0)</f>
        <v>151</v>
      </c>
      <c r="AC58" s="171">
        <f>Olfa[[#This Row],[V. 12 meses]]/6</f>
        <v>25.166666666666668</v>
      </c>
      <c r="AD58" s="171">
        <f>Olfa[[#This Row],[Colunas1]]*0.2</f>
        <v>5.0333333333333341</v>
      </c>
      <c r="AE58" s="44">
        <f>IFERROR(Olfa[[#This Row],[V. 12 meses]]/Olfa[[#This Row],[Proj. de V. 12 meses]],"")</f>
        <v>0.65048822515795512</v>
      </c>
      <c r="AF58" s="22"/>
    </row>
    <row r="59" spans="1:32" hidden="1" x14ac:dyDescent="0.25">
      <c r="A59" s="22" t="s">
        <v>2129</v>
      </c>
      <c r="B59" s="22" t="str">
        <f>IF(OR(Olfa[[#This Row],[Status]]="Em linha",Olfa[[#This Row],[Status]]="Materia Prima",Olfa[[#This Row],[Status]]="Componente"),"ok",IF(Olfa[[#This Row],[Estoque+Importação]]&lt;1,"Tirar","ok"))</f>
        <v>ok</v>
      </c>
      <c r="C59" s="23">
        <v>33070661131</v>
      </c>
      <c r="D59" s="22" t="s">
        <v>674</v>
      </c>
      <c r="E59" s="22" t="str">
        <f>VLOOKUP(Olfa[[#This Row],[Código]],BD_Produto[],3,FALSE)</f>
        <v>Estilete Multiuso</v>
      </c>
      <c r="F59" s="22" t="str">
        <f>VLOOKUP(Olfa[[#This Row],[Código]],BD_Produto[],4,FALSE)</f>
        <v>Multiuso</v>
      </c>
      <c r="G59" s="24">
        <v>240</v>
      </c>
      <c r="H59" s="28">
        <v>176</v>
      </c>
      <c r="I59" s="22" t="s">
        <v>2849</v>
      </c>
      <c r="J59" s="24"/>
      <c r="K59" s="24"/>
      <c r="L59" s="177">
        <f>IFERROR(VLOOKUP(Olfa[[#This Row],[Código]],Saldo[],3,FALSE),0)</f>
        <v>389</v>
      </c>
      <c r="M59" s="24">
        <f>SUM(Olfa[[#This Row],[Produção]:[Estoque]])</f>
        <v>389</v>
      </c>
      <c r="N59" s="177">
        <f>IFERROR(Olfa[[#This Row],[Estoque+Importação]]/Olfa[[#This Row],[Proj. de V. No prox. mes]],"Sem Projeção")</f>
        <v>10.513513513513514</v>
      </c>
      <c r="O59" s="177">
        <f>IF(OR(Olfa[[#This Row],[Status]]="Em Linha",Olfa[[#This Row],[Status]]="Componente",Olfa[[#This Row],[Status]]="Materia Prima"),Olfa[[#This Row],[Proj. de V. No prox. mes]]*10,"-")</f>
        <v>370</v>
      </c>
      <c r="P59" s="34">
        <f>IF(OR(Olfa[[#This Row],[Status]]="Em Linha",Olfa[[#This Row],[Status]]="Componente",Olfa[[#This Row],[Status]]="Materia Prima"),Olfa[[#This Row],[estoque 10 meses]]-Olfa[[#This Row],[Estoque+Importação]],0)</f>
        <v>-19</v>
      </c>
      <c r="Q59" s="75">
        <f>Olfa[[#This Row],[Colunas1]]+Olfa[[#This Row],[Colunas2]]</f>
        <v>37</v>
      </c>
      <c r="R59" s="43">
        <f>VLOOKUP(Olfa[[#This Row],[Código]],Projeção[#All],14,FALSE)</f>
        <v>23.266666666666666</v>
      </c>
      <c r="S59" s="39">
        <f>IFERROR(VLOOKUP(Olfa[[#This Row],[Código]],Vendas!A55:B134,2,FALSE),0)</f>
        <v>0</v>
      </c>
      <c r="T59" s="44">
        <f>IFERROR(Olfa[[#This Row],[V. No mes]]/Olfa[[#This Row],[Proj. de V. No mes]],"")</f>
        <v>0</v>
      </c>
      <c r="U59" s="43">
        <f>VLOOKUP(Olfa[[#This Row],[Código]],Projeção[#All],14,FALSE)+VLOOKUP(Olfa[[#This Row],[Código]],Projeção[#All],13,FALSE)+VLOOKUP(Olfa[[#This Row],[Código]],Projeção[#All],12,FALSE)</f>
        <v>68.533333333333331</v>
      </c>
      <c r="V59" s="39">
        <f>IFERROR(VLOOKUP(Olfa[[#This Row],[Código]],Venda_3meses[],2,FALSE),0)</f>
        <v>25</v>
      </c>
      <c r="W59" s="44">
        <f>IFERROR(Olfa[[#This Row],[V. 3 meses]]/Olfa[[#This Row],[Proj. de V. 3 meses]],"")</f>
        <v>0.36478599221789887</v>
      </c>
      <c r="X5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119.86666666666666</v>
      </c>
      <c r="Y59" s="101">
        <f>IFERROR(VLOOKUP(Olfa[[#This Row],[Código]],Venda_6meses[],2,FALSE),0)</f>
        <v>90</v>
      </c>
      <c r="Z59" s="45">
        <f>IFERROR(Olfa[[#This Row],[V. 6 meses]]/Olfa[[#This Row],[Proj. de V. 6 meses]],"")</f>
        <v>0.7508342602892103</v>
      </c>
      <c r="AA5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228.59999999999997</v>
      </c>
      <c r="AB59" s="39">
        <f>IFERROR(VLOOKUP(Olfa[[#This Row],[Código]],Venda_12meses[],2,FALSE),0)</f>
        <v>185</v>
      </c>
      <c r="AC59" s="171">
        <f>Olfa[[#This Row],[V. 12 meses]]/6</f>
        <v>30.833333333333332</v>
      </c>
      <c r="AD59" s="171">
        <f>Olfa[[#This Row],[Colunas1]]*0.2</f>
        <v>6.166666666666667</v>
      </c>
      <c r="AE59" s="44">
        <f>IFERROR(Olfa[[#This Row],[V. 12 meses]]/Olfa[[#This Row],[Proj. de V. 12 meses]],"")</f>
        <v>0.80927384076990383</v>
      </c>
      <c r="AF59" s="22"/>
    </row>
    <row r="60" spans="1:32" hidden="1" x14ac:dyDescent="0.25">
      <c r="A60" s="22" t="s">
        <v>2129</v>
      </c>
      <c r="B60" s="22" t="str">
        <f>IF(OR(Olfa[[#This Row],[Status]]="Em linha",Olfa[[#This Row],[Status]]="Materia Prima",Olfa[[#This Row],[Status]]="Componente"),"ok",IF(Olfa[[#This Row],[Estoque+Importação]]&lt;1,"Tirar","ok"))</f>
        <v>ok</v>
      </c>
      <c r="C60" s="23">
        <v>33070664314</v>
      </c>
      <c r="D60" s="22" t="s">
        <v>1168</v>
      </c>
      <c r="E60" s="22" t="str">
        <f>VLOOKUP(Olfa[[#This Row],[Código]],BD_Produto[],3,FALSE)</f>
        <v>Estilete Especial</v>
      </c>
      <c r="F60" s="22" t="str">
        <f>VLOOKUP(Olfa[[#This Row],[Código]],BD_Produto[],4,FALSE)</f>
        <v>Especial</v>
      </c>
      <c r="G60" s="24"/>
      <c r="H60" s="28">
        <v>234</v>
      </c>
      <c r="I60" s="22" t="s">
        <v>2849</v>
      </c>
      <c r="J60" s="24"/>
      <c r="K60" s="24"/>
      <c r="L60" s="177">
        <f>IFERROR(VLOOKUP(Olfa[[#This Row],[Código]],Saldo[],3,FALSE),0)</f>
        <v>234</v>
      </c>
      <c r="M60" s="24">
        <f>SUM(Olfa[[#This Row],[Produção]:[Estoque]])</f>
        <v>234</v>
      </c>
      <c r="N60" s="177">
        <f>IFERROR(Olfa[[#This Row],[Estoque+Importação]]/Olfa[[#This Row],[Proj. de V. No prox. mes]],"Sem Projeção")</f>
        <v>4.4827586206896548</v>
      </c>
      <c r="O60" s="177">
        <f>IF(OR(Olfa[[#This Row],[Status]]="Em Linha",Olfa[[#This Row],[Status]]="Componente",Olfa[[#This Row],[Status]]="Materia Prima"),Olfa[[#This Row],[Proj. de V. No prox. mes]]*10,"-")</f>
        <v>522</v>
      </c>
      <c r="P60" s="34">
        <f>IF(OR(Olfa[[#This Row],[Status]]="Em Linha",Olfa[[#This Row],[Status]]="Componente",Olfa[[#This Row],[Status]]="Materia Prima"),Olfa[[#This Row],[estoque 10 meses]]-Olfa[[#This Row],[Estoque+Importação]],0)</f>
        <v>288</v>
      </c>
      <c r="Q60" s="75">
        <f>Olfa[[#This Row],[Colunas1]]+Olfa[[#This Row],[Colunas2]]</f>
        <v>52.2</v>
      </c>
      <c r="R60" s="43">
        <f>VLOOKUP(Olfa[[#This Row],[Código]],Projeção[#All],14,FALSE)</f>
        <v>32.1</v>
      </c>
      <c r="S60" s="39">
        <f>IFERROR(VLOOKUP(Olfa[[#This Row],[Código]],Vendas!A56:B135,2,FALSE),0)</f>
        <v>0</v>
      </c>
      <c r="T60" s="44">
        <f>IFERROR(Olfa[[#This Row],[V. No mes]]/Olfa[[#This Row],[Proj. de V. No mes]],"")</f>
        <v>0</v>
      </c>
      <c r="U60" s="43">
        <f>VLOOKUP(Olfa[[#This Row],[Código]],Projeção[#All],14,FALSE)+VLOOKUP(Olfa[[#This Row],[Código]],Projeção[#All],13,FALSE)+VLOOKUP(Olfa[[#This Row],[Código]],Projeção[#All],12,FALSE)</f>
        <v>82.966666666666669</v>
      </c>
      <c r="V60" s="39">
        <f>IFERROR(VLOOKUP(Olfa[[#This Row],[Código]],Venda_3meses[],2,FALSE),0)</f>
        <v>67</v>
      </c>
      <c r="W60" s="44">
        <f>IFERROR(Olfa[[#This Row],[V. 3 meses]]/Olfa[[#This Row],[Proj. de V. 3 meses]],"")</f>
        <v>0.80755323423061465</v>
      </c>
      <c r="X6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124.86666666666666</v>
      </c>
      <c r="Y60" s="101">
        <f>IFERROR(VLOOKUP(Olfa[[#This Row],[Código]],Venda_6meses[],2,FALSE),0)</f>
        <v>73</v>
      </c>
      <c r="Z60" s="45">
        <f>IFERROR(Olfa[[#This Row],[V. 6 meses]]/Olfa[[#This Row],[Proj. de V. 6 meses]],"")</f>
        <v>0.58462359850507206</v>
      </c>
      <c r="AA6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224.93333333333331</v>
      </c>
      <c r="AB60" s="39">
        <f>IFERROR(VLOOKUP(Olfa[[#This Row],[Código]],Venda_12meses[],2,FALSE),0)</f>
        <v>261</v>
      </c>
      <c r="AC60" s="171">
        <f>Olfa[[#This Row],[V. 12 meses]]/6</f>
        <v>43.5</v>
      </c>
      <c r="AD60" s="171">
        <f>Olfa[[#This Row],[Colunas1]]*0.2</f>
        <v>8.7000000000000011</v>
      </c>
      <c r="AE60" s="44">
        <f>IFERROR(Olfa[[#This Row],[V. 12 meses]]/Olfa[[#This Row],[Proj. de V. 12 meses]],"")</f>
        <v>1.1603438055720214</v>
      </c>
      <c r="AF60" s="22"/>
    </row>
    <row r="61" spans="1:32" hidden="1" x14ac:dyDescent="0.25">
      <c r="A61" s="22" t="s">
        <v>2129</v>
      </c>
      <c r="B61" s="22" t="str">
        <f>IF(OR(Olfa[[#This Row],[Status]]="Em linha",Olfa[[#This Row],[Status]]="Materia Prima",Olfa[[#This Row],[Status]]="Componente"),"ok",IF(Olfa[[#This Row],[Estoque+Importação]]&lt;1,"Tirar","ok"))</f>
        <v>ok</v>
      </c>
      <c r="C61" s="23">
        <v>33070614906</v>
      </c>
      <c r="D61" s="22" t="s">
        <v>652</v>
      </c>
      <c r="E61" s="22" t="str">
        <f>VLOOKUP(Olfa[[#This Row],[Código]],BD_Produto[],3,FALSE)</f>
        <v>Estilete Rotativo</v>
      </c>
      <c r="F61" s="22" t="str">
        <f>VLOOKUP(Olfa[[#This Row],[Código]],BD_Produto[],4,FALSE)</f>
        <v>Rotativo</v>
      </c>
      <c r="G61" s="24">
        <v>120</v>
      </c>
      <c r="H61" s="28">
        <v>590</v>
      </c>
      <c r="I61" s="22" t="s">
        <v>2849</v>
      </c>
      <c r="J61" s="24"/>
      <c r="K61" s="24"/>
      <c r="L61" s="177">
        <f>IFERROR(VLOOKUP(Olfa[[#This Row],[Código]],Saldo[],3,FALSE),0)</f>
        <v>173</v>
      </c>
      <c r="M61" s="24">
        <f>SUM(Olfa[[#This Row],[Produção]:[Estoque]])</f>
        <v>173</v>
      </c>
      <c r="N61" s="177">
        <f>IFERROR(Olfa[[#This Row],[Estoque+Importação]]/Olfa[[#This Row],[Proj. de V. No prox. mes]],"Sem Projeção")</f>
        <v>3.3269230769230771</v>
      </c>
      <c r="O61" s="177">
        <f>IF(OR(Olfa[[#This Row],[Status]]="Em Linha",Olfa[[#This Row],[Status]]="Componente",Olfa[[#This Row],[Status]]="Materia Prima"),Olfa[[#This Row],[Proj. de V. No prox. mes]]*10,"-")</f>
        <v>520</v>
      </c>
      <c r="P61" s="34">
        <f>IF(OR(Olfa[[#This Row],[Status]]="Em Linha",Olfa[[#This Row],[Status]]="Componente",Olfa[[#This Row],[Status]]="Materia Prima"),Olfa[[#This Row],[estoque 10 meses]]-Olfa[[#This Row],[Estoque+Importação]],0)</f>
        <v>347</v>
      </c>
      <c r="Q61" s="75">
        <f>Olfa[[#This Row],[Colunas1]]+Olfa[[#This Row],[Colunas2]]</f>
        <v>52</v>
      </c>
      <c r="R61" s="43">
        <f>VLOOKUP(Olfa[[#This Row],[Código]],Projeção[#All],14,FALSE)</f>
        <v>30.033333333333328</v>
      </c>
      <c r="S61" s="39">
        <f>IFERROR(VLOOKUP(Olfa[[#This Row],[Código]],Vendas!A57:B136,2,FALSE),0)</f>
        <v>0</v>
      </c>
      <c r="T61" s="44">
        <f>IFERROR(Olfa[[#This Row],[V. No mes]]/Olfa[[#This Row],[Proj. de V. No mes]],"")</f>
        <v>0</v>
      </c>
      <c r="U61" s="43">
        <f>VLOOKUP(Olfa[[#This Row],[Código]],Projeção[#All],14,FALSE)+VLOOKUP(Olfa[[#This Row],[Código]],Projeção[#All],13,FALSE)+VLOOKUP(Olfa[[#This Row],[Código]],Projeção[#All],12,FALSE)</f>
        <v>91.133333333333326</v>
      </c>
      <c r="V61" s="39">
        <f>IFERROR(VLOOKUP(Olfa[[#This Row],[Código]],Venda_3meses[],2,FALSE),0)</f>
        <v>95</v>
      </c>
      <c r="W61" s="44">
        <f>IFERROR(Olfa[[#This Row],[V. 3 meses]]/Olfa[[#This Row],[Proj. de V. 3 meses]],"")</f>
        <v>1.0424286759326995</v>
      </c>
      <c r="X6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160.5</v>
      </c>
      <c r="Y61" s="101">
        <f>IFERROR(VLOOKUP(Olfa[[#This Row],[Código]],Venda_6meses[],2,FALSE),0)</f>
        <v>115</v>
      </c>
      <c r="Z61" s="45">
        <f>IFERROR(Olfa[[#This Row],[V. 6 meses]]/Olfa[[#This Row],[Proj. de V. 6 meses]],"")</f>
        <v>0.71651090342679125</v>
      </c>
      <c r="AA6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341.13333333333333</v>
      </c>
      <c r="AB61" s="39">
        <f>IFERROR(VLOOKUP(Olfa[[#This Row],[Código]],Venda_12meses[],2,FALSE),0)</f>
        <v>260</v>
      </c>
      <c r="AC61" s="171">
        <f>Olfa[[#This Row],[V. 12 meses]]/6</f>
        <v>43.333333333333336</v>
      </c>
      <c r="AD61" s="171">
        <f>Olfa[[#This Row],[Colunas1]]*0.2</f>
        <v>8.6666666666666679</v>
      </c>
      <c r="AE61" s="44">
        <f>IFERROR(Olfa[[#This Row],[V. 12 meses]]/Olfa[[#This Row],[Proj. de V. 12 meses]],"")</f>
        <v>0.76216533124877861</v>
      </c>
      <c r="AF61" s="22"/>
    </row>
    <row r="62" spans="1:32" hidden="1" x14ac:dyDescent="0.25">
      <c r="A62" s="22" t="s">
        <v>2129</v>
      </c>
      <c r="B62" s="22" t="str">
        <f>IF(OR(Olfa[[#This Row],[Status]]="Em linha",Olfa[[#This Row],[Status]]="Materia Prima",Olfa[[#This Row],[Status]]="Componente"),"ok",IF(Olfa[[#This Row],[Estoque+Importação]]&lt;1,"Tirar","ok"))</f>
        <v>ok</v>
      </c>
      <c r="C62" s="23">
        <v>33070614898</v>
      </c>
      <c r="D62" s="22" t="s">
        <v>651</v>
      </c>
      <c r="E62" s="22" t="str">
        <f>VLOOKUP(Olfa[[#This Row],[Código]],BD_Produto[],3,FALSE)</f>
        <v>Estojo de Lâminas</v>
      </c>
      <c r="F62" s="22" t="str">
        <f>VLOOKUP(Olfa[[#This Row],[Código]],BD_Produto[],4,FALSE)</f>
        <v>Multiuso</v>
      </c>
      <c r="G62" s="24">
        <v>240</v>
      </c>
      <c r="H62" s="28">
        <v>146</v>
      </c>
      <c r="I62" s="22" t="s">
        <v>2849</v>
      </c>
      <c r="J62" s="24"/>
      <c r="K62" s="24"/>
      <c r="L62" s="177">
        <f>IFERROR(VLOOKUP(Olfa[[#This Row],[Código]],Saldo[],3,FALSE),0)</f>
        <v>788</v>
      </c>
      <c r="M62" s="24">
        <f>SUM(Olfa[[#This Row],[Produção]:[Estoque]])</f>
        <v>788</v>
      </c>
      <c r="N62" s="177">
        <f>IFERROR(Olfa[[#This Row],[Estoque+Importação]]/Olfa[[#This Row],[Proj. de V. No prox. mes]],"Sem Projeção")</f>
        <v>9.4939759036144586</v>
      </c>
      <c r="O62" s="177">
        <f>IF(OR(Olfa[[#This Row],[Status]]="Em Linha",Olfa[[#This Row],[Status]]="Componente",Olfa[[#This Row],[Status]]="Materia Prima"),Olfa[[#This Row],[Proj. de V. No prox. mes]]*10,"-")</f>
        <v>830</v>
      </c>
      <c r="P62" s="34">
        <f>IF(OR(Olfa[[#This Row],[Status]]="Em Linha",Olfa[[#This Row],[Status]]="Componente",Olfa[[#This Row],[Status]]="Materia Prima"),Olfa[[#This Row],[estoque 10 meses]]-Olfa[[#This Row],[Estoque+Importação]],0)</f>
        <v>42</v>
      </c>
      <c r="Q62" s="75">
        <f>Olfa[[#This Row],[Colunas1]]+Olfa[[#This Row],[Colunas2]]</f>
        <v>83</v>
      </c>
      <c r="R62" s="43">
        <f>VLOOKUP(Olfa[[#This Row],[Código]],Projeção[#All],14,FALSE)</f>
        <v>49.6</v>
      </c>
      <c r="S62" s="39">
        <f>IFERROR(VLOOKUP(Olfa[[#This Row],[Código]],Vendas!A58:B137,2,FALSE),0)</f>
        <v>0</v>
      </c>
      <c r="T62" s="44">
        <f>IFERROR(Olfa[[#This Row],[V. No mes]]/Olfa[[#This Row],[Proj. de V. No mes]],"")</f>
        <v>0</v>
      </c>
      <c r="U62" s="43">
        <f>VLOOKUP(Olfa[[#This Row],[Código]],Projeção[#All],14,FALSE)+VLOOKUP(Olfa[[#This Row],[Código]],Projeção[#All],13,FALSE)+VLOOKUP(Olfa[[#This Row],[Código]],Projeção[#All],12,FALSE)</f>
        <v>105.86666666666666</v>
      </c>
      <c r="V62" s="39">
        <f>IFERROR(VLOOKUP(Olfa[[#This Row],[Código]],Venda_3meses[],2,FALSE),0)</f>
        <v>85</v>
      </c>
      <c r="W62" s="44">
        <f>IFERROR(Olfa[[#This Row],[V. 3 meses]]/Olfa[[#This Row],[Proj. de V. 3 meses]],"")</f>
        <v>0.80289672544080615</v>
      </c>
      <c r="X6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178.36666666666667</v>
      </c>
      <c r="Y62" s="101">
        <f>IFERROR(VLOOKUP(Olfa[[#This Row],[Código]],Venda_6meses[],2,FALSE),0)</f>
        <v>181</v>
      </c>
      <c r="Z62" s="45">
        <f>IFERROR(Olfa[[#This Row],[V. 6 meses]]/Olfa[[#This Row],[Proj. de V. 6 meses]],"")</f>
        <v>1.0147635955896093</v>
      </c>
      <c r="AA6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392.70000000000005</v>
      </c>
      <c r="AB62" s="39">
        <f>IFERROR(VLOOKUP(Olfa[[#This Row],[Código]],Venda_12meses[],2,FALSE),0)</f>
        <v>415</v>
      </c>
      <c r="AC62" s="171">
        <f>Olfa[[#This Row],[V. 12 meses]]/6</f>
        <v>69.166666666666671</v>
      </c>
      <c r="AD62" s="171">
        <f>Olfa[[#This Row],[Colunas1]]*0.2</f>
        <v>13.833333333333336</v>
      </c>
      <c r="AE62" s="44">
        <f>IFERROR(Olfa[[#This Row],[V. 12 meses]]/Olfa[[#This Row],[Proj. de V. 12 meses]],"")</f>
        <v>1.0567863509039979</v>
      </c>
      <c r="AF62" s="22"/>
    </row>
    <row r="63" spans="1:32" hidden="1" x14ac:dyDescent="0.25">
      <c r="A63" s="22" t="s">
        <v>2129</v>
      </c>
      <c r="B63" s="22" t="str">
        <f>IF(OR(Olfa[[#This Row],[Status]]="Em linha",Olfa[[#This Row],[Status]]="Materia Prima",Olfa[[#This Row],[Status]]="Componente"),"ok",IF(Olfa[[#This Row],[Estoque+Importação]]&lt;1,"Tirar","ok"))</f>
        <v>ok</v>
      </c>
      <c r="C63" s="23">
        <v>33070663721</v>
      </c>
      <c r="D63" s="22" t="s">
        <v>1208</v>
      </c>
      <c r="E63" s="22" t="str">
        <f>VLOOKUP(Olfa[[#This Row],[Código]],BD_Produto[],3,FALSE)</f>
        <v>Estojo de Lâminas</v>
      </c>
      <c r="F63" s="22" t="str">
        <f>VLOOKUP(Olfa[[#This Row],[Código]],BD_Produto[],4,FALSE)</f>
        <v>Especial</v>
      </c>
      <c r="G63" s="24">
        <v>240</v>
      </c>
      <c r="H63" s="28">
        <v>178</v>
      </c>
      <c r="I63" s="22" t="s">
        <v>2849</v>
      </c>
      <c r="J63" s="24"/>
      <c r="K63" s="24"/>
      <c r="L63" s="177">
        <f>IFERROR(VLOOKUP(Olfa[[#This Row],[Código]],Saldo[],3,FALSE),0)</f>
        <v>224</v>
      </c>
      <c r="M63" s="24">
        <f>SUM(Olfa[[#This Row],[Produção]:[Estoque]])</f>
        <v>224</v>
      </c>
      <c r="N63" s="177">
        <f>IFERROR(Olfa[[#This Row],[Estoque+Importação]]/Olfa[[#This Row],[Proj. de V. No prox. mes]],"Sem Projeção")</f>
        <v>3.3633633633633635</v>
      </c>
      <c r="O63" s="177">
        <f>IF(OR(Olfa[[#This Row],[Status]]="Em Linha",Olfa[[#This Row],[Status]]="Componente",Olfa[[#This Row],[Status]]="Materia Prima"),Olfa[[#This Row],[Proj. de V. No prox. mes]]*10,"-")</f>
        <v>666</v>
      </c>
      <c r="P63" s="34">
        <f>IF(OR(Olfa[[#This Row],[Status]]="Em Linha",Olfa[[#This Row],[Status]]="Componente",Olfa[[#This Row],[Status]]="Materia Prima"),Olfa[[#This Row],[estoque 10 meses]]-Olfa[[#This Row],[Estoque+Importação]],0)</f>
        <v>442</v>
      </c>
      <c r="Q63" s="75">
        <f>Olfa[[#This Row],[Colunas1]]+Olfa[[#This Row],[Colunas2]]</f>
        <v>66.599999999999994</v>
      </c>
      <c r="R63" s="43">
        <f>VLOOKUP(Olfa[[#This Row],[Código]],Projeção[#All],14,FALSE)</f>
        <v>39.133333333333326</v>
      </c>
      <c r="S63" s="39">
        <f>IFERROR(VLOOKUP(Olfa[[#This Row],[Código]],Vendas!A59:B138,2,FALSE),0)</f>
        <v>0</v>
      </c>
      <c r="T63" s="44">
        <f>IFERROR(Olfa[[#This Row],[V. No mes]]/Olfa[[#This Row],[Proj. de V. No mes]],"")</f>
        <v>0</v>
      </c>
      <c r="U63" s="43">
        <f>VLOOKUP(Olfa[[#This Row],[Código]],Projeção[#All],14,FALSE)+VLOOKUP(Olfa[[#This Row],[Código]],Projeção[#All],13,FALSE)+VLOOKUP(Olfa[[#This Row],[Código]],Projeção[#All],12,FALSE)</f>
        <v>94.666666666666657</v>
      </c>
      <c r="V63" s="39">
        <f>IFERROR(VLOOKUP(Olfa[[#This Row],[Código]],Venda_3meses[],2,FALSE),0)</f>
        <v>163</v>
      </c>
      <c r="W63" s="44">
        <f>IFERROR(Olfa[[#This Row],[V. 3 meses]]/Olfa[[#This Row],[Proj. de V. 3 meses]],"")</f>
        <v>1.7218309859154932</v>
      </c>
      <c r="X6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148.86666666666665</v>
      </c>
      <c r="Y63" s="101">
        <f>IFERROR(VLOOKUP(Olfa[[#This Row],[Código]],Venda_6meses[],2,FALSE),0)</f>
        <v>179</v>
      </c>
      <c r="Z63" s="45">
        <f>IFERROR(Olfa[[#This Row],[V. 6 meses]]/Olfa[[#This Row],[Proj. de V. 6 meses]],"")</f>
        <v>1.2024182713837888</v>
      </c>
      <c r="AA6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290.06666666666672</v>
      </c>
      <c r="AB63" s="39">
        <f>IFERROR(VLOOKUP(Olfa[[#This Row],[Código]],Venda_12meses[],2,FALSE),0)</f>
        <v>333</v>
      </c>
      <c r="AC63" s="171">
        <f>Olfa[[#This Row],[V. 12 meses]]/6</f>
        <v>55.5</v>
      </c>
      <c r="AD63" s="171">
        <f>Olfa[[#This Row],[Colunas1]]*0.2</f>
        <v>11.100000000000001</v>
      </c>
      <c r="AE63" s="44">
        <f>IFERROR(Olfa[[#This Row],[V. 12 meses]]/Olfa[[#This Row],[Proj. de V. 12 meses]],"")</f>
        <v>1.1480119512755687</v>
      </c>
      <c r="AF63" s="22"/>
    </row>
    <row r="64" spans="1:32" hidden="1" x14ac:dyDescent="0.25">
      <c r="A64" s="22" t="s">
        <v>2129</v>
      </c>
      <c r="B64" s="22" t="str">
        <f>IF(OR(Olfa[[#This Row],[Status]]="Em linha",Olfa[[#This Row],[Status]]="Materia Prima",Olfa[[#This Row],[Status]]="Componente"),"ok",IF(Olfa[[#This Row],[Estoque+Importação]]&lt;1,"Tirar","ok"))</f>
        <v>ok</v>
      </c>
      <c r="C64" s="23">
        <v>33070614907</v>
      </c>
      <c r="D64" s="22" t="s">
        <v>653</v>
      </c>
      <c r="E64" s="22" t="str">
        <f>VLOOKUP(Olfa[[#This Row],[Código]],BD_Produto[],3,FALSE)</f>
        <v>Estojo de Lâminas</v>
      </c>
      <c r="F64" s="22" t="str">
        <f>VLOOKUP(Olfa[[#This Row],[Código]],BD_Produto[],4,FALSE)</f>
        <v>Rotativo</v>
      </c>
      <c r="G64" s="24">
        <v>240</v>
      </c>
      <c r="H64" s="28">
        <v>170</v>
      </c>
      <c r="I64" s="22" t="s">
        <v>2849</v>
      </c>
      <c r="J64" s="24"/>
      <c r="K64" s="24"/>
      <c r="L64" s="177">
        <f>IFERROR(VLOOKUP(Olfa[[#This Row],[Código]],Saldo[],3,FALSE),0)</f>
        <v>190</v>
      </c>
      <c r="M64" s="24">
        <f>SUM(Olfa[[#This Row],[Produção]:[Estoque]])</f>
        <v>190</v>
      </c>
      <c r="N64" s="177">
        <f>IFERROR(Olfa[[#This Row],[Estoque+Importação]]/Olfa[[#This Row],[Proj. de V. No prox. mes]],"Sem Projeção")</f>
        <v>8.1896551724137936</v>
      </c>
      <c r="O64" s="177">
        <f>IF(OR(Olfa[[#This Row],[Status]]="Em Linha",Olfa[[#This Row],[Status]]="Componente",Olfa[[#This Row],[Status]]="Materia Prima"),Olfa[[#This Row],[Proj. de V. No prox. mes]]*10,"-")</f>
        <v>232</v>
      </c>
      <c r="P64" s="34">
        <f>IF(OR(Olfa[[#This Row],[Status]]="Em Linha",Olfa[[#This Row],[Status]]="Componente",Olfa[[#This Row],[Status]]="Materia Prima"),Olfa[[#This Row],[estoque 10 meses]]-Olfa[[#This Row],[Estoque+Importação]],0)</f>
        <v>42</v>
      </c>
      <c r="Q64" s="75">
        <f>Olfa[[#This Row],[Colunas1]]+Olfa[[#This Row],[Colunas2]]</f>
        <v>23.2</v>
      </c>
      <c r="R64" s="43">
        <f>VLOOKUP(Olfa[[#This Row],[Código]],Projeção[#All],14,FALSE)</f>
        <v>18.566666666666666</v>
      </c>
      <c r="S64" s="39">
        <f>IFERROR(VLOOKUP(Olfa[[#This Row],[Código]],Vendas!A60:B139,2,FALSE),0)</f>
        <v>0</v>
      </c>
      <c r="T64" s="44">
        <f>IFERROR(Olfa[[#This Row],[V. No mes]]/Olfa[[#This Row],[Proj. de V. No mes]],"")</f>
        <v>0</v>
      </c>
      <c r="U64" s="43">
        <f>VLOOKUP(Olfa[[#This Row],[Código]],Projeção[#All],14,FALSE)+VLOOKUP(Olfa[[#This Row],[Código]],Projeção[#All],13,FALSE)+VLOOKUP(Olfa[[#This Row],[Código]],Projeção[#All],12,FALSE)</f>
        <v>58.633333333333326</v>
      </c>
      <c r="V64" s="39">
        <f>IFERROR(VLOOKUP(Olfa[[#This Row],[Código]],Venda_3meses[],2,FALSE),0)</f>
        <v>22</v>
      </c>
      <c r="W64" s="44">
        <f>IFERROR(Olfa[[#This Row],[V. 3 meses]]/Olfa[[#This Row],[Proj. de V. 3 meses]],"")</f>
        <v>0.37521318931210917</v>
      </c>
      <c r="X6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89.266666666666666</v>
      </c>
      <c r="Y64" s="101">
        <f>IFERROR(VLOOKUP(Olfa[[#This Row],[Código]],Venda_6meses[],2,FALSE),0)</f>
        <v>23</v>
      </c>
      <c r="Z64" s="45">
        <f>IFERROR(Olfa[[#This Row],[V. 6 meses]]/Olfa[[#This Row],[Proj. de V. 6 meses]],"")</f>
        <v>0.25765496639283048</v>
      </c>
      <c r="AA6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162.53333333333333</v>
      </c>
      <c r="AB64" s="39">
        <f>IFERROR(VLOOKUP(Olfa[[#This Row],[Código]],Venda_12meses[],2,FALSE),0)</f>
        <v>116</v>
      </c>
      <c r="AC64" s="171">
        <f>Olfa[[#This Row],[V. 12 meses]]/6</f>
        <v>19.333333333333332</v>
      </c>
      <c r="AD64" s="171">
        <f>Olfa[[#This Row],[Colunas1]]*0.2</f>
        <v>3.8666666666666667</v>
      </c>
      <c r="AE64" s="44">
        <f>IFERROR(Olfa[[#This Row],[V. 12 meses]]/Olfa[[#This Row],[Proj. de V. 12 meses]],"")</f>
        <v>0.71369975389663665</v>
      </c>
      <c r="AF64" s="22"/>
    </row>
    <row r="65" spans="1:32" hidden="1" x14ac:dyDescent="0.25">
      <c r="A65" s="22" t="s">
        <v>2129</v>
      </c>
      <c r="B65" s="22" t="str">
        <f>IF(OR(Olfa[[#This Row],[Status]]="Em linha",Olfa[[#This Row],[Status]]="Materia Prima",Olfa[[#This Row],[Status]]="Componente"),"ok",IF(Olfa[[#This Row],[Estoque+Importação]]&lt;1,"Tirar","ok"))</f>
        <v>ok</v>
      </c>
      <c r="C65" s="23">
        <v>33070614757</v>
      </c>
      <c r="D65" s="22" t="s">
        <v>1220</v>
      </c>
      <c r="E65" s="22" t="str">
        <f>VLOOKUP(Olfa[[#This Row],[Código]],BD_Produto[],3,FALSE)</f>
        <v>Base de Corte</v>
      </c>
      <c r="F65" s="22" t="str">
        <f>VLOOKUP(Olfa[[#This Row],[Código]],BD_Produto[],4,FALSE)</f>
        <v>Rotativo</v>
      </c>
      <c r="G65" s="24">
        <v>10</v>
      </c>
      <c r="H65" s="28">
        <v>1373</v>
      </c>
      <c r="I65" s="22" t="s">
        <v>2849</v>
      </c>
      <c r="J65" s="24"/>
      <c r="K65" s="24"/>
      <c r="L65" s="177">
        <f>IFERROR(VLOOKUP(Olfa[[#This Row],[Código]],Saldo[],3,FALSE),0)</f>
        <v>239</v>
      </c>
      <c r="M65" s="24">
        <f>SUM(Olfa[[#This Row],[Produção]:[Estoque]])</f>
        <v>239</v>
      </c>
      <c r="N65" s="177">
        <f>IFERROR(Olfa[[#This Row],[Estoque+Importação]]/Olfa[[#This Row],[Proj. de V. No prox. mes]],"Sem Projeção")</f>
        <v>10.213675213675215</v>
      </c>
      <c r="O65" s="177">
        <f>IF(OR(Olfa[[#This Row],[Status]]="Em Linha",Olfa[[#This Row],[Status]]="Componente",Olfa[[#This Row],[Status]]="Materia Prima"),Olfa[[#This Row],[Proj. de V. No prox. mes]]*10,"-")</f>
        <v>234</v>
      </c>
      <c r="P65" s="34">
        <f>IF(OR(Olfa[[#This Row],[Status]]="Em Linha",Olfa[[#This Row],[Status]]="Componente",Olfa[[#This Row],[Status]]="Materia Prima"),Olfa[[#This Row],[estoque 10 meses]]-Olfa[[#This Row],[Estoque+Importação]],0)</f>
        <v>-5</v>
      </c>
      <c r="Q65" s="75">
        <f>Olfa[[#This Row],[Colunas1]]+Olfa[[#This Row],[Colunas2]]</f>
        <v>23.4</v>
      </c>
      <c r="R65" s="43">
        <f>VLOOKUP(Olfa[[#This Row],[Código]],Projeção[#All],14,FALSE)</f>
        <v>14.399999999999999</v>
      </c>
      <c r="S65" s="39">
        <f>IFERROR(VLOOKUP(Olfa[[#This Row],[Código]],Vendas!A61:B140,2,FALSE),0)</f>
        <v>18</v>
      </c>
      <c r="T65" s="44">
        <f>IFERROR(Olfa[[#This Row],[V. No mes]]/Olfa[[#This Row],[Proj. de V. No mes]],"")</f>
        <v>1.2500000000000002</v>
      </c>
      <c r="U65" s="43">
        <f>VLOOKUP(Olfa[[#This Row],[Código]],Projeção[#All],14,FALSE)+VLOOKUP(Olfa[[#This Row],[Código]],Projeção[#All],13,FALSE)+VLOOKUP(Olfa[[#This Row],[Código]],Projeção[#All],12,FALSE)</f>
        <v>37.93333333333333</v>
      </c>
      <c r="V65" s="39">
        <f>IFERROR(VLOOKUP(Olfa[[#This Row],[Código]],Venda_3meses[],2,FALSE),0)</f>
        <v>29</v>
      </c>
      <c r="W65" s="44">
        <f>IFERROR(Olfa[[#This Row],[V. 3 meses]]/Olfa[[#This Row],[Proj. de V. 3 meses]],"")</f>
        <v>0.76449912126537789</v>
      </c>
      <c r="X6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58.933333333333323</v>
      </c>
      <c r="Y65" s="101">
        <f>IFERROR(VLOOKUP(Olfa[[#This Row],[Código]],Venda_6meses[],2,FALSE),0)</f>
        <v>37</v>
      </c>
      <c r="Z65" s="45">
        <f>IFERROR(Olfa[[#This Row],[V. 6 meses]]/Olfa[[#This Row],[Proj. de V. 6 meses]],"")</f>
        <v>0.62782805429864263</v>
      </c>
      <c r="AA6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117.99999999999999</v>
      </c>
      <c r="AB65" s="39">
        <f>IFERROR(VLOOKUP(Olfa[[#This Row],[Código]],Venda_12meses[],2,FALSE),0)</f>
        <v>117</v>
      </c>
      <c r="AC65" s="171">
        <f>Olfa[[#This Row],[V. 12 meses]]/6</f>
        <v>19.5</v>
      </c>
      <c r="AD65" s="171">
        <f>Olfa[[#This Row],[Colunas1]]*0.2</f>
        <v>3.9000000000000004</v>
      </c>
      <c r="AE65" s="44">
        <f>IFERROR(Olfa[[#This Row],[V. 12 meses]]/Olfa[[#This Row],[Proj. de V. 12 meses]],"")</f>
        <v>0.99152542372881369</v>
      </c>
      <c r="AF65" s="22"/>
    </row>
    <row r="66" spans="1:32" hidden="1" x14ac:dyDescent="0.25">
      <c r="A66" s="22" t="s">
        <v>2129</v>
      </c>
      <c r="B66" s="22" t="str">
        <f>IF(OR(Olfa[[#This Row],[Status]]="Em linha",Olfa[[#This Row],[Status]]="Materia Prima",Olfa[[#This Row],[Status]]="Componente"),"ok",IF(Olfa[[#This Row],[Estoque+Importação]]&lt;1,"Tirar","ok"))</f>
        <v>ok</v>
      </c>
      <c r="C66" s="23">
        <v>33070614927</v>
      </c>
      <c r="D66" s="22" t="s">
        <v>664</v>
      </c>
      <c r="E66" s="22" t="str">
        <f>VLOOKUP(Olfa[[#This Row],[Código]],BD_Produto[],3,FALSE)</f>
        <v>Régua</v>
      </c>
      <c r="F66" s="22" t="str">
        <f>VLOOKUP(Olfa[[#This Row],[Código]],BD_Produto[],4,FALSE)</f>
        <v>Rotativo</v>
      </c>
      <c r="G66" s="24">
        <v>48</v>
      </c>
      <c r="H66" s="28">
        <v>448</v>
      </c>
      <c r="I66" s="22" t="s">
        <v>2849</v>
      </c>
      <c r="J66" s="24"/>
      <c r="K66" s="24"/>
      <c r="L66" s="177">
        <f>IFERROR(VLOOKUP(Olfa[[#This Row],[Código]],Saldo[],3,FALSE),0)</f>
        <v>116</v>
      </c>
      <c r="M66" s="24">
        <f>SUM(Olfa[[#This Row],[Produção]:[Estoque]])</f>
        <v>116</v>
      </c>
      <c r="N66" s="177">
        <f>IFERROR(Olfa[[#This Row],[Estoque+Importação]]/Olfa[[#This Row],[Proj. de V. No prox. mes]],"Sem Projeção")</f>
        <v>7.1604938271604945</v>
      </c>
      <c r="O66" s="177">
        <f>IF(OR(Olfa[[#This Row],[Status]]="Em Linha",Olfa[[#This Row],[Status]]="Componente",Olfa[[#This Row],[Status]]="Materia Prima"),Olfa[[#This Row],[Proj. de V. No prox. mes]]*10,"-")</f>
        <v>162</v>
      </c>
      <c r="P66" s="34">
        <f>IF(OR(Olfa[[#This Row],[Status]]="Em Linha",Olfa[[#This Row],[Status]]="Componente",Olfa[[#This Row],[Status]]="Materia Prima"),Olfa[[#This Row],[estoque 10 meses]]-Olfa[[#This Row],[Estoque+Importação]],0)</f>
        <v>46</v>
      </c>
      <c r="Q66" s="75">
        <f>Olfa[[#This Row],[Colunas1]]+Olfa[[#This Row],[Colunas2]]</f>
        <v>16.2</v>
      </c>
      <c r="R66" s="43">
        <f>VLOOKUP(Olfa[[#This Row],[Código]],Projeção[#All],14,FALSE)</f>
        <v>10.766666666666667</v>
      </c>
      <c r="S66" s="39">
        <f>IFERROR(VLOOKUP(Olfa[[#This Row],[Código]],Vendas!A62:B141,2,FALSE),0)</f>
        <v>0</v>
      </c>
      <c r="T66" s="44">
        <f>IFERROR(Olfa[[#This Row],[V. No mes]]/Olfa[[#This Row],[Proj. de V. No mes]],"")</f>
        <v>0</v>
      </c>
      <c r="U66" s="43">
        <f>VLOOKUP(Olfa[[#This Row],[Código]],Projeção[#All],14,FALSE)+VLOOKUP(Olfa[[#This Row],[Código]],Projeção[#All],13,FALSE)+VLOOKUP(Olfa[[#This Row],[Código]],Projeção[#All],12,FALSE)</f>
        <v>31.4</v>
      </c>
      <c r="V66" s="39">
        <f>IFERROR(VLOOKUP(Olfa[[#This Row],[Código]],Venda_3meses[],2,FALSE),0)</f>
        <v>16</v>
      </c>
      <c r="W66" s="44">
        <f>IFERROR(Olfa[[#This Row],[V. 3 meses]]/Olfa[[#This Row],[Proj. de V. 3 meses]],"")</f>
        <v>0.50955414012738853</v>
      </c>
      <c r="X6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47.066666666666663</v>
      </c>
      <c r="Y66" s="101">
        <f>IFERROR(VLOOKUP(Olfa[[#This Row],[Código]],Venda_6meses[],2,FALSE),0)</f>
        <v>27</v>
      </c>
      <c r="Z66" s="45">
        <f>IFERROR(Olfa[[#This Row],[V. 6 meses]]/Olfa[[#This Row],[Proj. de V. 6 meses]],"")</f>
        <v>0.57365439093484427</v>
      </c>
      <c r="AA6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113.16666666666667</v>
      </c>
      <c r="AB66" s="39">
        <f>IFERROR(VLOOKUP(Olfa[[#This Row],[Código]],Venda_12meses[],2,FALSE),0)</f>
        <v>81</v>
      </c>
      <c r="AC66" s="171">
        <f>Olfa[[#This Row],[V. 12 meses]]/6</f>
        <v>13.5</v>
      </c>
      <c r="AD66" s="171">
        <f>Olfa[[#This Row],[Colunas1]]*0.2</f>
        <v>2.7</v>
      </c>
      <c r="AE66" s="44">
        <f>IFERROR(Olfa[[#This Row],[V. 12 meses]]/Olfa[[#This Row],[Proj. de V. 12 meses]],"")</f>
        <v>0.71575846833578793</v>
      </c>
      <c r="AF66" s="22"/>
    </row>
    <row r="67" spans="1:32" hidden="1" x14ac:dyDescent="0.25">
      <c r="A67" s="22" t="s">
        <v>2129</v>
      </c>
      <c r="B67" s="22" t="str">
        <f>IF(OR(Olfa[[#This Row],[Status]]="Em linha",Olfa[[#This Row],[Status]]="Materia Prima",Olfa[[#This Row],[Status]]="Componente"),"ok",IF(Olfa[[#This Row],[Estoque+Importação]]&lt;1,"Tirar","ok"))</f>
        <v>ok</v>
      </c>
      <c r="C67" s="23">
        <v>33070663728</v>
      </c>
      <c r="D67" s="22" t="s">
        <v>1236</v>
      </c>
      <c r="E67" s="22" t="str">
        <f>VLOOKUP(Olfa[[#This Row],[Código]],BD_Produto[],3,FALSE)</f>
        <v>Estojo de Lâminas</v>
      </c>
      <c r="F67" s="22" t="str">
        <f>VLOOKUP(Olfa[[#This Row],[Código]],BD_Produto[],4,FALSE)</f>
        <v>Heavy Duty</v>
      </c>
      <c r="G67" s="24">
        <v>240</v>
      </c>
      <c r="H67" s="28">
        <v>157</v>
      </c>
      <c r="I67" s="22" t="s">
        <v>2849</v>
      </c>
      <c r="J67" s="24"/>
      <c r="K67" s="24"/>
      <c r="L67" s="177">
        <f>IFERROR(VLOOKUP(Olfa[[#This Row],[Código]],Saldo[],3,FALSE),0)</f>
        <v>2459</v>
      </c>
      <c r="M67" s="24">
        <f>SUM(Olfa[[#This Row],[Produção]:[Estoque]])</f>
        <v>2459</v>
      </c>
      <c r="N67" s="177">
        <f>IFERROR(Olfa[[#This Row],[Estoque+Importação]]/Olfa[[#This Row],[Proj. de V. No prox. mes]],"Sem Projeção")</f>
        <v>6.891816143497759</v>
      </c>
      <c r="O67" s="177">
        <f>IF(OR(Olfa[[#This Row],[Status]]="Em Linha",Olfa[[#This Row],[Status]]="Componente",Olfa[[#This Row],[Status]]="Materia Prima"),Olfa[[#This Row],[Proj. de V. No prox. mes]]*10,"-")</f>
        <v>3567.9999999999995</v>
      </c>
      <c r="P67" s="34">
        <f>IF(OR(Olfa[[#This Row],[Status]]="Em Linha",Olfa[[#This Row],[Status]]="Componente",Olfa[[#This Row],[Status]]="Materia Prima"),Olfa[[#This Row],[estoque 10 meses]]-Olfa[[#This Row],[Estoque+Importação]],0)</f>
        <v>1108.9999999999995</v>
      </c>
      <c r="Q67" s="75">
        <f>Olfa[[#This Row],[Colunas1]]+Olfa[[#This Row],[Colunas2]]</f>
        <v>356.79999999999995</v>
      </c>
      <c r="R67" s="43">
        <f>VLOOKUP(Olfa[[#This Row],[Código]],Projeção[#All],14,FALSE)</f>
        <v>184.3</v>
      </c>
      <c r="S67" s="39">
        <f>IFERROR(VLOOKUP(Olfa[[#This Row],[Código]],Vendas!A63:B142,2,FALSE),0)</f>
        <v>0</v>
      </c>
      <c r="T67" s="44">
        <f>IFERROR(Olfa[[#This Row],[V. No mes]]/Olfa[[#This Row],[Proj. de V. No mes]],"")</f>
        <v>0</v>
      </c>
      <c r="U67" s="43">
        <f>VLOOKUP(Olfa[[#This Row],[Código]],Projeção[#All],14,FALSE)+VLOOKUP(Olfa[[#This Row],[Código]],Projeção[#All],13,FALSE)+VLOOKUP(Olfa[[#This Row],[Código]],Projeção[#All],12,FALSE)</f>
        <v>466.30000000000007</v>
      </c>
      <c r="V67" s="39">
        <f>IFERROR(VLOOKUP(Olfa[[#This Row],[Código]],Venda_3meses[],2,FALSE),0)</f>
        <v>652</v>
      </c>
      <c r="W67" s="44">
        <f>IFERROR(Olfa[[#This Row],[V. 3 meses]]/Olfa[[#This Row],[Proj. de V. 3 meses]],"")</f>
        <v>1.3982414754449923</v>
      </c>
      <c r="X6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959.5</v>
      </c>
      <c r="Y67" s="101">
        <f>IFERROR(VLOOKUP(Olfa[[#This Row],[Código]],Venda_6meses[],2,FALSE),0)</f>
        <v>1006</v>
      </c>
      <c r="Z67" s="45">
        <f>IFERROR(Olfa[[#This Row],[V. 6 meses]]/Olfa[[#This Row],[Proj. de V. 6 meses]],"")</f>
        <v>1.0484627410109433</v>
      </c>
      <c r="AA6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2093.666666666667</v>
      </c>
      <c r="AB67" s="39">
        <f>IFERROR(VLOOKUP(Olfa[[#This Row],[Código]],Venda_12meses[],2,FALSE),0)</f>
        <v>1784</v>
      </c>
      <c r="AC67" s="171">
        <f>Olfa[[#This Row],[V. 12 meses]]/6</f>
        <v>297.33333333333331</v>
      </c>
      <c r="AD67" s="171">
        <f>Olfa[[#This Row],[Colunas1]]*0.2</f>
        <v>59.466666666666669</v>
      </c>
      <c r="AE67" s="44">
        <f>IFERROR(Olfa[[#This Row],[V. 12 meses]]/Olfa[[#This Row],[Proj. de V. 12 meses]],"")</f>
        <v>0.85209361566629505</v>
      </c>
      <c r="AF67" s="22" t="s">
        <v>1667</v>
      </c>
    </row>
    <row r="68" spans="1:32" hidden="1" x14ac:dyDescent="0.25">
      <c r="A68" s="22" t="s">
        <v>2129</v>
      </c>
      <c r="B68" s="22" t="str">
        <f>IF(OR(Olfa[[#This Row],[Status]]="Em linha",Olfa[[#This Row],[Status]]="Materia Prima",Olfa[[#This Row],[Status]]="Componente"),"ok",IF(Olfa[[#This Row],[Estoque+Importação]]&lt;1,"Tirar","ok"))</f>
        <v>ok</v>
      </c>
      <c r="C68" s="23">
        <v>33070662972</v>
      </c>
      <c r="D68" s="22" t="s">
        <v>681</v>
      </c>
      <c r="E68" s="22" t="str">
        <f>VLOOKUP(Olfa[[#This Row],[Código]],BD_Produto[],3,FALSE)</f>
        <v>Estojo de Lâminas</v>
      </c>
      <c r="F68" s="22" t="str">
        <f>VLOOKUP(Olfa[[#This Row],[Código]],BD_Produto[],4,FALSE)</f>
        <v>Segurança</v>
      </c>
      <c r="G68" s="24">
        <v>240</v>
      </c>
      <c r="H68" s="28">
        <v>140</v>
      </c>
      <c r="I68" s="22" t="s">
        <v>2849</v>
      </c>
      <c r="J68" s="98"/>
      <c r="K68" s="24"/>
      <c r="L68" s="177">
        <f>IFERROR(VLOOKUP(Olfa[[#This Row],[Código]],Saldo[],3,FALSE),0)</f>
        <v>316</v>
      </c>
      <c r="M68" s="24">
        <f>SUM(Olfa[[#This Row],[Produção]:[Estoque]])</f>
        <v>316</v>
      </c>
      <c r="N68" s="177">
        <f>IFERROR(Olfa[[#This Row],[Estoque+Importação]]/Olfa[[#This Row],[Proj. de V. No prox. mes]],"Sem Projeção")</f>
        <v>9.1329479768786115</v>
      </c>
      <c r="O68" s="177">
        <f>IF(OR(Olfa[[#This Row],[Status]]="Em Linha",Olfa[[#This Row],[Status]]="Componente",Olfa[[#This Row],[Status]]="Materia Prima"),Olfa[[#This Row],[Proj. de V. No prox. mes]]*10,"-")</f>
        <v>346</v>
      </c>
      <c r="P68" s="34">
        <f>IF(OR(Olfa[[#This Row],[Status]]="Em Linha",Olfa[[#This Row],[Status]]="Componente",Olfa[[#This Row],[Status]]="Materia Prima"),Olfa[[#This Row],[estoque 10 meses]]-Olfa[[#This Row],[Estoque+Importação]],0)</f>
        <v>30</v>
      </c>
      <c r="Q68" s="75">
        <f>Olfa[[#This Row],[Colunas1]]+Olfa[[#This Row],[Colunas2]]</f>
        <v>34.6</v>
      </c>
      <c r="R68" s="43">
        <f>VLOOKUP(Olfa[[#This Row],[Código]],Projeção[#All],14,FALSE)</f>
        <v>0.46666666666666667</v>
      </c>
      <c r="S68" s="39">
        <f>IFERROR(VLOOKUP(Olfa[[#This Row],[Código]],Vendas!A64:B143,2,FALSE),0)</f>
        <v>0</v>
      </c>
      <c r="T68" s="44">
        <f>IFERROR(Olfa[[#This Row],[V. No mes]]/Olfa[[#This Row],[Proj. de V. No mes]],"")</f>
        <v>0</v>
      </c>
      <c r="U68" s="43">
        <f>VLOOKUP(Olfa[[#This Row],[Código]],Projeção[#All],14,FALSE)+VLOOKUP(Olfa[[#This Row],[Código]],Projeção[#All],13,FALSE)+VLOOKUP(Olfa[[#This Row],[Código]],Projeção[#All],12,FALSE)</f>
        <v>1.2666666666666666</v>
      </c>
      <c r="V68" s="39">
        <f>IFERROR(VLOOKUP(Olfa[[#This Row],[Código]],Venda_3meses[],2,FALSE),0)</f>
        <v>3</v>
      </c>
      <c r="W68" s="44">
        <f>IFERROR(Olfa[[#This Row],[V. 3 meses]]/Olfa[[#This Row],[Proj. de V. 3 meses]],"")</f>
        <v>2.3684210526315792</v>
      </c>
      <c r="X6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1.2666666666666666</v>
      </c>
      <c r="Y68" s="101">
        <f>IFERROR(VLOOKUP(Olfa[[#This Row],[Código]],Venda_6meses[],2,FALSE),0)</f>
        <v>75</v>
      </c>
      <c r="Z68" s="45">
        <f>IFERROR(Olfa[[#This Row],[V. 6 meses]]/Olfa[[#This Row],[Proj. de V. 6 meses]],"")</f>
        <v>59.21052631578948</v>
      </c>
      <c r="AA6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1.2666666666666666</v>
      </c>
      <c r="AB68" s="39">
        <f>IFERROR(VLOOKUP(Olfa[[#This Row],[Código]],Venda_12meses[],2,FALSE),0)</f>
        <v>173</v>
      </c>
      <c r="AC68" s="171">
        <f>Olfa[[#This Row],[V. 12 meses]]/6</f>
        <v>28.833333333333332</v>
      </c>
      <c r="AD68" s="171">
        <f>Olfa[[#This Row],[Colunas1]]*0.2</f>
        <v>5.7666666666666666</v>
      </c>
      <c r="AE68" s="44">
        <f>IFERROR(Olfa[[#This Row],[V. 12 meses]]/Olfa[[#This Row],[Proj. de V. 12 meses]],"")</f>
        <v>136.57894736842107</v>
      </c>
      <c r="AF68" s="22"/>
    </row>
    <row r="69" spans="1:32" hidden="1" x14ac:dyDescent="0.25">
      <c r="A69" s="22" t="s">
        <v>2129</v>
      </c>
      <c r="B69" s="22" t="str">
        <f>IF(OR(Olfa[[#This Row],[Status]]="Em linha",Olfa[[#This Row],[Status]]="Materia Prima",Olfa[[#This Row],[Status]]="Componente"),"ok",IF(Olfa[[#This Row],[Estoque+Importação]]&lt;1,"Tirar","ok"))</f>
        <v>ok</v>
      </c>
      <c r="C69" s="23">
        <v>33070614923</v>
      </c>
      <c r="D69" s="22" t="s">
        <v>660</v>
      </c>
      <c r="E69" s="22" t="str">
        <f>VLOOKUP(Olfa[[#This Row],[Código]],BD_Produto[],3,FALSE)</f>
        <v>Régua</v>
      </c>
      <c r="F69" s="22" t="str">
        <f>VLOOKUP(Olfa[[#This Row],[Código]],BD_Produto[],4,FALSE)</f>
        <v>Rotativo</v>
      </c>
      <c r="G69" s="24">
        <v>48</v>
      </c>
      <c r="H69" s="28">
        <v>636</v>
      </c>
      <c r="I69" s="22" t="s">
        <v>2849</v>
      </c>
      <c r="J69" s="24"/>
      <c r="K69" s="24"/>
      <c r="L69" s="177">
        <f>IFERROR(VLOOKUP(Olfa[[#This Row],[Código]],Saldo[],3,FALSE),0)</f>
        <v>111</v>
      </c>
      <c r="M69" s="24">
        <f>SUM(Olfa[[#This Row],[Produção]:[Estoque]])</f>
        <v>111</v>
      </c>
      <c r="N69" s="177">
        <f>IFERROR(Olfa[[#This Row],[Estoque+Importação]]/Olfa[[#This Row],[Proj. de V. No prox. mes]],"Sem Projeção")</f>
        <v>7.2077922077922079</v>
      </c>
      <c r="O69" s="177">
        <f>IF(OR(Olfa[[#This Row],[Status]]="Em Linha",Olfa[[#This Row],[Status]]="Componente",Olfa[[#This Row],[Status]]="Materia Prima"),Olfa[[#This Row],[Proj. de V. No prox. mes]]*10,"-")</f>
        <v>154</v>
      </c>
      <c r="P69" s="34">
        <f>IF(OR(Olfa[[#This Row],[Status]]="Em Linha",Olfa[[#This Row],[Status]]="Componente",Olfa[[#This Row],[Status]]="Materia Prima"),Olfa[[#This Row],[estoque 10 meses]]-Olfa[[#This Row],[Estoque+Importação]],0)</f>
        <v>43</v>
      </c>
      <c r="Q69" s="75">
        <f>Olfa[[#This Row],[Colunas1]]+Olfa[[#This Row],[Colunas2]]</f>
        <v>15.4</v>
      </c>
      <c r="R69" s="43">
        <f>VLOOKUP(Olfa[[#This Row],[Código]],Projeção[#All],14,FALSE)</f>
        <v>9.9333333333333318</v>
      </c>
      <c r="S69" s="39">
        <f>IFERROR(VLOOKUP(Olfa[[#This Row],[Código]],Vendas!A65:B144,2,FALSE),0)</f>
        <v>0</v>
      </c>
      <c r="T69" s="44">
        <f>IFERROR(Olfa[[#This Row],[V. No mes]]/Olfa[[#This Row],[Proj. de V. No mes]],"")</f>
        <v>0</v>
      </c>
      <c r="U69" s="43">
        <f>VLOOKUP(Olfa[[#This Row],[Código]],Projeção[#All],14,FALSE)+VLOOKUP(Olfa[[#This Row],[Código]],Projeção[#All],13,FALSE)+VLOOKUP(Olfa[[#This Row],[Código]],Projeção[#All],12,FALSE)</f>
        <v>27.033333333333331</v>
      </c>
      <c r="V69" s="39">
        <f>IFERROR(VLOOKUP(Olfa[[#This Row],[Código]],Venda_3meses[],2,FALSE),0)</f>
        <v>21</v>
      </c>
      <c r="W69" s="44">
        <f>IFERROR(Olfa[[#This Row],[V. 3 meses]]/Olfa[[#This Row],[Proj. de V. 3 meses]],"")</f>
        <v>0.77681874229346493</v>
      </c>
      <c r="X6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39.666666666666664</v>
      </c>
      <c r="Y69" s="101">
        <f>IFERROR(VLOOKUP(Olfa[[#This Row],[Código]],Venda_6meses[],2,FALSE),0)</f>
        <v>22</v>
      </c>
      <c r="Z69" s="45">
        <f>IFERROR(Olfa[[#This Row],[V. 6 meses]]/Olfa[[#This Row],[Proj. de V. 6 meses]],"")</f>
        <v>0.55462184873949583</v>
      </c>
      <c r="AA6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82.466666666666669</v>
      </c>
      <c r="AB69" s="39">
        <f>IFERROR(VLOOKUP(Olfa[[#This Row],[Código]],Venda_12meses[],2,FALSE),0)</f>
        <v>77</v>
      </c>
      <c r="AC69" s="171">
        <f>Olfa[[#This Row],[V. 12 meses]]/6</f>
        <v>12.833333333333334</v>
      </c>
      <c r="AD69" s="171">
        <f>Olfa[[#This Row],[Colunas1]]*0.2</f>
        <v>2.5666666666666669</v>
      </c>
      <c r="AE69" s="44">
        <f>IFERROR(Olfa[[#This Row],[V. 12 meses]]/Olfa[[#This Row],[Proj. de V. 12 meses]],"")</f>
        <v>0.9337105901374293</v>
      </c>
      <c r="AF69" s="22"/>
    </row>
    <row r="70" spans="1:32" hidden="1" x14ac:dyDescent="0.25">
      <c r="A70" s="22" t="s">
        <v>2129</v>
      </c>
      <c r="B70" s="22" t="str">
        <f>IF(OR(Olfa[[#This Row],[Status]]="Em linha",Olfa[[#This Row],[Status]]="Materia Prima",Olfa[[#This Row],[Status]]="Componente"),"ok",IF(Olfa[[#This Row],[Estoque+Importação]]&lt;1,"Tirar","ok"))</f>
        <v>ok</v>
      </c>
      <c r="C70" s="23">
        <v>33070614730</v>
      </c>
      <c r="D70" s="22" t="s">
        <v>619</v>
      </c>
      <c r="E70" s="22" t="str">
        <f>VLOOKUP(Olfa[[#This Row],[Código]],BD_Produto[],3,FALSE)</f>
        <v>Estilete Especial</v>
      </c>
      <c r="F70" s="22" t="str">
        <f>VLOOKUP(Olfa[[#This Row],[Código]],BD_Produto[],4,FALSE)</f>
        <v>Especial</v>
      </c>
      <c r="G70" s="24">
        <v>240</v>
      </c>
      <c r="H70" s="28">
        <v>134</v>
      </c>
      <c r="I70" s="22" t="s">
        <v>2849</v>
      </c>
      <c r="J70" s="24"/>
      <c r="K70" s="24"/>
      <c r="L70" s="177">
        <f>IFERROR(VLOOKUP(Olfa[[#This Row],[Código]],Saldo[],3,FALSE),0)</f>
        <v>154</v>
      </c>
      <c r="M70" s="24">
        <f>SUM(Olfa[[#This Row],[Produção]:[Estoque]])</f>
        <v>154</v>
      </c>
      <c r="N70" s="177">
        <f>IFERROR(Olfa[[#This Row],[Estoque+Importação]]/Olfa[[#This Row],[Proj. de V. No prox. mes]],"Sem Projeção")</f>
        <v>6.8749999999999991</v>
      </c>
      <c r="O70" s="177">
        <f>IF(OR(Olfa[[#This Row],[Status]]="Em Linha",Olfa[[#This Row],[Status]]="Componente",Olfa[[#This Row],[Status]]="Materia Prima"),Olfa[[#This Row],[Proj. de V. No prox. mes]]*10,"-")</f>
        <v>224.00000000000003</v>
      </c>
      <c r="P70" s="34">
        <f>IF(OR(Olfa[[#This Row],[Status]]="Em Linha",Olfa[[#This Row],[Status]]="Componente",Olfa[[#This Row],[Status]]="Materia Prima"),Olfa[[#This Row],[estoque 10 meses]]-Olfa[[#This Row],[Estoque+Importação]],0)</f>
        <v>70.000000000000028</v>
      </c>
      <c r="Q70" s="75">
        <f>Olfa[[#This Row],[Colunas1]]+Olfa[[#This Row],[Colunas2]]</f>
        <v>22.400000000000002</v>
      </c>
      <c r="R70" s="43">
        <f>VLOOKUP(Olfa[[#This Row],[Código]],Projeção[#All],14,FALSE)</f>
        <v>15.566666666666665</v>
      </c>
      <c r="S70" s="39">
        <f>IFERROR(VLOOKUP(Olfa[[#This Row],[Código]],Vendas!A66:B145,2,FALSE),0)</f>
        <v>25</v>
      </c>
      <c r="T70" s="44">
        <f>IFERROR(Olfa[[#This Row],[V. No mes]]/Olfa[[#This Row],[Proj. de V. No mes]],"")</f>
        <v>1.6059957173447539</v>
      </c>
      <c r="U70" s="43">
        <f>VLOOKUP(Olfa[[#This Row],[Código]],Projeção[#All],14,FALSE)+VLOOKUP(Olfa[[#This Row],[Código]],Projeção[#All],13,FALSE)+VLOOKUP(Olfa[[#This Row],[Código]],Projeção[#All],12,FALSE)</f>
        <v>35.766666666666666</v>
      </c>
      <c r="V70" s="39">
        <f>IFERROR(VLOOKUP(Olfa[[#This Row],[Código]],Venda_3meses[],2,FALSE),0)</f>
        <v>51</v>
      </c>
      <c r="W70" s="44">
        <f>IFERROR(Olfa[[#This Row],[V. 3 meses]]/Olfa[[#This Row],[Proj. de V. 3 meses]],"")</f>
        <v>1.4259086672879777</v>
      </c>
      <c r="X7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65.86666666666666</v>
      </c>
      <c r="Y70" s="101">
        <f>IFERROR(VLOOKUP(Olfa[[#This Row],[Código]],Venda_6meses[],2,FALSE),0)</f>
        <v>57</v>
      </c>
      <c r="Z70" s="45">
        <f>IFERROR(Olfa[[#This Row],[V. 6 meses]]/Olfa[[#This Row],[Proj. de V. 6 meses]],"")</f>
        <v>0.86538461538461542</v>
      </c>
      <c r="AA7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161.96666666666664</v>
      </c>
      <c r="AB70" s="39">
        <f>IFERROR(VLOOKUP(Olfa[[#This Row],[Código]],Venda_12meses[],2,FALSE),0)</f>
        <v>112</v>
      </c>
      <c r="AC70" s="171">
        <f>Olfa[[#This Row],[V. 12 meses]]/6</f>
        <v>18.666666666666668</v>
      </c>
      <c r="AD70" s="171">
        <f>Olfa[[#This Row],[Colunas1]]*0.2</f>
        <v>3.7333333333333338</v>
      </c>
      <c r="AE70" s="44">
        <f>IFERROR(Olfa[[#This Row],[V. 12 meses]]/Olfa[[#This Row],[Proj. de V. 12 meses]],"")</f>
        <v>0.69150030870549506</v>
      </c>
      <c r="AF70" s="22"/>
    </row>
    <row r="71" spans="1:32" hidden="1" x14ac:dyDescent="0.25">
      <c r="A71" s="22" t="s">
        <v>2129</v>
      </c>
      <c r="B71" s="22" t="str">
        <f>IF(OR(Olfa[[#This Row],[Status]]="Em linha",Olfa[[#This Row],[Status]]="Materia Prima",Olfa[[#This Row],[Status]]="Componente"),"ok",IF(Olfa[[#This Row],[Estoque+Importação]]&lt;1,"Tirar","ok"))</f>
        <v>ok</v>
      </c>
      <c r="C71" s="23">
        <v>33070661635</v>
      </c>
      <c r="D71" s="22" t="s">
        <v>677</v>
      </c>
      <c r="E71" s="22" t="str">
        <f>VLOOKUP(Olfa[[#This Row],[Código]],BD_Produto[],3,FALSE)</f>
        <v>Estilete Multiuso</v>
      </c>
      <c r="F71" s="22" t="str">
        <f>VLOOKUP(Olfa[[#This Row],[Código]],BD_Produto[],4,FALSE)</f>
        <v>Multiuso</v>
      </c>
      <c r="G71" s="24">
        <v>240</v>
      </c>
      <c r="H71" s="28">
        <v>198</v>
      </c>
      <c r="I71" s="22" t="s">
        <v>2849</v>
      </c>
      <c r="J71" s="24"/>
      <c r="K71" s="24"/>
      <c r="L71" s="177">
        <f>IFERROR(VLOOKUP(Olfa[[#This Row],[Código]],Saldo[],3,FALSE),0)</f>
        <v>172</v>
      </c>
      <c r="M71" s="24">
        <f>SUM(Olfa[[#This Row],[Produção]:[Estoque]])</f>
        <v>172</v>
      </c>
      <c r="N71" s="177">
        <f>IFERROR(Olfa[[#This Row],[Estoque+Importação]]/Olfa[[#This Row],[Proj. de V. No prox. mes]],"Sem Projeção")</f>
        <v>9.3478260869565215</v>
      </c>
      <c r="O71" s="177">
        <f>IF(OR(Olfa[[#This Row],[Status]]="Em Linha",Olfa[[#This Row],[Status]]="Componente",Olfa[[#This Row],[Status]]="Materia Prima"),Olfa[[#This Row],[Proj. de V. No prox. mes]]*10,"-")</f>
        <v>184.00000000000003</v>
      </c>
      <c r="P71" s="34">
        <f>IF(OR(Olfa[[#This Row],[Status]]="Em Linha",Olfa[[#This Row],[Status]]="Componente",Olfa[[#This Row],[Status]]="Materia Prima"),Olfa[[#This Row],[estoque 10 meses]]-Olfa[[#This Row],[Estoque+Importação]],0)</f>
        <v>12.000000000000028</v>
      </c>
      <c r="Q71" s="75">
        <f>Olfa[[#This Row],[Colunas1]]+Olfa[[#This Row],[Colunas2]]</f>
        <v>18.400000000000002</v>
      </c>
      <c r="R71" s="43">
        <f>VLOOKUP(Olfa[[#This Row],[Código]],Projeção[#All],14,FALSE)</f>
        <v>14.1</v>
      </c>
      <c r="S71" s="39">
        <f>IFERROR(VLOOKUP(Olfa[[#This Row],[Código]],Vendas!A67:B146,2,FALSE),0)</f>
        <v>0</v>
      </c>
      <c r="T71" s="44">
        <f>IFERROR(Olfa[[#This Row],[V. No mes]]/Olfa[[#This Row],[Proj. de V. No mes]],"")</f>
        <v>0</v>
      </c>
      <c r="U71" s="43">
        <f>VLOOKUP(Olfa[[#This Row],[Código]],Projeção[#All],14,FALSE)+VLOOKUP(Olfa[[#This Row],[Código]],Projeção[#All],13,FALSE)+VLOOKUP(Olfa[[#This Row],[Código]],Projeção[#All],12,FALSE)</f>
        <v>31.366666666666667</v>
      </c>
      <c r="V71" s="39">
        <f>IFERROR(VLOOKUP(Olfa[[#This Row],[Código]],Venda_3meses[],2,FALSE),0)</f>
        <v>29</v>
      </c>
      <c r="W71" s="44">
        <f>IFERROR(Olfa[[#This Row],[V. 3 meses]]/Olfa[[#This Row],[Proj. de V. 3 meses]],"")</f>
        <v>0.924548352816153</v>
      </c>
      <c r="X7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54.466666666666669</v>
      </c>
      <c r="Y71" s="101">
        <f>IFERROR(VLOOKUP(Olfa[[#This Row],[Código]],Venda_6meses[],2,FALSE),0)</f>
        <v>29</v>
      </c>
      <c r="Z71" s="45">
        <f>IFERROR(Olfa[[#This Row],[V. 6 meses]]/Olfa[[#This Row],[Proj. de V. 6 meses]],"")</f>
        <v>0.53243574051407583</v>
      </c>
      <c r="AA7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89.033333333333346</v>
      </c>
      <c r="AB71" s="39">
        <f>IFERROR(VLOOKUP(Olfa[[#This Row],[Código]],Venda_12meses[],2,FALSE),0)</f>
        <v>92</v>
      </c>
      <c r="AC71" s="171">
        <f>Olfa[[#This Row],[V. 12 meses]]/6</f>
        <v>15.333333333333334</v>
      </c>
      <c r="AD71" s="171">
        <f>Olfa[[#This Row],[Colunas1]]*0.2</f>
        <v>3.0666666666666669</v>
      </c>
      <c r="AE71" s="44">
        <f>IFERROR(Olfa[[#This Row],[V. 12 meses]]/Olfa[[#This Row],[Proj. de V. 12 meses]],"")</f>
        <v>1.0333208536128788</v>
      </c>
      <c r="AF71" s="22"/>
    </row>
    <row r="72" spans="1:32" hidden="1" x14ac:dyDescent="0.25">
      <c r="A72" s="22" t="s">
        <v>2129</v>
      </c>
      <c r="B72" s="22" t="str">
        <f>IF(OR(Olfa[[#This Row],[Status]]="Em linha",Olfa[[#This Row],[Status]]="Materia Prima",Olfa[[#This Row],[Status]]="Componente"),"ok",IF(Olfa[[#This Row],[Estoque+Importação]]&lt;1,"Tirar","ok"))</f>
        <v>ok</v>
      </c>
      <c r="C72" s="23">
        <v>33070614758</v>
      </c>
      <c r="D72" s="22" t="s">
        <v>1228</v>
      </c>
      <c r="E72" s="22" t="str">
        <f>VLOOKUP(Olfa[[#This Row],[Código]],BD_Produto[],3,FALSE)</f>
        <v>Base de Corte</v>
      </c>
      <c r="F72" s="22" t="str">
        <f>VLOOKUP(Olfa[[#This Row],[Código]],BD_Produto[],4,FALSE)</f>
        <v>Rotativo</v>
      </c>
      <c r="G72" s="24">
        <v>40</v>
      </c>
      <c r="H72" s="28">
        <v>364</v>
      </c>
      <c r="I72" s="22" t="s">
        <v>2849</v>
      </c>
      <c r="J72" s="24"/>
      <c r="K72" s="24"/>
      <c r="L72" s="177">
        <f>IFERROR(VLOOKUP(Olfa[[#This Row],[Código]],Saldo[],3,FALSE),0)</f>
        <v>378</v>
      </c>
      <c r="M72" s="24">
        <f>SUM(Olfa[[#This Row],[Produção]:[Estoque]])</f>
        <v>378</v>
      </c>
      <c r="N72" s="177">
        <f>IFERROR(Olfa[[#This Row],[Estoque+Importação]]/Olfa[[#This Row],[Proj. de V. No prox. mes]],"Sem Projeção")</f>
        <v>11.595092024539877</v>
      </c>
      <c r="O72" s="177">
        <f>IF(OR(Olfa[[#This Row],[Status]]="Em Linha",Olfa[[#This Row],[Status]]="Componente",Olfa[[#This Row],[Status]]="Materia Prima"),Olfa[[#This Row],[Proj. de V. No prox. mes]]*10,"-")</f>
        <v>326</v>
      </c>
      <c r="P72" s="34">
        <f>IF(OR(Olfa[[#This Row],[Status]]="Em Linha",Olfa[[#This Row],[Status]]="Componente",Olfa[[#This Row],[Status]]="Materia Prima"),Olfa[[#This Row],[estoque 10 meses]]-Olfa[[#This Row],[Estoque+Importação]],0)</f>
        <v>-52</v>
      </c>
      <c r="Q72" s="75">
        <f>Olfa[[#This Row],[Colunas1]]+Olfa[[#This Row],[Colunas2]]</f>
        <v>32.6</v>
      </c>
      <c r="R72" s="43">
        <f>VLOOKUP(Olfa[[#This Row],[Código]],Projeção[#All],14,FALSE)</f>
        <v>26.099999999999998</v>
      </c>
      <c r="S72" s="39">
        <f>IFERROR(VLOOKUP(Olfa[[#This Row],[Código]],Vendas!A68:B147,2,FALSE),0)</f>
        <v>9</v>
      </c>
      <c r="T72" s="44">
        <f>IFERROR(Olfa[[#This Row],[V. No mes]]/Olfa[[#This Row],[Proj. de V. No mes]],"")</f>
        <v>0.34482758620689657</v>
      </c>
      <c r="U72" s="43">
        <f>VLOOKUP(Olfa[[#This Row],[Código]],Projeção[#All],14,FALSE)+VLOOKUP(Olfa[[#This Row],[Código]],Projeção[#All],13,FALSE)+VLOOKUP(Olfa[[#This Row],[Código]],Projeção[#All],12,FALSE)</f>
        <v>62.699999999999989</v>
      </c>
      <c r="V72" s="39">
        <f>IFERROR(VLOOKUP(Olfa[[#This Row],[Código]],Venda_3meses[],2,FALSE),0)</f>
        <v>36</v>
      </c>
      <c r="W72" s="44">
        <f>IFERROR(Olfa[[#This Row],[V. 3 meses]]/Olfa[[#This Row],[Proj. de V. 3 meses]],"")</f>
        <v>0.57416267942583743</v>
      </c>
      <c r="X7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105.36666666666666</v>
      </c>
      <c r="Y72" s="101">
        <f>IFERROR(VLOOKUP(Olfa[[#This Row],[Código]],Venda_6meses[],2,FALSE),0)</f>
        <v>57</v>
      </c>
      <c r="Z72" s="45">
        <f>IFERROR(Olfa[[#This Row],[V. 6 meses]]/Olfa[[#This Row],[Proj. de V. 6 meses]],"")</f>
        <v>0.5409680480860487</v>
      </c>
      <c r="AA7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257.33333333333331</v>
      </c>
      <c r="AB72" s="39">
        <f>IFERROR(VLOOKUP(Olfa[[#This Row],[Código]],Venda_12meses[],2,FALSE),0)</f>
        <v>163</v>
      </c>
      <c r="AC72" s="171">
        <f>Olfa[[#This Row],[V. 12 meses]]/6</f>
        <v>27.166666666666668</v>
      </c>
      <c r="AD72" s="171">
        <f>Olfa[[#This Row],[Colunas1]]*0.2</f>
        <v>5.4333333333333336</v>
      </c>
      <c r="AE72" s="44">
        <f>IFERROR(Olfa[[#This Row],[V. 12 meses]]/Olfa[[#This Row],[Proj. de V. 12 meses]],"")</f>
        <v>0.63341968911917101</v>
      </c>
      <c r="AF72" s="22"/>
    </row>
    <row r="73" spans="1:32" hidden="1" x14ac:dyDescent="0.25">
      <c r="A73" s="22" t="s">
        <v>2129</v>
      </c>
      <c r="B73" s="22" t="str">
        <f>IF(OR(Olfa[[#This Row],[Status]]="Em linha",Olfa[[#This Row],[Status]]="Materia Prima",Olfa[[#This Row],[Status]]="Componente"),"ok",IF(Olfa[[#This Row],[Estoque+Importação]]&lt;1,"Tirar","ok"))</f>
        <v>ok</v>
      </c>
      <c r="C73" s="23">
        <v>33070614925</v>
      </c>
      <c r="D73" s="22" t="s">
        <v>662</v>
      </c>
      <c r="E73" s="22" t="str">
        <f>VLOOKUP(Olfa[[#This Row],[Código]],BD_Produto[],3,FALSE)</f>
        <v>Tesoura</v>
      </c>
      <c r="F73" s="22" t="str">
        <f>VLOOKUP(Olfa[[#This Row],[Código]],BD_Produto[],4,FALSE)</f>
        <v>Tesoura</v>
      </c>
      <c r="G73" s="24">
        <v>120</v>
      </c>
      <c r="H73" s="28">
        <v>256</v>
      </c>
      <c r="I73" s="22" t="s">
        <v>2849</v>
      </c>
      <c r="J73" s="24"/>
      <c r="K73" s="24"/>
      <c r="L73" s="177">
        <f>IFERROR(VLOOKUP(Olfa[[#This Row],[Código]],Saldo[],3,FALSE),0)</f>
        <v>391</v>
      </c>
      <c r="M73" s="24">
        <f>SUM(Olfa[[#This Row],[Produção]:[Estoque]])</f>
        <v>391</v>
      </c>
      <c r="N73" s="177">
        <f>IFERROR(Olfa[[#This Row],[Estoque+Importação]]/Olfa[[#This Row],[Proj. de V. No prox. mes]],"Sem Projeção")</f>
        <v>7.0577617328519855</v>
      </c>
      <c r="O73" s="177">
        <f>IF(OR(Olfa[[#This Row],[Status]]="Em Linha",Olfa[[#This Row],[Status]]="Componente",Olfa[[#This Row],[Status]]="Materia Prima"),Olfa[[#This Row],[Proj. de V. No prox. mes]]*10,"-")</f>
        <v>554</v>
      </c>
      <c r="P73" s="34">
        <f>IF(OR(Olfa[[#This Row],[Status]]="Em Linha",Olfa[[#This Row],[Status]]="Componente",Olfa[[#This Row],[Status]]="Materia Prima"),Olfa[[#This Row],[estoque 10 meses]]-Olfa[[#This Row],[Estoque+Importação]],0)</f>
        <v>163</v>
      </c>
      <c r="Q73" s="75">
        <f>Olfa[[#This Row],[Colunas1]]+Olfa[[#This Row],[Colunas2]]</f>
        <v>55.4</v>
      </c>
      <c r="R73" s="43">
        <f>VLOOKUP(Olfa[[#This Row],[Código]],Projeção[#All],14,FALSE)</f>
        <v>26.033333333333335</v>
      </c>
      <c r="S73" s="39">
        <f>IFERROR(VLOOKUP(Olfa[[#This Row],[Código]],Vendas!A69:B148,2,FALSE),0)</f>
        <v>37</v>
      </c>
      <c r="T73" s="44">
        <f>IFERROR(Olfa[[#This Row],[V. No mes]]/Olfa[[#This Row],[Proj. de V. No mes]],"")</f>
        <v>1.4212548015364916</v>
      </c>
      <c r="U73" s="43">
        <f>VLOOKUP(Olfa[[#This Row],[Código]],Projeção[#All],14,FALSE)+VLOOKUP(Olfa[[#This Row],[Código]],Projeção[#All],13,FALSE)+VLOOKUP(Olfa[[#This Row],[Código]],Projeção[#All],12,FALSE)</f>
        <v>72.633333333333326</v>
      </c>
      <c r="V73" s="39">
        <f>IFERROR(VLOOKUP(Olfa[[#This Row],[Código]],Venda_3meses[],2,FALSE),0)</f>
        <v>92</v>
      </c>
      <c r="W73" s="44">
        <f>IFERROR(Olfa[[#This Row],[V. 3 meses]]/Olfa[[#This Row],[Proj. de V. 3 meses]],"")</f>
        <v>1.2666360715924738</v>
      </c>
      <c r="X7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126.39999999999999</v>
      </c>
      <c r="Y73" s="101">
        <f>IFERROR(VLOOKUP(Olfa[[#This Row],[Código]],Venda_6meses[],2,FALSE),0)</f>
        <v>129</v>
      </c>
      <c r="Z73" s="45">
        <f>IFERROR(Olfa[[#This Row],[V. 6 meses]]/Olfa[[#This Row],[Proj. de V. 6 meses]],"")</f>
        <v>1.0205696202531647</v>
      </c>
      <c r="AA7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275.73333333333329</v>
      </c>
      <c r="AB73" s="39">
        <f>IFERROR(VLOOKUP(Olfa[[#This Row],[Código]],Venda_12meses[],2,FALSE),0)</f>
        <v>277</v>
      </c>
      <c r="AC73" s="171">
        <f>Olfa[[#This Row],[V. 12 meses]]/6</f>
        <v>46.166666666666664</v>
      </c>
      <c r="AD73" s="171">
        <f>Olfa[[#This Row],[Colunas1]]*0.2</f>
        <v>9.2333333333333325</v>
      </c>
      <c r="AE73" s="44">
        <f>IFERROR(Olfa[[#This Row],[V. 12 meses]]/Olfa[[#This Row],[Proj. de V. 12 meses]],"")</f>
        <v>1.0045938104448744</v>
      </c>
      <c r="AF73" s="22"/>
    </row>
    <row r="74" spans="1:32" hidden="1" x14ac:dyDescent="0.25">
      <c r="A74" s="22" t="s">
        <v>2129</v>
      </c>
      <c r="B74" s="22" t="str">
        <f>IF(OR(Olfa[[#This Row],[Status]]="Em linha",Olfa[[#This Row],[Status]]="Materia Prima",Olfa[[#This Row],[Status]]="Componente"),"ok",IF(Olfa[[#This Row],[Estoque+Importação]]&lt;1,"Tirar","ok"))</f>
        <v>ok</v>
      </c>
      <c r="C74" s="23">
        <v>33070663176</v>
      </c>
      <c r="D74" s="22" t="s">
        <v>683</v>
      </c>
      <c r="E74" s="22" t="str">
        <f>VLOOKUP(Olfa[[#This Row],[Código]],BD_Produto[],3,FALSE)</f>
        <v>Estilete Especial</v>
      </c>
      <c r="F74" s="22" t="str">
        <f>VLOOKUP(Olfa[[#This Row],[Código]],BD_Produto[],4,FALSE)</f>
        <v>Especial</v>
      </c>
      <c r="G74" s="24">
        <v>120</v>
      </c>
      <c r="H74" s="28">
        <v>287</v>
      </c>
      <c r="I74" s="22" t="s">
        <v>2849</v>
      </c>
      <c r="J74" s="24"/>
      <c r="K74" s="24"/>
      <c r="L74" s="177">
        <f>IFERROR(VLOOKUP(Olfa[[#This Row],[Código]],Saldo[],3,FALSE),0)</f>
        <v>173</v>
      </c>
      <c r="M74" s="24">
        <f>SUM(Olfa[[#This Row],[Produção]:[Estoque]])</f>
        <v>173</v>
      </c>
      <c r="N74" s="177">
        <f>IFERROR(Olfa[[#This Row],[Estoque+Importação]]/Olfa[[#This Row],[Proj. de V. No prox. mes]],"Sem Projeção")</f>
        <v>7.3931623931623935</v>
      </c>
      <c r="O74" s="177">
        <f>IF(OR(Olfa[[#This Row],[Status]]="Em Linha",Olfa[[#This Row],[Status]]="Componente",Olfa[[#This Row],[Status]]="Materia Prima"),Olfa[[#This Row],[Proj. de V. No prox. mes]]*10,"-")</f>
        <v>234</v>
      </c>
      <c r="P74" s="34">
        <f>IF(OR(Olfa[[#This Row],[Status]]="Em Linha",Olfa[[#This Row],[Status]]="Componente",Olfa[[#This Row],[Status]]="Materia Prima"),Olfa[[#This Row],[estoque 10 meses]]-Olfa[[#This Row],[Estoque+Importação]],0)</f>
        <v>61</v>
      </c>
      <c r="Q74" s="75">
        <f>Olfa[[#This Row],[Colunas1]]+Olfa[[#This Row],[Colunas2]]</f>
        <v>23.4</v>
      </c>
      <c r="R74" s="43">
        <f>VLOOKUP(Olfa[[#This Row],[Código]],Projeção[#All],14,FALSE)</f>
        <v>17.366666666666667</v>
      </c>
      <c r="S74" s="39">
        <f>IFERROR(VLOOKUP(Olfa[[#This Row],[Código]],Vendas!A70:B149,2,FALSE),0)</f>
        <v>0</v>
      </c>
      <c r="T74" s="44">
        <f>IFERROR(Olfa[[#This Row],[V. No mes]]/Olfa[[#This Row],[Proj. de V. No mes]],"")</f>
        <v>0</v>
      </c>
      <c r="U74" s="43">
        <f>VLOOKUP(Olfa[[#This Row],[Código]],Projeção[#All],14,FALSE)+VLOOKUP(Olfa[[#This Row],[Código]],Projeção[#All],13,FALSE)+VLOOKUP(Olfa[[#This Row],[Código]],Projeção[#All],12,FALSE)</f>
        <v>51.099999999999994</v>
      </c>
      <c r="V74" s="39">
        <f>IFERROR(VLOOKUP(Olfa[[#This Row],[Código]],Venda_3meses[],2,FALSE),0)</f>
        <v>39</v>
      </c>
      <c r="W74" s="44">
        <f>IFERROR(Olfa[[#This Row],[V. 3 meses]]/Olfa[[#This Row],[Proj. de V. 3 meses]],"")</f>
        <v>0.76320939334637972</v>
      </c>
      <c r="X7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85.86666666666666</v>
      </c>
      <c r="Y74" s="101">
        <f>IFERROR(VLOOKUP(Olfa[[#This Row],[Código]],Venda_6meses[],2,FALSE),0)</f>
        <v>45</v>
      </c>
      <c r="Z74" s="45">
        <f>IFERROR(Olfa[[#This Row],[V. 6 meses]]/Olfa[[#This Row],[Proj. de V. 6 meses]],"")</f>
        <v>0.52406832298136652</v>
      </c>
      <c r="AA7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145.43333333333331</v>
      </c>
      <c r="AB74" s="39">
        <f>IFERROR(VLOOKUP(Olfa[[#This Row],[Código]],Venda_12meses[],2,FALSE),0)</f>
        <v>117</v>
      </c>
      <c r="AC74" s="171">
        <f>Olfa[[#This Row],[V. 12 meses]]/6</f>
        <v>19.5</v>
      </c>
      <c r="AD74" s="171">
        <f>Olfa[[#This Row],[Colunas1]]*0.2</f>
        <v>3.9000000000000004</v>
      </c>
      <c r="AE74" s="44">
        <f>IFERROR(Olfa[[#This Row],[V. 12 meses]]/Olfa[[#This Row],[Proj. de V. 12 meses]],"")</f>
        <v>0.80449232179692887</v>
      </c>
      <c r="AF74" s="22" t="s">
        <v>1665</v>
      </c>
    </row>
    <row r="75" spans="1:32" hidden="1" x14ac:dyDescent="0.25">
      <c r="A75" s="22" t="s">
        <v>2129</v>
      </c>
      <c r="B75" s="22" t="str">
        <f>IF(OR(Olfa[[#This Row],[Status]]="Em linha",Olfa[[#This Row],[Status]]="Materia Prima",Olfa[[#This Row],[Status]]="Componente"),"ok",IF(Olfa[[#This Row],[Estoque+Importação]]&lt;1,"Tirar","ok"))</f>
        <v>ok</v>
      </c>
      <c r="C75" s="23">
        <v>33070614924</v>
      </c>
      <c r="D75" s="22" t="s">
        <v>661</v>
      </c>
      <c r="E75" s="22" t="str">
        <f>VLOOKUP(Olfa[[#This Row],[Código]],BD_Produto[],3,FALSE)</f>
        <v>Régua</v>
      </c>
      <c r="F75" s="22" t="str">
        <f>VLOOKUP(Olfa[[#This Row],[Código]],BD_Produto[],4,FALSE)</f>
        <v>Rotativo</v>
      </c>
      <c r="G75" s="24">
        <v>48</v>
      </c>
      <c r="H75" s="28">
        <v>448</v>
      </c>
      <c r="I75" s="22" t="s">
        <v>2849</v>
      </c>
      <c r="J75" s="24"/>
      <c r="K75" s="24"/>
      <c r="L75" s="177">
        <f>IFERROR(VLOOKUP(Olfa[[#This Row],[Código]],Saldo[],3,FALSE),0)</f>
        <v>137</v>
      </c>
      <c r="M75" s="24">
        <f>SUM(Olfa[[#This Row],[Produção]:[Estoque]])</f>
        <v>137</v>
      </c>
      <c r="N75" s="177">
        <f>IFERROR(Olfa[[#This Row],[Estoque+Importação]]/Olfa[[#This Row],[Proj. de V. No prox. mes]],"Sem Projeção")</f>
        <v>13.173076923076925</v>
      </c>
      <c r="O75" s="177">
        <f>IF(OR(Olfa[[#This Row],[Status]]="Em Linha",Olfa[[#This Row],[Status]]="Componente",Olfa[[#This Row],[Status]]="Materia Prima"),Olfa[[#This Row],[Proj. de V. No prox. mes]]*10,"-")</f>
        <v>103.99999999999999</v>
      </c>
      <c r="P75" s="34">
        <f>IF(OR(Olfa[[#This Row],[Status]]="Em Linha",Olfa[[#This Row],[Status]]="Componente",Olfa[[#This Row],[Status]]="Materia Prima"),Olfa[[#This Row],[estoque 10 meses]]-Olfa[[#This Row],[Estoque+Importação]],0)</f>
        <v>-33.000000000000014</v>
      </c>
      <c r="Q75" s="75">
        <f>Olfa[[#This Row],[Colunas1]]+Olfa[[#This Row],[Colunas2]]</f>
        <v>10.399999999999999</v>
      </c>
      <c r="R75" s="43">
        <f>VLOOKUP(Olfa[[#This Row],[Código]],Projeção[#All],14,FALSE)</f>
        <v>9.0333333333333332</v>
      </c>
      <c r="S75" s="39">
        <f>IFERROR(VLOOKUP(Olfa[[#This Row],[Código]],Vendas!A71:B150,2,FALSE),0)</f>
        <v>7</v>
      </c>
      <c r="T75" s="44">
        <f>IFERROR(Olfa[[#This Row],[V. No mes]]/Olfa[[#This Row],[Proj. de V. No mes]],"")</f>
        <v>0.77490774907749083</v>
      </c>
      <c r="U75" s="43">
        <f>VLOOKUP(Olfa[[#This Row],[Código]],Projeção[#All],14,FALSE)+VLOOKUP(Olfa[[#This Row],[Código]],Projeção[#All],13,FALSE)+VLOOKUP(Olfa[[#This Row],[Código]],Projeção[#All],12,FALSE)</f>
        <v>23.3</v>
      </c>
      <c r="V75" s="39">
        <f>IFERROR(VLOOKUP(Olfa[[#This Row],[Código]],Venda_3meses[],2,FALSE),0)</f>
        <v>11</v>
      </c>
      <c r="W75" s="44">
        <f>IFERROR(Olfa[[#This Row],[V. 3 meses]]/Olfa[[#This Row],[Proj. de V. 3 meses]],"")</f>
        <v>0.47210300429184548</v>
      </c>
      <c r="X7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34.833333333333336</v>
      </c>
      <c r="Y75" s="101">
        <f>IFERROR(VLOOKUP(Olfa[[#This Row],[Código]],Venda_6meses[],2,FALSE),0)</f>
        <v>11</v>
      </c>
      <c r="Z75" s="45">
        <f>IFERROR(Olfa[[#This Row],[V. 6 meses]]/Olfa[[#This Row],[Proj. de V. 6 meses]],"")</f>
        <v>0.31578947368421051</v>
      </c>
      <c r="AA7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73.166666666666671</v>
      </c>
      <c r="AB75" s="39">
        <f>IFERROR(VLOOKUP(Olfa[[#This Row],[Código]],Venda_12meses[],2,FALSE),0)</f>
        <v>52</v>
      </c>
      <c r="AC75" s="171">
        <f>Olfa[[#This Row],[V. 12 meses]]/6</f>
        <v>8.6666666666666661</v>
      </c>
      <c r="AD75" s="171">
        <f>Olfa[[#This Row],[Colunas1]]*0.2</f>
        <v>1.7333333333333334</v>
      </c>
      <c r="AE75" s="44">
        <f>IFERROR(Olfa[[#This Row],[V. 12 meses]]/Olfa[[#This Row],[Proj. de V. 12 meses]],"")</f>
        <v>0.71070615034168561</v>
      </c>
      <c r="AF75" s="22"/>
    </row>
    <row r="76" spans="1:32" hidden="1" x14ac:dyDescent="0.25">
      <c r="A76" s="22" t="s">
        <v>2129</v>
      </c>
      <c r="B76" s="22" t="str">
        <f>IF(OR(Olfa[[#This Row],[Status]]="Em linha",Olfa[[#This Row],[Status]]="Materia Prima",Olfa[[#This Row],[Status]]="Componente"),"ok",IF(Olfa[[#This Row],[Estoque+Importação]]&lt;1,"Tirar","ok"))</f>
        <v>ok</v>
      </c>
      <c r="C76" s="23">
        <v>33070614749</v>
      </c>
      <c r="D76" s="22" t="s">
        <v>632</v>
      </c>
      <c r="E76" s="22" t="str">
        <f>VLOOKUP(Olfa[[#This Row],[Código]],BD_Produto[],3,FALSE)</f>
        <v>Estojo de Lâminas</v>
      </c>
      <c r="F76" s="22" t="str">
        <f>VLOOKUP(Olfa[[#This Row],[Código]],BD_Produto[],4,FALSE)</f>
        <v>Especial</v>
      </c>
      <c r="G76" s="24">
        <v>240</v>
      </c>
      <c r="H76" s="28">
        <v>83</v>
      </c>
      <c r="I76" s="22" t="s">
        <v>2849</v>
      </c>
      <c r="J76" s="24"/>
      <c r="K76" s="24"/>
      <c r="L76" s="177">
        <f>IFERROR(VLOOKUP(Olfa[[#This Row],[Código]],Saldo[],3,FALSE),0)</f>
        <v>235</v>
      </c>
      <c r="M76" s="24">
        <f>SUM(Olfa[[#This Row],[Produção]:[Estoque]])</f>
        <v>235</v>
      </c>
      <c r="N76" s="177">
        <f>IFERROR(Olfa[[#This Row],[Estoque+Importação]]/Olfa[[#This Row],[Proj. de V. No prox. mes]],"Sem Projeção")</f>
        <v>16.319444444444443</v>
      </c>
      <c r="O76" s="177">
        <f>IF(OR(Olfa[[#This Row],[Status]]="Em Linha",Olfa[[#This Row],[Status]]="Componente",Olfa[[#This Row],[Status]]="Materia Prima"),Olfa[[#This Row],[Proj. de V. No prox. mes]]*10,"-")</f>
        <v>144</v>
      </c>
      <c r="P76" s="34">
        <f>IF(OR(Olfa[[#This Row],[Status]]="Em Linha",Olfa[[#This Row],[Status]]="Componente",Olfa[[#This Row],[Status]]="Materia Prima"),Olfa[[#This Row],[estoque 10 meses]]-Olfa[[#This Row],[Estoque+Importação]],0)</f>
        <v>-91</v>
      </c>
      <c r="Q76" s="75">
        <f>Olfa[[#This Row],[Colunas1]]+Olfa[[#This Row],[Colunas2]]</f>
        <v>14.4</v>
      </c>
      <c r="R76" s="43">
        <f>VLOOKUP(Olfa[[#This Row],[Código]],Projeção[#All],14,FALSE)</f>
        <v>12.4</v>
      </c>
      <c r="S76" s="39">
        <f>IFERROR(VLOOKUP(Olfa[[#This Row],[Código]],Vendas!A72:B151,2,FALSE),0)</f>
        <v>6</v>
      </c>
      <c r="T76" s="44">
        <f>IFERROR(Olfa[[#This Row],[V. No mes]]/Olfa[[#This Row],[Proj. de V. No mes]],"")</f>
        <v>0.48387096774193544</v>
      </c>
      <c r="U76" s="43">
        <f>VLOOKUP(Olfa[[#This Row],[Código]],Projeção[#All],14,FALSE)+VLOOKUP(Olfa[[#This Row],[Código]],Projeção[#All],13,FALSE)+VLOOKUP(Olfa[[#This Row],[Código]],Projeção[#All],12,FALSE)</f>
        <v>22.733333333333334</v>
      </c>
      <c r="V76" s="39">
        <f>IFERROR(VLOOKUP(Olfa[[#This Row],[Código]],Venda_3meses[],2,FALSE),0)</f>
        <v>12</v>
      </c>
      <c r="W76" s="44">
        <f>IFERROR(Olfa[[#This Row],[V. 3 meses]]/Olfa[[#This Row],[Proj. de V. 3 meses]],"")</f>
        <v>0.52785923753665687</v>
      </c>
      <c r="X7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41.06666666666667</v>
      </c>
      <c r="Y76" s="101">
        <f>IFERROR(VLOOKUP(Olfa[[#This Row],[Código]],Venda_6meses[],2,FALSE),0)</f>
        <v>18</v>
      </c>
      <c r="Z76" s="45">
        <f>IFERROR(Olfa[[#This Row],[V. 6 meses]]/Olfa[[#This Row],[Proj. de V. 6 meses]],"")</f>
        <v>0.43831168831168826</v>
      </c>
      <c r="AA7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77.266666666666666</v>
      </c>
      <c r="AB76" s="39">
        <f>IFERROR(VLOOKUP(Olfa[[#This Row],[Código]],Venda_12meses[],2,FALSE),0)</f>
        <v>72</v>
      </c>
      <c r="AC76" s="171">
        <f>Olfa[[#This Row],[V. 12 meses]]/6</f>
        <v>12</v>
      </c>
      <c r="AD76" s="171">
        <f>Olfa[[#This Row],[Colunas1]]*0.2</f>
        <v>2.4000000000000004</v>
      </c>
      <c r="AE76" s="44">
        <f>IFERROR(Olfa[[#This Row],[V. 12 meses]]/Olfa[[#This Row],[Proj. de V. 12 meses]],"")</f>
        <v>0.93183779119930976</v>
      </c>
      <c r="AF76" s="22"/>
    </row>
    <row r="77" spans="1:32" hidden="1" x14ac:dyDescent="0.25">
      <c r="A77" s="22" t="s">
        <v>2129</v>
      </c>
      <c r="B77" s="22" t="str">
        <f>IF(OR(Olfa[[#This Row],[Status]]="Em linha",Olfa[[#This Row],[Status]]="Materia Prima",Olfa[[#This Row],[Status]]="Componente"),"ok",IF(Olfa[[#This Row],[Estoque+Importação]]&lt;1,"Tirar","ok"))</f>
        <v>ok</v>
      </c>
      <c r="C77" s="23">
        <v>33070614021</v>
      </c>
      <c r="D77" s="22" t="s">
        <v>599</v>
      </c>
      <c r="E77" s="22" t="str">
        <f>VLOOKUP(Olfa[[#This Row],[Código]],BD_Produto[],3,FALSE)</f>
        <v>Estilete Rotativo</v>
      </c>
      <c r="F77" s="22" t="str">
        <f>VLOOKUP(Olfa[[#This Row],[Código]],BD_Produto[],4,FALSE)</f>
        <v>Rotativo</v>
      </c>
      <c r="G77" s="24">
        <v>120</v>
      </c>
      <c r="H77" s="28">
        <v>228</v>
      </c>
      <c r="I77" s="22" t="s">
        <v>2849</v>
      </c>
      <c r="J77" s="24"/>
      <c r="K77" s="24"/>
      <c r="L77" s="177">
        <f>IFERROR(VLOOKUP(Olfa[[#This Row],[Código]],Saldo[],3,FALSE),0)</f>
        <v>364</v>
      </c>
      <c r="M77" s="24">
        <f>SUM(Olfa[[#This Row],[Produção]:[Estoque]])</f>
        <v>364</v>
      </c>
      <c r="N77" s="177">
        <f>IFERROR(Olfa[[#This Row],[Estoque+Importação]]/Olfa[[#This Row],[Proj. de V. No prox. mes]],"Sem Projeção")</f>
        <v>14.918032786885247</v>
      </c>
      <c r="O77" s="177">
        <f>IF(OR(Olfa[[#This Row],[Status]]="Em Linha",Olfa[[#This Row],[Status]]="Componente",Olfa[[#This Row],[Status]]="Materia Prima"),Olfa[[#This Row],[Proj. de V. No prox. mes]]*10,"-")</f>
        <v>244</v>
      </c>
      <c r="P77" s="34">
        <f>IF(OR(Olfa[[#This Row],[Status]]="Em Linha",Olfa[[#This Row],[Status]]="Componente",Olfa[[#This Row],[Status]]="Materia Prima"),Olfa[[#This Row],[estoque 10 meses]]-Olfa[[#This Row],[Estoque+Importação]],0)</f>
        <v>-120</v>
      </c>
      <c r="Q77" s="75">
        <f>Olfa[[#This Row],[Colunas1]]+Olfa[[#This Row],[Colunas2]]</f>
        <v>24.4</v>
      </c>
      <c r="R77" s="43">
        <f>VLOOKUP(Olfa[[#This Row],[Código]],Projeção[#All],14,FALSE)</f>
        <v>19.666666666666668</v>
      </c>
      <c r="S77" s="39">
        <f>IFERROR(VLOOKUP(Olfa[[#This Row],[Código]],Vendas!A73:B152,2,FALSE),0)</f>
        <v>3</v>
      </c>
      <c r="T77" s="44">
        <f>IFERROR(Olfa[[#This Row],[V. No mes]]/Olfa[[#This Row],[Proj. de V. No mes]],"")</f>
        <v>0.15254237288135591</v>
      </c>
      <c r="U77" s="43">
        <f>VLOOKUP(Olfa[[#This Row],[Código]],Projeção[#All],14,FALSE)+VLOOKUP(Olfa[[#This Row],[Código]],Projeção[#All],13,FALSE)+VLOOKUP(Olfa[[#This Row],[Código]],Projeção[#All],12,FALSE)</f>
        <v>64.13333333333334</v>
      </c>
      <c r="V77" s="39">
        <f>IFERROR(VLOOKUP(Olfa[[#This Row],[Código]],Venda_3meses[],2,FALSE),0)</f>
        <v>29</v>
      </c>
      <c r="W77" s="44">
        <f>IFERROR(Olfa[[#This Row],[V. 3 meses]]/Olfa[[#This Row],[Proj. de V. 3 meses]],"")</f>
        <v>0.45218295218295212</v>
      </c>
      <c r="X7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110.23333333333333</v>
      </c>
      <c r="Y77" s="101">
        <f>IFERROR(VLOOKUP(Olfa[[#This Row],[Código]],Venda_6meses[],2,FALSE),0)</f>
        <v>41</v>
      </c>
      <c r="Z77" s="45">
        <f>IFERROR(Olfa[[#This Row],[V. 6 meses]]/Olfa[[#This Row],[Proj. de V. 6 meses]],"")</f>
        <v>0.37193831267009375</v>
      </c>
      <c r="AA7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206.06666666666666</v>
      </c>
      <c r="AB77" s="39">
        <f>IFERROR(VLOOKUP(Olfa[[#This Row],[Código]],Venda_12meses[],2,FALSE),0)</f>
        <v>122</v>
      </c>
      <c r="AC77" s="171">
        <f>Olfa[[#This Row],[V. 12 meses]]/6</f>
        <v>20.333333333333332</v>
      </c>
      <c r="AD77" s="171">
        <f>Olfa[[#This Row],[Colunas1]]*0.2</f>
        <v>4.0666666666666664</v>
      </c>
      <c r="AE77" s="44">
        <f>IFERROR(Olfa[[#This Row],[V. 12 meses]]/Olfa[[#This Row],[Proj. de V. 12 meses]],"")</f>
        <v>0.59204141054674864</v>
      </c>
      <c r="AF77" s="22"/>
    </row>
    <row r="78" spans="1:32" hidden="1" x14ac:dyDescent="0.25">
      <c r="A78" s="22" t="s">
        <v>2129</v>
      </c>
      <c r="B78" s="22" t="str">
        <f>IF(OR(Olfa[[#This Row],[Status]]="Em linha",Olfa[[#This Row],[Status]]="Materia Prima",Olfa[[#This Row],[Status]]="Componente"),"ok",IF(Olfa[[#This Row],[Estoque+Importação]]&lt;1,"Tirar","ok"))</f>
        <v>ok</v>
      </c>
      <c r="C78" s="23">
        <v>33070614022</v>
      </c>
      <c r="D78" s="22" t="s">
        <v>1219</v>
      </c>
      <c r="E78" s="22" t="str">
        <f>VLOOKUP(Olfa[[#This Row],[Código]],BD_Produto[],3,FALSE)</f>
        <v>Base de Corte</v>
      </c>
      <c r="F78" s="22" t="str">
        <f>VLOOKUP(Olfa[[#This Row],[Código]],BD_Produto[],4,FALSE)</f>
        <v>Multiuso</v>
      </c>
      <c r="G78" s="24">
        <v>24</v>
      </c>
      <c r="H78" s="28">
        <v>1023</v>
      </c>
      <c r="I78" s="22" t="s">
        <v>2849</v>
      </c>
      <c r="J78" s="24"/>
      <c r="K78" s="24"/>
      <c r="L78" s="177">
        <f>IFERROR(VLOOKUP(Olfa[[#This Row],[Código]],Saldo[],3,FALSE),0)</f>
        <v>172</v>
      </c>
      <c r="M78" s="24">
        <f>SUM(Olfa[[#This Row],[Produção]:[Estoque]])</f>
        <v>172</v>
      </c>
      <c r="N78" s="177">
        <f>IFERROR(Olfa[[#This Row],[Estoque+Importação]]/Olfa[[#This Row],[Proj. de V. No prox. mes]],"Sem Projeção")</f>
        <v>12.285714285714286</v>
      </c>
      <c r="O78" s="177">
        <f>IF(OR(Olfa[[#This Row],[Status]]="Em Linha",Olfa[[#This Row],[Status]]="Componente",Olfa[[#This Row],[Status]]="Materia Prima"),Olfa[[#This Row],[Proj. de V. No prox. mes]]*10,"-")</f>
        <v>140</v>
      </c>
      <c r="P78" s="34">
        <f>IF(OR(Olfa[[#This Row],[Status]]="Em Linha",Olfa[[#This Row],[Status]]="Componente",Olfa[[#This Row],[Status]]="Materia Prima"),Olfa[[#This Row],[estoque 10 meses]]-Olfa[[#This Row],[Estoque+Importação]],0)</f>
        <v>-32</v>
      </c>
      <c r="Q78" s="75">
        <f>Olfa[[#This Row],[Colunas1]]+Olfa[[#This Row],[Colunas2]]</f>
        <v>14</v>
      </c>
      <c r="R78" s="43">
        <f>VLOOKUP(Olfa[[#This Row],[Código]],Projeção[#All],14,FALSE)</f>
        <v>9.3999999999999986</v>
      </c>
      <c r="S78" s="39">
        <f>IFERROR(VLOOKUP(Olfa[[#This Row],[Código]],Vendas!A74:B153,2,FALSE),0)</f>
        <v>7</v>
      </c>
      <c r="T78" s="44">
        <f>IFERROR(Olfa[[#This Row],[V. No mes]]/Olfa[[#This Row],[Proj. de V. No mes]],"")</f>
        <v>0.74468085106382986</v>
      </c>
      <c r="U78" s="43">
        <f>VLOOKUP(Olfa[[#This Row],[Código]],Projeção[#All],14,FALSE)+VLOOKUP(Olfa[[#This Row],[Código]],Projeção[#All],13,FALSE)+VLOOKUP(Olfa[[#This Row],[Código]],Projeção[#All],12,FALSE)</f>
        <v>24.333333333333332</v>
      </c>
      <c r="V78" s="39">
        <f>IFERROR(VLOOKUP(Olfa[[#This Row],[Código]],Venda_3meses[],2,FALSE),0)</f>
        <v>17</v>
      </c>
      <c r="W78" s="44">
        <f>IFERROR(Olfa[[#This Row],[V. 3 meses]]/Olfa[[#This Row],[Proj. de V. 3 meses]],"")</f>
        <v>0.69863013698630139</v>
      </c>
      <c r="X7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38.6</v>
      </c>
      <c r="Y78" s="101">
        <f>IFERROR(VLOOKUP(Olfa[[#This Row],[Código]],Venda_6meses[],2,FALSE),0)</f>
        <v>26</v>
      </c>
      <c r="Z78" s="45">
        <f>IFERROR(Olfa[[#This Row],[V. 6 meses]]/Olfa[[#This Row],[Proj. de V. 6 meses]],"")</f>
        <v>0.67357512953367871</v>
      </c>
      <c r="AA7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75.13333333333334</v>
      </c>
      <c r="AB78" s="39">
        <f>IFERROR(VLOOKUP(Olfa[[#This Row],[Código]],Venda_12meses[],2,FALSE),0)</f>
        <v>70</v>
      </c>
      <c r="AC78" s="171">
        <f>Olfa[[#This Row],[V. 12 meses]]/6</f>
        <v>11.666666666666666</v>
      </c>
      <c r="AD78" s="171">
        <f>Olfa[[#This Row],[Colunas1]]*0.2</f>
        <v>2.3333333333333335</v>
      </c>
      <c r="AE78" s="44">
        <f>IFERROR(Olfa[[#This Row],[V. 12 meses]]/Olfa[[#This Row],[Proj. de V. 12 meses]],"")</f>
        <v>0.93167701863354024</v>
      </c>
      <c r="AF78" s="22"/>
    </row>
    <row r="79" spans="1:32" hidden="1" x14ac:dyDescent="0.25">
      <c r="A79" s="22" t="s">
        <v>2129</v>
      </c>
      <c r="B79" s="22" t="str">
        <f>IF(OR(Olfa[[#This Row],[Status]]="Em linha",Olfa[[#This Row],[Status]]="Materia Prima",Olfa[[#This Row],[Status]]="Componente"),"ok",IF(Olfa[[#This Row],[Estoque+Importação]]&lt;1,"Tirar","ok"))</f>
        <v>ok</v>
      </c>
      <c r="C79" s="23">
        <v>33070614015</v>
      </c>
      <c r="D79" s="22" t="s">
        <v>596</v>
      </c>
      <c r="E79" s="22" t="str">
        <f>VLOOKUP(Olfa[[#This Row],[Código]],BD_Produto[],3,FALSE)</f>
        <v>Estojo de Lâminas</v>
      </c>
      <c r="F79" s="22" t="str">
        <f>VLOOKUP(Olfa[[#This Row],[Código]],BD_Produto[],4,FALSE)</f>
        <v>Rotativo</v>
      </c>
      <c r="G79" s="24">
        <v>240</v>
      </c>
      <c r="H79" s="28">
        <v>170</v>
      </c>
      <c r="I79" s="22" t="s">
        <v>2849</v>
      </c>
      <c r="J79" s="24"/>
      <c r="K79" s="24"/>
      <c r="L79" s="177">
        <f>IFERROR(VLOOKUP(Olfa[[#This Row],[Código]],Saldo[],3,FALSE),0)</f>
        <v>469</v>
      </c>
      <c r="M79" s="24">
        <f>SUM(Olfa[[#This Row],[Produção]:[Estoque]])</f>
        <v>469</v>
      </c>
      <c r="N79" s="177">
        <f>IFERROR(Olfa[[#This Row],[Estoque+Importação]]/Olfa[[#This Row],[Proj. de V. No prox. mes]],"Sem Projeção")</f>
        <v>16.514084507042252</v>
      </c>
      <c r="O79" s="177">
        <f>IF(OR(Olfa[[#This Row],[Status]]="Em Linha",Olfa[[#This Row],[Status]]="Componente",Olfa[[#This Row],[Status]]="Materia Prima"),Olfa[[#This Row],[Proj. de V. No prox. mes]]*10,"-")</f>
        <v>284</v>
      </c>
      <c r="P79" s="34">
        <f>IF(OR(Olfa[[#This Row],[Status]]="Em Linha",Olfa[[#This Row],[Status]]="Componente",Olfa[[#This Row],[Status]]="Materia Prima"),Olfa[[#This Row],[estoque 10 meses]]-Olfa[[#This Row],[Estoque+Importação]],0)</f>
        <v>-185</v>
      </c>
      <c r="Q79" s="75">
        <f>Olfa[[#This Row],[Colunas1]]+Olfa[[#This Row],[Colunas2]]</f>
        <v>28.400000000000002</v>
      </c>
      <c r="R79" s="43">
        <f>VLOOKUP(Olfa[[#This Row],[Código]],Projeção[#All],14,FALSE)</f>
        <v>18.133333333333329</v>
      </c>
      <c r="S79" s="39">
        <f>IFERROR(VLOOKUP(Olfa[[#This Row],[Código]],Vendas!A75:B154,2,FALSE),0)</f>
        <v>7</v>
      </c>
      <c r="T79" s="44">
        <f>IFERROR(Olfa[[#This Row],[V. No mes]]/Olfa[[#This Row],[Proj. de V. No mes]],"")</f>
        <v>0.38602941176470595</v>
      </c>
      <c r="U79" s="43">
        <f>VLOOKUP(Olfa[[#This Row],[Código]],Projeção[#All],14,FALSE)+VLOOKUP(Olfa[[#This Row],[Código]],Projeção[#All],13,FALSE)+VLOOKUP(Olfa[[#This Row],[Código]],Projeção[#All],12,FALSE)</f>
        <v>56.066666666666656</v>
      </c>
      <c r="V79" s="39">
        <f>IFERROR(VLOOKUP(Olfa[[#This Row],[Código]],Venda_3meses[],2,FALSE),0)</f>
        <v>31</v>
      </c>
      <c r="W79" s="44">
        <f>IFERROR(Olfa[[#This Row],[V. 3 meses]]/Olfa[[#This Row],[Proj. de V. 3 meses]],"")</f>
        <v>0.55291319857312737</v>
      </c>
      <c r="X7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86.199999999999989</v>
      </c>
      <c r="Y79" s="101">
        <f>IFERROR(VLOOKUP(Olfa[[#This Row],[Código]],Venda_6meses[],2,FALSE),0)</f>
        <v>38</v>
      </c>
      <c r="Z79" s="45">
        <f>IFERROR(Olfa[[#This Row],[V. 6 meses]]/Olfa[[#This Row],[Proj. de V. 6 meses]],"")</f>
        <v>0.44083526682134577</v>
      </c>
      <c r="AA7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154.59999999999997</v>
      </c>
      <c r="AB79" s="39">
        <f>IFERROR(VLOOKUP(Olfa[[#This Row],[Código]],Venda_12meses[],2,FALSE),0)</f>
        <v>142</v>
      </c>
      <c r="AC79" s="171">
        <f>Olfa[[#This Row],[V. 12 meses]]/6</f>
        <v>23.666666666666668</v>
      </c>
      <c r="AD79" s="171">
        <f>Olfa[[#This Row],[Colunas1]]*0.2</f>
        <v>4.7333333333333334</v>
      </c>
      <c r="AE79" s="44">
        <f>IFERROR(Olfa[[#This Row],[V. 12 meses]]/Olfa[[#This Row],[Proj. de V. 12 meses]],"")</f>
        <v>0.91849935316946985</v>
      </c>
      <c r="AF79" s="22"/>
    </row>
    <row r="80" spans="1:32" hidden="1" x14ac:dyDescent="0.25">
      <c r="A80" s="22" t="s">
        <v>2129</v>
      </c>
      <c r="B80" s="22" t="str">
        <f>IF(OR(Olfa[[#This Row],[Status]]="Em linha",Olfa[[#This Row],[Status]]="Materia Prima",Olfa[[#This Row],[Status]]="Componente"),"ok",IF(Olfa[[#This Row],[Estoque+Importação]]&lt;1,"Tirar","ok"))</f>
        <v>ok</v>
      </c>
      <c r="C80" s="23">
        <v>33070614026</v>
      </c>
      <c r="D80" s="22" t="s">
        <v>1216</v>
      </c>
      <c r="E80" s="22" t="str">
        <f>VLOOKUP(Olfa[[#This Row],[Código]],BD_Produto[],3,FALSE)</f>
        <v>Estilete Rotativo</v>
      </c>
      <c r="F80" s="22" t="str">
        <f>VLOOKUP(Olfa[[#This Row],[Código]],BD_Produto[],4,FALSE)</f>
        <v>Rotativo</v>
      </c>
      <c r="G80" s="24">
        <v>60</v>
      </c>
      <c r="H80" s="28">
        <v>711</v>
      </c>
      <c r="I80" s="22" t="s">
        <v>2849</v>
      </c>
      <c r="J80" s="24"/>
      <c r="K80" s="24"/>
      <c r="L80" s="177">
        <f>IFERROR(VLOOKUP(Olfa[[#This Row],[Código]],Saldo[],3,FALSE),0)</f>
        <v>179</v>
      </c>
      <c r="M80" s="24">
        <f>SUM(Olfa[[#This Row],[Produção]:[Estoque]])</f>
        <v>179</v>
      </c>
      <c r="N80" s="177">
        <f>IFERROR(Olfa[[#This Row],[Estoque+Importação]]/Olfa[[#This Row],[Proj. de V. No prox. mes]],"Sem Projeção")</f>
        <v>11.776315789473685</v>
      </c>
      <c r="O80" s="177">
        <f>IF(OR(Olfa[[#This Row],[Status]]="Em Linha",Olfa[[#This Row],[Status]]="Componente",Olfa[[#This Row],[Status]]="Materia Prima"),Olfa[[#This Row],[Proj. de V. No prox. mes]]*10,"-")</f>
        <v>152</v>
      </c>
      <c r="P80" s="34">
        <f>IF(OR(Olfa[[#This Row],[Status]]="Em Linha",Olfa[[#This Row],[Status]]="Componente",Olfa[[#This Row],[Status]]="Materia Prima"),Olfa[[#This Row],[estoque 10 meses]]-Olfa[[#This Row],[Estoque+Importação]],0)</f>
        <v>-27</v>
      </c>
      <c r="Q80" s="75">
        <f>Olfa[[#This Row],[Colunas1]]+Olfa[[#This Row],[Colunas2]]</f>
        <v>15.2</v>
      </c>
      <c r="R80" s="43">
        <f>VLOOKUP(Olfa[[#This Row],[Código]],Projeção[#All],14,FALSE)</f>
        <v>8.8333333333333321</v>
      </c>
      <c r="S80" s="39">
        <f>IFERROR(VLOOKUP(Olfa[[#This Row],[Código]],Vendas!A76:B155,2,FALSE),0)</f>
        <v>10</v>
      </c>
      <c r="T80" s="44">
        <f>IFERROR(Olfa[[#This Row],[V. No mes]]/Olfa[[#This Row],[Proj. de V. No mes]],"")</f>
        <v>1.1320754716981134</v>
      </c>
      <c r="U80" s="43">
        <f>VLOOKUP(Olfa[[#This Row],[Código]],Projeção[#All],14,FALSE)+VLOOKUP(Olfa[[#This Row],[Código]],Projeção[#All],13,FALSE)+VLOOKUP(Olfa[[#This Row],[Código]],Projeção[#All],12,FALSE)</f>
        <v>25.599999999999998</v>
      </c>
      <c r="V80" s="39">
        <f>IFERROR(VLOOKUP(Olfa[[#This Row],[Código]],Venda_3meses[],2,FALSE),0)</f>
        <v>30</v>
      </c>
      <c r="W80" s="44">
        <f>IFERROR(Olfa[[#This Row],[V. 3 meses]]/Olfa[[#This Row],[Proj. de V. 3 meses]],"")</f>
        <v>1.171875</v>
      </c>
      <c r="X8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43.166666666666664</v>
      </c>
      <c r="Y80" s="101">
        <f>IFERROR(VLOOKUP(Olfa[[#This Row],[Código]],Venda_6meses[],2,FALSE),0)</f>
        <v>33</v>
      </c>
      <c r="Z80" s="45">
        <f>IFERROR(Olfa[[#This Row],[V. 6 meses]]/Olfa[[#This Row],[Proj. de V. 6 meses]],"")</f>
        <v>0.76447876447876451</v>
      </c>
      <c r="AA8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100.56666666666666</v>
      </c>
      <c r="AB80" s="39">
        <f>IFERROR(VLOOKUP(Olfa[[#This Row],[Código]],Venda_12meses[],2,FALSE),0)</f>
        <v>76</v>
      </c>
      <c r="AC80" s="171">
        <f>Olfa[[#This Row],[V. 12 meses]]/6</f>
        <v>12.666666666666666</v>
      </c>
      <c r="AD80" s="171">
        <f>Olfa[[#This Row],[Colunas1]]*0.2</f>
        <v>2.5333333333333332</v>
      </c>
      <c r="AE80" s="44">
        <f>IFERROR(Olfa[[#This Row],[V. 12 meses]]/Olfa[[#This Row],[Proj. de V. 12 meses]],"")</f>
        <v>0.7557176002651641</v>
      </c>
      <c r="AF80" s="22"/>
    </row>
    <row r="81" spans="1:32" hidden="1" x14ac:dyDescent="0.25">
      <c r="A81" s="22" t="s">
        <v>2129</v>
      </c>
      <c r="B81" s="22" t="str">
        <f>IF(OR(Olfa[[#This Row],[Status]]="Em linha",Olfa[[#This Row],[Status]]="Materia Prima",Olfa[[#This Row],[Status]]="Componente"),"ok",IF(Olfa[[#This Row],[Estoque+Importação]]&lt;1,"Tirar","ok"))</f>
        <v>ok</v>
      </c>
      <c r="C81" s="23">
        <v>33070614721</v>
      </c>
      <c r="D81" s="22" t="s">
        <v>611</v>
      </c>
      <c r="E81" s="22" t="str">
        <f>VLOOKUP(Olfa[[#This Row],[Código]],BD_Produto[],3,FALSE)</f>
        <v>Estilete Multiuso</v>
      </c>
      <c r="F81" s="22" t="str">
        <f>VLOOKUP(Olfa[[#This Row],[Código]],BD_Produto[],4,FALSE)</f>
        <v>Multiuso</v>
      </c>
      <c r="G81" s="24">
        <v>120</v>
      </c>
      <c r="H81" s="28">
        <v>167</v>
      </c>
      <c r="I81" s="22" t="s">
        <v>2849</v>
      </c>
      <c r="J81" s="24"/>
      <c r="K81" s="24"/>
      <c r="L81" s="177">
        <f>IFERROR(VLOOKUP(Olfa[[#This Row],[Código]],Saldo[],3,FALSE),0)</f>
        <v>2700</v>
      </c>
      <c r="M81" s="24">
        <f>SUM(Olfa[[#This Row],[Produção]:[Estoque]])</f>
        <v>2700</v>
      </c>
      <c r="N81" s="177">
        <f>IFERROR(Olfa[[#This Row],[Estoque+Importação]]/Olfa[[#This Row],[Proj. de V. No prox. mes]],"Sem Projeção")</f>
        <v>16.443361753958584</v>
      </c>
      <c r="O81" s="177">
        <f>IF(OR(Olfa[[#This Row],[Status]]="Em Linha",Olfa[[#This Row],[Status]]="Componente",Olfa[[#This Row],[Status]]="Materia Prima"),Olfa[[#This Row],[Proj. de V. No prox. mes]]*10,"-")</f>
        <v>1642.0000000000002</v>
      </c>
      <c r="P81" s="34">
        <f>IF(OR(Olfa[[#This Row],[Status]]="Em Linha",Olfa[[#This Row],[Status]]="Componente",Olfa[[#This Row],[Status]]="Materia Prima"),Olfa[[#This Row],[estoque 10 meses]]-Olfa[[#This Row],[Estoque+Importação]],0)</f>
        <v>-1057.9999999999998</v>
      </c>
      <c r="Q81" s="75">
        <f>Olfa[[#This Row],[Colunas1]]+Olfa[[#This Row],[Colunas2]]</f>
        <v>164.20000000000002</v>
      </c>
      <c r="R81" s="43">
        <f>VLOOKUP(Olfa[[#This Row],[Código]],Projeção[#All],14,FALSE)</f>
        <v>58.3</v>
      </c>
      <c r="S81" s="39">
        <f>IFERROR(VLOOKUP(Olfa[[#This Row],[Código]],Vendas!A77:B156,2,FALSE),0)</f>
        <v>38</v>
      </c>
      <c r="T81" s="44">
        <f>IFERROR(Olfa[[#This Row],[V. No mes]]/Olfa[[#This Row],[Proj. de V. No mes]],"")</f>
        <v>0.65180102915951976</v>
      </c>
      <c r="U81" s="43">
        <f>VLOOKUP(Olfa[[#This Row],[Código]],Projeção[#All],14,FALSE)+VLOOKUP(Olfa[[#This Row],[Código]],Projeção[#All],13,FALSE)+VLOOKUP(Olfa[[#This Row],[Código]],Projeção[#All],12,FALSE)</f>
        <v>150.43333333333334</v>
      </c>
      <c r="V81" s="39">
        <f>IFERROR(VLOOKUP(Olfa[[#This Row],[Código]],Venda_3meses[],2,FALSE),0)</f>
        <v>278</v>
      </c>
      <c r="W81" s="44">
        <f>IFERROR(Olfa[[#This Row],[V. 3 meses]]/Olfa[[#This Row],[Proj. de V. 3 meses]],"")</f>
        <v>1.847994682029692</v>
      </c>
      <c r="X8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345.7</v>
      </c>
      <c r="Y81" s="101">
        <f>IFERROR(VLOOKUP(Olfa[[#This Row],[Código]],Venda_6meses[],2,FALSE),0)</f>
        <v>410</v>
      </c>
      <c r="Z81" s="45">
        <f>IFERROR(Olfa[[#This Row],[V. 6 meses]]/Olfa[[#This Row],[Proj. de V. 6 meses]],"")</f>
        <v>1.1859994214636969</v>
      </c>
      <c r="AA8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931.9666666666667</v>
      </c>
      <c r="AB81" s="39">
        <f>IFERROR(VLOOKUP(Olfa[[#This Row],[Código]],Venda_12meses[],2,FALSE),0)</f>
        <v>821</v>
      </c>
      <c r="AC81" s="171">
        <f>Olfa[[#This Row],[V. 12 meses]]/6</f>
        <v>136.83333333333334</v>
      </c>
      <c r="AD81" s="171">
        <f>Olfa[[#This Row],[Colunas1]]*0.2</f>
        <v>27.366666666666671</v>
      </c>
      <c r="AE81" s="44">
        <f>IFERROR(Olfa[[#This Row],[V. 12 meses]]/Olfa[[#This Row],[Proj. de V. 12 meses]],"")</f>
        <v>0.88093279444901462</v>
      </c>
      <c r="AF81" s="22"/>
    </row>
    <row r="82" spans="1:32" x14ac:dyDescent="0.25">
      <c r="A82" s="22" t="s">
        <v>2129</v>
      </c>
      <c r="B82" s="22" t="str">
        <f>IF(OR(Olfa[[#This Row],[Status]]="Em linha",Olfa[[#This Row],[Status]]="Materia Prima",Olfa[[#This Row],[Status]]="Componente"),"ok",IF(Olfa[[#This Row],[Estoque+Importação]]&lt;1,"Tirar","ok"))</f>
        <v>ok</v>
      </c>
      <c r="C82" s="23">
        <v>33070614024</v>
      </c>
      <c r="D82" s="22" t="s">
        <v>602</v>
      </c>
      <c r="E82" s="22" t="str">
        <f>VLOOKUP(Olfa[[#This Row],[Código]],BD_Produto[],3,FALSE)</f>
        <v>Régua</v>
      </c>
      <c r="F82" s="22" t="str">
        <f>VLOOKUP(Olfa[[#This Row],[Código]],BD_Produto[],4,FALSE)</f>
        <v>Rotativo</v>
      </c>
      <c r="G82" s="24">
        <v>48</v>
      </c>
      <c r="H82" s="28">
        <v>612</v>
      </c>
      <c r="I82" s="22" t="s">
        <v>2849</v>
      </c>
      <c r="J82" s="24"/>
      <c r="K82" s="24"/>
      <c r="L82" s="177">
        <f>IFERROR(VLOOKUP(Olfa[[#This Row],[Código]],Saldo[],3,FALSE),0)</f>
        <v>78</v>
      </c>
      <c r="M82" s="24">
        <f>SUM(Olfa[[#This Row],[Produção]:[Estoque]])</f>
        <v>78</v>
      </c>
      <c r="N82" s="177">
        <f>IFERROR(Olfa[[#This Row],[Estoque+Importação]]/Olfa[[#This Row],[Proj. de V. No prox. mes]],"Sem Projeção")</f>
        <v>10.54054054054054</v>
      </c>
      <c r="O82" s="177">
        <f>IF(OR(Olfa[[#This Row],[Status]]="Em Linha",Olfa[[#This Row],[Status]]="Componente",Olfa[[#This Row],[Status]]="Materia Prima"),Olfa[[#This Row],[Proj. de V. No prox. mes]]*10,"-")</f>
        <v>74</v>
      </c>
      <c r="P82" s="34">
        <f>IF(OR(Olfa[[#This Row],[Status]]="Em Linha",Olfa[[#This Row],[Status]]="Componente",Olfa[[#This Row],[Status]]="Materia Prima"),Olfa[[#This Row],[estoque 10 meses]]-Olfa[[#This Row],[Estoque+Importação]],0)</f>
        <v>-4</v>
      </c>
      <c r="Q82" s="75">
        <f>Olfa[[#This Row],[Colunas1]]+Olfa[[#This Row],[Colunas2]]</f>
        <v>7.4</v>
      </c>
      <c r="R82" s="43">
        <f>VLOOKUP(Olfa[[#This Row],[Código]],Projeção[#All],14,FALSE)</f>
        <v>3.1</v>
      </c>
      <c r="S82" s="39">
        <f>IFERROR(VLOOKUP(Olfa[[#This Row],[Código]],Vendas!A78:B157,2,FALSE),0)</f>
        <v>6</v>
      </c>
      <c r="T82" s="44">
        <f>IFERROR(Olfa[[#This Row],[V. No mes]]/Olfa[[#This Row],[Proj. de V. No mes]],"")</f>
        <v>1.9354838709677418</v>
      </c>
      <c r="U82" s="43">
        <f>VLOOKUP(Olfa[[#This Row],[Código]],Projeção[#All],14,FALSE)+VLOOKUP(Olfa[[#This Row],[Código]],Projeção[#All],13,FALSE)+VLOOKUP(Olfa[[#This Row],[Código]],Projeção[#All],12,FALSE)</f>
        <v>10.899999999999999</v>
      </c>
      <c r="V82" s="39">
        <f>IFERROR(VLOOKUP(Olfa[[#This Row],[Código]],Venda_3meses[],2,FALSE),0)</f>
        <v>12</v>
      </c>
      <c r="W82" s="44">
        <f>IFERROR(Olfa[[#This Row],[V. 3 meses]]/Olfa[[#This Row],[Proj. de V. 3 meses]],"")</f>
        <v>1.1009174311926606</v>
      </c>
      <c r="X8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18.599999999999998</v>
      </c>
      <c r="Y82" s="101">
        <f>IFERROR(VLOOKUP(Olfa[[#This Row],[Código]],Venda_6meses[],2,FALSE),0)</f>
        <v>18</v>
      </c>
      <c r="Z82" s="45">
        <f>IFERROR(Olfa[[#This Row],[V. 6 meses]]/Olfa[[#This Row],[Proj. de V. 6 meses]],"")</f>
        <v>0.96774193548387111</v>
      </c>
      <c r="AA8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44.166666666666657</v>
      </c>
      <c r="AB82" s="39">
        <f>IFERROR(VLOOKUP(Olfa[[#This Row],[Código]],Venda_12meses[],2,FALSE),0)</f>
        <v>37</v>
      </c>
      <c r="AC82" s="171">
        <f>Olfa[[#This Row],[V. 12 meses]]/6</f>
        <v>6.166666666666667</v>
      </c>
      <c r="AD82" s="171">
        <f>Olfa[[#This Row],[Colunas1]]*0.2</f>
        <v>1.2333333333333334</v>
      </c>
      <c r="AE82" s="44">
        <f>IFERROR(Olfa[[#This Row],[V. 12 meses]]/Olfa[[#This Row],[Proj. de V. 12 meses]],"")</f>
        <v>0.83773584905660392</v>
      </c>
      <c r="AF82" s="22"/>
    </row>
    <row r="83" spans="1:32" hidden="1" x14ac:dyDescent="0.25">
      <c r="A83" s="22" t="s">
        <v>2129</v>
      </c>
      <c r="B83" s="22" t="str">
        <f>IF(OR(Olfa[[#This Row],[Status]]="Em linha",Olfa[[#This Row],[Status]]="Materia Prima",Olfa[[#This Row],[Status]]="Componente"),"ok",IF(Olfa[[#This Row],[Estoque+Importação]]&lt;1,"Tirar","ok"))</f>
        <v>ok</v>
      </c>
      <c r="C83" s="23">
        <v>33070614999</v>
      </c>
      <c r="D83" s="22" t="s">
        <v>665</v>
      </c>
      <c r="E83" s="22" t="str">
        <f>VLOOKUP(Olfa[[#This Row],[Código]],BD_Produto[],3,FALSE)</f>
        <v>Estojo de Lâminas</v>
      </c>
      <c r="F83" s="22" t="str">
        <f>VLOOKUP(Olfa[[#This Row],[Código]],BD_Produto[],4,FALSE)</f>
        <v>Especial</v>
      </c>
      <c r="G83" s="24">
        <v>240</v>
      </c>
      <c r="H83" s="28">
        <v>187</v>
      </c>
      <c r="I83" s="22" t="s">
        <v>2849</v>
      </c>
      <c r="J83" s="24"/>
      <c r="K83" s="24"/>
      <c r="L83" s="177">
        <f>IFERROR(VLOOKUP(Olfa[[#This Row],[Código]],Saldo[],3,FALSE),0)</f>
        <v>164</v>
      </c>
      <c r="M83" s="24">
        <f>SUM(Olfa[[#This Row],[Produção]:[Estoque]])</f>
        <v>164</v>
      </c>
      <c r="N83" s="177">
        <f>IFERROR(Olfa[[#This Row],[Estoque+Importação]]/Olfa[[#This Row],[Proj. de V. No prox. mes]],"Sem Projeção")</f>
        <v>136.66666666666669</v>
      </c>
      <c r="O83" s="177">
        <f>IF(OR(Olfa[[#This Row],[Status]]="Em Linha",Olfa[[#This Row],[Status]]="Componente",Olfa[[#This Row],[Status]]="Materia Prima"),Olfa[[#This Row],[Proj. de V. No prox. mes]]*10,"-")</f>
        <v>12</v>
      </c>
      <c r="P83" s="34">
        <f>IF(OR(Olfa[[#This Row],[Status]]="Em Linha",Olfa[[#This Row],[Status]]="Componente",Olfa[[#This Row],[Status]]="Materia Prima"),Olfa[[#This Row],[estoque 10 meses]]-Olfa[[#This Row],[Estoque+Importação]],0)</f>
        <v>-152</v>
      </c>
      <c r="Q83" s="75">
        <f>Olfa[[#This Row],[Colunas1]]+Olfa[[#This Row],[Colunas2]]</f>
        <v>1.2</v>
      </c>
      <c r="R83" s="43">
        <f>VLOOKUP(Olfa[[#This Row],[Código]],Projeção[#All],14,FALSE)</f>
        <v>6.3999999999999995</v>
      </c>
      <c r="S83" s="39">
        <f>IFERROR(VLOOKUP(Olfa[[#This Row],[Código]],Vendas!A79:B158,2,FALSE),0)</f>
        <v>0</v>
      </c>
      <c r="T83" s="44">
        <f>IFERROR(Olfa[[#This Row],[V. No mes]]/Olfa[[#This Row],[Proj. de V. No mes]],"")</f>
        <v>0</v>
      </c>
      <c r="U83" s="43">
        <f>VLOOKUP(Olfa[[#This Row],[Código]],Projeção[#All],14,FALSE)+VLOOKUP(Olfa[[#This Row],[Código]],Projeção[#All],13,FALSE)+VLOOKUP(Olfa[[#This Row],[Código]],Projeção[#All],12,FALSE)</f>
        <v>19.599999999999998</v>
      </c>
      <c r="V83" s="39">
        <f>IFERROR(VLOOKUP(Olfa[[#This Row],[Código]],Venda_3meses[],2,FALSE),0)</f>
        <v>6</v>
      </c>
      <c r="W83" s="44">
        <f>IFERROR(Olfa[[#This Row],[V. 3 meses]]/Olfa[[#This Row],[Proj. de V. 3 meses]],"")</f>
        <v>0.30612244897959184</v>
      </c>
      <c r="X8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46</v>
      </c>
      <c r="Y83" s="101">
        <f>IFERROR(VLOOKUP(Olfa[[#This Row],[Código]],Venda_6meses[],2,FALSE),0)</f>
        <v>6</v>
      </c>
      <c r="Z83" s="45">
        <f>IFERROR(Olfa[[#This Row],[V. 6 meses]]/Olfa[[#This Row],[Proj. de V. 6 meses]],"")</f>
        <v>0.13043478260869565</v>
      </c>
      <c r="AA8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77.099999999999994</v>
      </c>
      <c r="AB83" s="39">
        <f>IFERROR(VLOOKUP(Olfa[[#This Row],[Código]],Venda_12meses[],2,FALSE),0)</f>
        <v>6</v>
      </c>
      <c r="AC83" s="171">
        <f>Olfa[[#This Row],[V. 12 meses]]/6</f>
        <v>1</v>
      </c>
      <c r="AD83" s="171">
        <f>Olfa[[#This Row],[Colunas1]]*0.2</f>
        <v>0.2</v>
      </c>
      <c r="AE83" s="44">
        <f>IFERROR(Olfa[[#This Row],[V. 12 meses]]/Olfa[[#This Row],[Proj. de V. 12 meses]],"")</f>
        <v>7.7821011673151752E-2</v>
      </c>
      <c r="AF83" s="22"/>
    </row>
    <row r="84" spans="1:32" hidden="1" x14ac:dyDescent="0.25">
      <c r="A84" s="22" t="s">
        <v>2129</v>
      </c>
      <c r="B84" s="22" t="str">
        <f>IF(OR(Olfa[[#This Row],[Status]]="Em linha",Olfa[[#This Row],[Status]]="Materia Prima",Olfa[[#This Row],[Status]]="Componente"),"ok",IF(Olfa[[#This Row],[Estoque+Importação]]&lt;1,"Tirar","ok"))</f>
        <v>ok</v>
      </c>
      <c r="C84" s="23">
        <v>33070614910</v>
      </c>
      <c r="D84" s="22" t="s">
        <v>656</v>
      </c>
      <c r="E84" s="22" t="str">
        <f>VLOOKUP(Olfa[[#This Row],[Código]],BD_Produto[],3,FALSE)</f>
        <v>Estilete Rotativo</v>
      </c>
      <c r="F84" s="22" t="str">
        <f>VLOOKUP(Olfa[[#This Row],[Código]],BD_Produto[],4,FALSE)</f>
        <v>Rotativo</v>
      </c>
      <c r="G84" s="24">
        <v>120</v>
      </c>
      <c r="H84" s="28">
        <v>560.5</v>
      </c>
      <c r="I84" s="22" t="s">
        <v>2849</v>
      </c>
      <c r="J84" s="24"/>
      <c r="K84" s="24"/>
      <c r="L84" s="177">
        <f>IFERROR(VLOOKUP(Olfa[[#This Row],[Código]],Saldo[],3,FALSE),0)</f>
        <v>619</v>
      </c>
      <c r="M84" s="24">
        <f>SUM(Olfa[[#This Row],[Produção]:[Estoque]])</f>
        <v>619</v>
      </c>
      <c r="N84" s="177">
        <f>IFERROR(Olfa[[#This Row],[Estoque+Importação]]/Olfa[[#This Row],[Proj. de V. No prox. mes]],"Sem Projeção")</f>
        <v>19.10493827160494</v>
      </c>
      <c r="O84" s="177">
        <f>IF(OR(Olfa[[#This Row],[Status]]="Em Linha",Olfa[[#This Row],[Status]]="Componente",Olfa[[#This Row],[Status]]="Materia Prima"),Olfa[[#This Row],[Proj. de V. No prox. mes]]*10,"-")</f>
        <v>324</v>
      </c>
      <c r="P84" s="34">
        <f>IF(OR(Olfa[[#This Row],[Status]]="Em Linha",Olfa[[#This Row],[Status]]="Componente",Olfa[[#This Row],[Status]]="Materia Prima"),Olfa[[#This Row],[estoque 10 meses]]-Olfa[[#This Row],[Estoque+Importação]],0)</f>
        <v>-295</v>
      </c>
      <c r="Q84" s="75">
        <f>Olfa[[#This Row],[Colunas1]]+Olfa[[#This Row],[Colunas2]]</f>
        <v>32.4</v>
      </c>
      <c r="R84" s="43">
        <f>VLOOKUP(Olfa[[#This Row],[Código]],Projeção[#All],14,FALSE)</f>
        <v>18.133333333333333</v>
      </c>
      <c r="S84" s="39">
        <f>IFERROR(VLOOKUP(Olfa[[#This Row],[Código]],Vendas!A80:B159,2,FALSE),0)</f>
        <v>8</v>
      </c>
      <c r="T84" s="44">
        <f>IFERROR(Olfa[[#This Row],[V. No mes]]/Olfa[[#This Row],[Proj. de V. No mes]],"")</f>
        <v>0.44117647058823528</v>
      </c>
      <c r="U84" s="43">
        <f>VLOOKUP(Olfa[[#This Row],[Código]],Projeção[#All],14,FALSE)+VLOOKUP(Olfa[[#This Row],[Código]],Projeção[#All],13,FALSE)+VLOOKUP(Olfa[[#This Row],[Código]],Projeção[#All],12,FALSE)</f>
        <v>49.800000000000004</v>
      </c>
      <c r="V84" s="39">
        <f>IFERROR(VLOOKUP(Olfa[[#This Row],[Código]],Venda_3meses[],2,FALSE),0)</f>
        <v>41</v>
      </c>
      <c r="W84" s="44">
        <f>IFERROR(Olfa[[#This Row],[V. 3 meses]]/Olfa[[#This Row],[Proj. de V. 3 meses]],"")</f>
        <v>0.82329317269076296</v>
      </c>
      <c r="X8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83.033333333333331</v>
      </c>
      <c r="Y84" s="101">
        <f>IFERROR(VLOOKUP(Olfa[[#This Row],[Código]],Venda_6meses[],2,FALSE),0)</f>
        <v>55</v>
      </c>
      <c r="Z84" s="45">
        <f>IFERROR(Olfa[[#This Row],[V. 6 meses]]/Olfa[[#This Row],[Proj. de V. 6 meses]],"")</f>
        <v>0.66238458450421522</v>
      </c>
      <c r="AA8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205.96666666666667</v>
      </c>
      <c r="AB84" s="39">
        <f>IFERROR(VLOOKUP(Olfa[[#This Row],[Código]],Venda_12meses[],2,FALSE),0)</f>
        <v>162</v>
      </c>
      <c r="AC84" s="171">
        <f>Olfa[[#This Row],[V. 12 meses]]/6</f>
        <v>27</v>
      </c>
      <c r="AD84" s="171">
        <f>Olfa[[#This Row],[Colunas1]]*0.2</f>
        <v>5.4</v>
      </c>
      <c r="AE84" s="44">
        <f>IFERROR(Olfa[[#This Row],[V. 12 meses]]/Olfa[[#This Row],[Proj. de V. 12 meses]],"")</f>
        <v>0.78653503803204405</v>
      </c>
      <c r="AF84" s="22"/>
    </row>
    <row r="85" spans="1:32" hidden="1" x14ac:dyDescent="0.25">
      <c r="A85" s="22" t="s">
        <v>2129</v>
      </c>
      <c r="B85" s="22" t="str">
        <f>IF(OR(Olfa[[#This Row],[Status]]="Em linha",Olfa[[#This Row],[Status]]="Materia Prima",Olfa[[#This Row],[Status]]="Componente"),"ok",IF(Olfa[[#This Row],[Estoque+Importação]]&lt;1,"Tirar","ok"))</f>
        <v>ok</v>
      </c>
      <c r="C85" s="23">
        <v>33070614829</v>
      </c>
      <c r="D85" s="22" t="s">
        <v>646</v>
      </c>
      <c r="E85" s="22" t="str">
        <f>VLOOKUP(Olfa[[#This Row],[Código]],BD_Produto[],3,FALSE)</f>
        <v>Base de Corte</v>
      </c>
      <c r="F85" s="22" t="str">
        <f>VLOOKUP(Olfa[[#This Row],[Código]],BD_Produto[],4,FALSE)</f>
        <v>Multiuso</v>
      </c>
      <c r="G85" s="24">
        <v>100</v>
      </c>
      <c r="H85" s="28">
        <v>289</v>
      </c>
      <c r="I85" s="22" t="s">
        <v>2849</v>
      </c>
      <c r="J85" s="24"/>
      <c r="K85" s="24"/>
      <c r="L85" s="177">
        <f>IFERROR(VLOOKUP(Olfa[[#This Row],[Código]],Saldo[],3,FALSE),0)</f>
        <v>123</v>
      </c>
      <c r="M85" s="24">
        <f>SUM(Olfa[[#This Row],[Produção]:[Estoque]])</f>
        <v>123</v>
      </c>
      <c r="N85" s="177">
        <f>IFERROR(Olfa[[#This Row],[Estoque+Importação]]/Olfa[[#This Row],[Proj. de V. No prox. mes]],"Sem Projeção")</f>
        <v>10.423728813559322</v>
      </c>
      <c r="O85" s="177">
        <f>IF(OR(Olfa[[#This Row],[Status]]="Em Linha",Olfa[[#This Row],[Status]]="Componente",Olfa[[#This Row],[Status]]="Materia Prima"),Olfa[[#This Row],[Proj. de V. No prox. mes]]*10,"-")</f>
        <v>118</v>
      </c>
      <c r="P85" s="34">
        <f>IF(OR(Olfa[[#This Row],[Status]]="Em Linha",Olfa[[#This Row],[Status]]="Componente",Olfa[[#This Row],[Status]]="Materia Prima"),Olfa[[#This Row],[estoque 10 meses]]-Olfa[[#This Row],[Estoque+Importação]],0)</f>
        <v>-5</v>
      </c>
      <c r="Q85" s="75">
        <f>Olfa[[#This Row],[Colunas1]]+Olfa[[#This Row],[Colunas2]]</f>
        <v>11.8</v>
      </c>
      <c r="R85" s="43">
        <f>VLOOKUP(Olfa[[#This Row],[Código]],Projeção[#All],14,FALSE)</f>
        <v>7.1000000000000005</v>
      </c>
      <c r="S85" s="39">
        <f>IFERROR(VLOOKUP(Olfa[[#This Row],[Código]],Vendas!A81:B160,2,FALSE),0)</f>
        <v>0</v>
      </c>
      <c r="T85" s="44">
        <f>IFERROR(Olfa[[#This Row],[V. No mes]]/Olfa[[#This Row],[Proj. de V. No mes]],"")</f>
        <v>0</v>
      </c>
      <c r="U85" s="43">
        <f>VLOOKUP(Olfa[[#This Row],[Código]],Projeção[#All],14,FALSE)+VLOOKUP(Olfa[[#This Row],[Código]],Projeção[#All],13,FALSE)+VLOOKUP(Olfa[[#This Row],[Código]],Projeção[#All],12,FALSE)</f>
        <v>18.466666666666669</v>
      </c>
      <c r="V85" s="39">
        <f>IFERROR(VLOOKUP(Olfa[[#This Row],[Código]],Venda_3meses[],2,FALSE),0)</f>
        <v>22</v>
      </c>
      <c r="W85" s="44">
        <f>IFERROR(Olfa[[#This Row],[V. 3 meses]]/Olfa[[#This Row],[Proj. de V. 3 meses]],"")</f>
        <v>1.191335740072202</v>
      </c>
      <c r="X8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40.266666666666673</v>
      </c>
      <c r="Y85" s="101">
        <f>IFERROR(VLOOKUP(Olfa[[#This Row],[Código]],Venda_6meses[],2,FALSE),0)</f>
        <v>27</v>
      </c>
      <c r="Z85" s="45">
        <f>IFERROR(Olfa[[#This Row],[V. 6 meses]]/Olfa[[#This Row],[Proj. de V. 6 meses]],"")</f>
        <v>0.67052980132450324</v>
      </c>
      <c r="AA8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103.7</v>
      </c>
      <c r="AB85" s="39">
        <f>IFERROR(VLOOKUP(Olfa[[#This Row],[Código]],Venda_12meses[],2,FALSE),0)</f>
        <v>59</v>
      </c>
      <c r="AC85" s="171">
        <f>Olfa[[#This Row],[V. 12 meses]]/6</f>
        <v>9.8333333333333339</v>
      </c>
      <c r="AD85" s="171">
        <f>Olfa[[#This Row],[Colunas1]]*0.2</f>
        <v>1.9666666666666668</v>
      </c>
      <c r="AE85" s="44">
        <f>IFERROR(Olfa[[#This Row],[V. 12 meses]]/Olfa[[#This Row],[Proj. de V. 12 meses]],"")</f>
        <v>0.56894889103182256</v>
      </c>
      <c r="AF85" s="22">
        <v>6200101</v>
      </c>
    </row>
    <row r="86" spans="1:32" hidden="1" x14ac:dyDescent="0.25">
      <c r="A86" s="22" t="s">
        <v>2129</v>
      </c>
      <c r="B86" s="22" t="str">
        <f>IF(OR(Olfa[[#This Row],[Status]]="Em linha",Olfa[[#This Row],[Status]]="Materia Prima",Olfa[[#This Row],[Status]]="Componente"),"ok",IF(Olfa[[#This Row],[Estoque+Importação]]&lt;1,"Tirar","ok"))</f>
        <v>ok</v>
      </c>
      <c r="C86" s="23">
        <v>33070614752</v>
      </c>
      <c r="D86" s="22" t="s">
        <v>634</v>
      </c>
      <c r="E86" s="22" t="str">
        <f>VLOOKUP(Olfa[[#This Row],[Código]],BD_Produto[],3,FALSE)</f>
        <v>Estojo de Lâminas</v>
      </c>
      <c r="F86" s="22" t="str">
        <f>VLOOKUP(Olfa[[#This Row],[Código]],BD_Produto[],4,FALSE)</f>
        <v>Especial</v>
      </c>
      <c r="G86" s="24">
        <v>240</v>
      </c>
      <c r="H86" s="28">
        <v>103</v>
      </c>
      <c r="I86" s="22" t="s">
        <v>2849</v>
      </c>
      <c r="J86" s="24"/>
      <c r="K86" s="24"/>
      <c r="L86" s="177">
        <f>IFERROR(VLOOKUP(Olfa[[#This Row],[Código]],Saldo[],3,FALSE),0)</f>
        <v>543</v>
      </c>
      <c r="M86" s="24">
        <f>SUM(Olfa[[#This Row],[Produção]:[Estoque]])</f>
        <v>543</v>
      </c>
      <c r="N86" s="177">
        <f>IFERROR(Olfa[[#This Row],[Estoque+Importação]]/Olfa[[#This Row],[Proj. de V. No prox. mes]],"Sem Projeção")</f>
        <v>10.055555555555555</v>
      </c>
      <c r="O86" s="177">
        <f>IF(OR(Olfa[[#This Row],[Status]]="Em Linha",Olfa[[#This Row],[Status]]="Componente",Olfa[[#This Row],[Status]]="Materia Prima"),Olfa[[#This Row],[Proj. de V. No prox. mes]]*10,"-")</f>
        <v>540</v>
      </c>
      <c r="P86" s="34">
        <f>IF(OR(Olfa[[#This Row],[Status]]="Em Linha",Olfa[[#This Row],[Status]]="Componente",Olfa[[#This Row],[Status]]="Materia Prima"),Olfa[[#This Row],[estoque 10 meses]]-Olfa[[#This Row],[Estoque+Importação]],0)</f>
        <v>-3</v>
      </c>
      <c r="Q86" s="75">
        <f>Olfa[[#This Row],[Colunas1]]+Olfa[[#This Row],[Colunas2]]</f>
        <v>54</v>
      </c>
      <c r="R86" s="43">
        <f>VLOOKUP(Olfa[[#This Row],[Código]],Projeção[#All],14,FALSE)</f>
        <v>23.133333333333329</v>
      </c>
      <c r="S86" s="39">
        <f>IFERROR(VLOOKUP(Olfa[[#This Row],[Código]],Vendas!A82:B161,2,FALSE),0)</f>
        <v>6</v>
      </c>
      <c r="T86" s="44">
        <f>IFERROR(Olfa[[#This Row],[V. No mes]]/Olfa[[#This Row],[Proj. de V. No mes]],"")</f>
        <v>0.25936599423631129</v>
      </c>
      <c r="U86" s="43">
        <f>VLOOKUP(Olfa[[#This Row],[Código]],Projeção[#All],14,FALSE)+VLOOKUP(Olfa[[#This Row],[Código]],Projeção[#All],13,FALSE)+VLOOKUP(Olfa[[#This Row],[Código]],Projeção[#All],12,FALSE)</f>
        <v>69.433333333333337</v>
      </c>
      <c r="V86" s="39">
        <f>IFERROR(VLOOKUP(Olfa[[#This Row],[Código]],Venda_3meses[],2,FALSE),0)</f>
        <v>144</v>
      </c>
      <c r="W86" s="44">
        <f>IFERROR(Olfa[[#This Row],[V. 3 meses]]/Olfa[[#This Row],[Proj. de V. 3 meses]],"")</f>
        <v>2.0739318290926545</v>
      </c>
      <c r="X8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142.43333333333334</v>
      </c>
      <c r="Y86" s="101">
        <f>IFERROR(VLOOKUP(Olfa[[#This Row],[Código]],Venda_6meses[],2,FALSE),0)</f>
        <v>192</v>
      </c>
      <c r="Z86" s="45">
        <f>IFERROR(Olfa[[#This Row],[V. 6 meses]]/Olfa[[#This Row],[Proj. de V. 6 meses]],"")</f>
        <v>1.3479990638895389</v>
      </c>
      <c r="AA8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300.43333333333334</v>
      </c>
      <c r="AB86" s="39">
        <f>IFERROR(VLOOKUP(Olfa[[#This Row],[Código]],Venda_12meses[],2,FALSE),0)</f>
        <v>270</v>
      </c>
      <c r="AC86" s="171">
        <f>Olfa[[#This Row],[V. 12 meses]]/6</f>
        <v>45</v>
      </c>
      <c r="AD86" s="171">
        <f>Olfa[[#This Row],[Colunas1]]*0.2</f>
        <v>9</v>
      </c>
      <c r="AE86" s="44">
        <f>IFERROR(Olfa[[#This Row],[V. 12 meses]]/Olfa[[#This Row],[Proj. de V. 12 meses]],"")</f>
        <v>0.89870187506934429</v>
      </c>
      <c r="AF86" s="22"/>
    </row>
    <row r="87" spans="1:32" hidden="1" x14ac:dyDescent="0.25">
      <c r="A87" s="22" t="s">
        <v>2129</v>
      </c>
      <c r="B87" s="22" t="str">
        <f>IF(OR(Olfa[[#This Row],[Status]]="Em linha",Olfa[[#This Row],[Status]]="Materia Prima",Olfa[[#This Row],[Status]]="Componente"),"ok",IF(Olfa[[#This Row],[Estoque+Importação]]&lt;1,"Tirar","ok"))</f>
        <v>ok</v>
      </c>
      <c r="C87" s="23">
        <v>33070661133</v>
      </c>
      <c r="D87" s="22" t="s">
        <v>676</v>
      </c>
      <c r="E87" s="22" t="str">
        <f>VLOOKUP(Olfa[[#This Row],[Código]],BD_Produto[],3,FALSE)</f>
        <v>Tesoura</v>
      </c>
      <c r="F87" s="22" t="str">
        <f>VLOOKUP(Olfa[[#This Row],[Código]],BD_Produto[],4,FALSE)</f>
        <v>Tesoura</v>
      </c>
      <c r="G87" s="24">
        <v>120</v>
      </c>
      <c r="H87" s="28">
        <v>656</v>
      </c>
      <c r="I87" s="22" t="s">
        <v>2849</v>
      </c>
      <c r="J87" s="24"/>
      <c r="K87" s="24"/>
      <c r="L87" s="177">
        <f>IFERROR(VLOOKUP(Olfa[[#This Row],[Código]],Saldo[],3,FALSE),0)</f>
        <v>621</v>
      </c>
      <c r="M87" s="24">
        <f>SUM(Olfa[[#This Row],[Produção]:[Estoque]])</f>
        <v>621</v>
      </c>
      <c r="N87" s="177">
        <f>IFERROR(Olfa[[#This Row],[Estoque+Importação]]/Olfa[[#This Row],[Proj. de V. No prox. mes]],"Sem Projeção")</f>
        <v>23</v>
      </c>
      <c r="O87" s="177">
        <f>IF(OR(Olfa[[#This Row],[Status]]="Em Linha",Olfa[[#This Row],[Status]]="Componente",Olfa[[#This Row],[Status]]="Materia Prima"),Olfa[[#This Row],[Proj. de V. No prox. mes]]*10,"-")</f>
        <v>270</v>
      </c>
      <c r="P87" s="34">
        <f>IF(OR(Olfa[[#This Row],[Status]]="Em Linha",Olfa[[#This Row],[Status]]="Componente",Olfa[[#This Row],[Status]]="Materia Prima"),Olfa[[#This Row],[estoque 10 meses]]-Olfa[[#This Row],[Estoque+Importação]],0)</f>
        <v>-351</v>
      </c>
      <c r="Q87" s="75">
        <f>Olfa[[#This Row],[Colunas1]]+Olfa[[#This Row],[Colunas2]]</f>
        <v>27</v>
      </c>
      <c r="R87" s="43">
        <f>VLOOKUP(Olfa[[#This Row],[Código]],Projeção[#All],14,FALSE)</f>
        <v>15.766666666666669</v>
      </c>
      <c r="S87" s="39">
        <f>IFERROR(VLOOKUP(Olfa[[#This Row],[Código]],Vendas!A83:B162,2,FALSE),0)</f>
        <v>21</v>
      </c>
      <c r="T87" s="44">
        <f>IFERROR(Olfa[[#This Row],[V. No mes]]/Olfa[[#This Row],[Proj. de V. No mes]],"")</f>
        <v>1.3319238900634247</v>
      </c>
      <c r="U87" s="43">
        <f>VLOOKUP(Olfa[[#This Row],[Código]],Projeção[#All],14,FALSE)+VLOOKUP(Olfa[[#This Row],[Código]],Projeção[#All],13,FALSE)+VLOOKUP(Olfa[[#This Row],[Código]],Projeção[#All],12,FALSE)</f>
        <v>46.766666666666666</v>
      </c>
      <c r="V87" s="39">
        <f>IFERROR(VLOOKUP(Olfa[[#This Row],[Código]],Venda_3meses[],2,FALSE),0)</f>
        <v>30</v>
      </c>
      <c r="W87" s="44">
        <f>IFERROR(Olfa[[#This Row],[V. 3 meses]]/Olfa[[#This Row],[Proj. de V. 3 meses]],"")</f>
        <v>0.64148253741981465</v>
      </c>
      <c r="X8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71.133333333333326</v>
      </c>
      <c r="Y87" s="101">
        <f>IFERROR(VLOOKUP(Olfa[[#This Row],[Código]],Venda_6meses[],2,FALSE),0)</f>
        <v>43</v>
      </c>
      <c r="Z87" s="45">
        <f>IFERROR(Olfa[[#This Row],[V. 6 meses]]/Olfa[[#This Row],[Proj. de V. 6 meses]],"")</f>
        <v>0.60449859418931595</v>
      </c>
      <c r="AA8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135.33333333333334</v>
      </c>
      <c r="AB87" s="39">
        <f>IFERROR(VLOOKUP(Olfa[[#This Row],[Código]],Venda_12meses[],2,FALSE),0)</f>
        <v>135</v>
      </c>
      <c r="AC87" s="171">
        <f>Olfa[[#This Row],[V. 12 meses]]/6</f>
        <v>22.5</v>
      </c>
      <c r="AD87" s="171">
        <f>Olfa[[#This Row],[Colunas1]]*0.2</f>
        <v>4.5</v>
      </c>
      <c r="AE87" s="44">
        <f>IFERROR(Olfa[[#This Row],[V. 12 meses]]/Olfa[[#This Row],[Proj. de V. 12 meses]],"")</f>
        <v>0.99753694581280783</v>
      </c>
      <c r="AF87" s="22"/>
    </row>
    <row r="88" spans="1:32" hidden="1" x14ac:dyDescent="0.25">
      <c r="A88" s="22" t="s">
        <v>2129</v>
      </c>
      <c r="B88" s="22" t="str">
        <f>IF(OR(Olfa[[#This Row],[Status]]="Em linha",Olfa[[#This Row],[Status]]="Materia Prima",Olfa[[#This Row],[Status]]="Componente"),"ok",IF(Olfa[[#This Row],[Estoque+Importação]]&lt;1,"Tirar","ok"))</f>
        <v>ok</v>
      </c>
      <c r="C88" s="23">
        <v>33070664519</v>
      </c>
      <c r="D88" s="22" t="s">
        <v>717</v>
      </c>
      <c r="E88" s="22" t="str">
        <f>VLOOKUP(Olfa[[#This Row],[Código]],BD_Produto[],3,FALSE)</f>
        <v>Estilete Multiuso</v>
      </c>
      <c r="F88" s="22" t="str">
        <f>VLOOKUP(Olfa[[#This Row],[Código]],BD_Produto[],4,FALSE)</f>
        <v>Multiuso</v>
      </c>
      <c r="G88" s="24">
        <v>240</v>
      </c>
      <c r="H88" s="28">
        <v>187</v>
      </c>
      <c r="I88" s="22" t="s">
        <v>2849</v>
      </c>
      <c r="J88" s="24"/>
      <c r="K88" s="24"/>
      <c r="L88" s="177">
        <f>IFERROR(VLOOKUP(Olfa[[#This Row],[Código]],Saldo[],3,FALSE),0)</f>
        <v>534</v>
      </c>
      <c r="M88" s="24">
        <f>SUM(Olfa[[#This Row],[Produção]:[Estoque]])</f>
        <v>534</v>
      </c>
      <c r="N88" s="177">
        <f>IFERROR(Olfa[[#This Row],[Estoque+Importação]]/Olfa[[#This Row],[Proj. de V. No prox. mes]],"Sem Projeção")</f>
        <v>37.083333333333336</v>
      </c>
      <c r="O88" s="177">
        <f>IF(OR(Olfa[[#This Row],[Status]]="Em Linha",Olfa[[#This Row],[Status]]="Componente",Olfa[[#This Row],[Status]]="Materia Prima"),Olfa[[#This Row],[Proj. de V. No prox. mes]]*10,"-")</f>
        <v>144</v>
      </c>
      <c r="P88" s="34">
        <f>IF(OR(Olfa[[#This Row],[Status]]="Em Linha",Olfa[[#This Row],[Status]]="Componente",Olfa[[#This Row],[Status]]="Materia Prima"),Olfa[[#This Row],[estoque 10 meses]]-Olfa[[#This Row],[Estoque+Importação]],0)</f>
        <v>-390</v>
      </c>
      <c r="Q88" s="75">
        <f>Olfa[[#This Row],[Colunas1]]+Olfa[[#This Row],[Colunas2]]</f>
        <v>14.4</v>
      </c>
      <c r="R88" s="43">
        <f>VLOOKUP(Olfa[[#This Row],[Código]],Projeção[#All],14,FALSE)</f>
        <v>10.399999999999999</v>
      </c>
      <c r="S88" s="39">
        <f>IFERROR(VLOOKUP(Olfa[[#This Row],[Código]],Vendas!A84:B163,2,FALSE),0)</f>
        <v>0</v>
      </c>
      <c r="T88" s="44">
        <f>IFERROR(Olfa[[#This Row],[V. No mes]]/Olfa[[#This Row],[Proj. de V. No mes]],"")</f>
        <v>0</v>
      </c>
      <c r="U88" s="43">
        <f>VLOOKUP(Olfa[[#This Row],[Código]],Projeção[#All],14,FALSE)+VLOOKUP(Olfa[[#This Row],[Código]],Projeção[#All],13,FALSE)+VLOOKUP(Olfa[[#This Row],[Código]],Projeção[#All],12,FALSE)</f>
        <v>18.2</v>
      </c>
      <c r="V88" s="39">
        <f>IFERROR(VLOOKUP(Olfa[[#This Row],[Código]],Venda_3meses[],2,FALSE),0)</f>
        <v>12</v>
      </c>
      <c r="W88" s="44">
        <f>IFERROR(Olfa[[#This Row],[V. 3 meses]]/Olfa[[#This Row],[Proj. de V. 3 meses]],"")</f>
        <v>0.65934065934065933</v>
      </c>
      <c r="X8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30.599999999999994</v>
      </c>
      <c r="Y88" s="101">
        <f>IFERROR(VLOOKUP(Olfa[[#This Row],[Código]],Venda_6meses[],2,FALSE),0)</f>
        <v>18</v>
      </c>
      <c r="Z88" s="45">
        <f>IFERROR(Olfa[[#This Row],[V. 6 meses]]/Olfa[[#This Row],[Proj. de V. 6 meses]],"")</f>
        <v>0.58823529411764719</v>
      </c>
      <c r="AA8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52.8</v>
      </c>
      <c r="AB88" s="39">
        <f>IFERROR(VLOOKUP(Olfa[[#This Row],[Código]],Venda_12meses[],2,FALSE),0)</f>
        <v>72</v>
      </c>
      <c r="AC88" s="171">
        <f>Olfa[[#This Row],[V. 12 meses]]/6</f>
        <v>12</v>
      </c>
      <c r="AD88" s="171">
        <f>Olfa[[#This Row],[Colunas1]]*0.2</f>
        <v>2.4000000000000004</v>
      </c>
      <c r="AE88" s="44">
        <f>IFERROR(Olfa[[#This Row],[V. 12 meses]]/Olfa[[#This Row],[Proj. de V. 12 meses]],"")</f>
        <v>1.3636363636363638</v>
      </c>
      <c r="AF88" s="22"/>
    </row>
    <row r="89" spans="1:32" hidden="1" x14ac:dyDescent="0.25">
      <c r="A89" s="22" t="s">
        <v>2129</v>
      </c>
      <c r="B89" s="22" t="str">
        <f>IF(OR(Olfa[[#This Row],[Status]]="Em linha",Olfa[[#This Row],[Status]]="Materia Prima",Olfa[[#This Row],[Status]]="Componente"),"ok",IF(Olfa[[#This Row],[Estoque+Importação]]&lt;1,"Tirar","ok"))</f>
        <v>ok</v>
      </c>
      <c r="C89" s="23">
        <v>33070663724</v>
      </c>
      <c r="D89" s="22" t="s">
        <v>872</v>
      </c>
      <c r="E89" s="22" t="str">
        <f>VLOOKUP(Olfa[[#This Row],[Código]],BD_Produto[],3,FALSE)</f>
        <v>Estojo de Lâminas</v>
      </c>
      <c r="F89" s="22" t="str">
        <f>VLOOKUP(Olfa[[#This Row],[Código]],BD_Produto[],4,FALSE)</f>
        <v>Especial</v>
      </c>
      <c r="G89" s="24">
        <v>240</v>
      </c>
      <c r="H89" s="28">
        <v>95</v>
      </c>
      <c r="I89" s="22" t="s">
        <v>2849</v>
      </c>
      <c r="J89" s="24"/>
      <c r="K89" s="24"/>
      <c r="L89" s="177">
        <f>IFERROR(VLOOKUP(Olfa[[#This Row],[Código]],Saldo[],3,FALSE),0)</f>
        <v>152</v>
      </c>
      <c r="M89" s="24">
        <f>SUM(Olfa[[#This Row],[Produção]:[Estoque]])</f>
        <v>152</v>
      </c>
      <c r="N89" s="177">
        <f>IFERROR(Olfa[[#This Row],[Estoque+Importação]]/Olfa[[#This Row],[Proj. de V. No prox. mes]],"Sem Projeção")</f>
        <v>21.111111111111111</v>
      </c>
      <c r="O89" s="177">
        <f>IF(OR(Olfa[[#This Row],[Status]]="Em Linha",Olfa[[#This Row],[Status]]="Componente",Olfa[[#This Row],[Status]]="Materia Prima"),Olfa[[#This Row],[Proj. de V. No prox. mes]]*10,"-")</f>
        <v>72</v>
      </c>
      <c r="P89" s="34">
        <f>IF(OR(Olfa[[#This Row],[Status]]="Em Linha",Olfa[[#This Row],[Status]]="Componente",Olfa[[#This Row],[Status]]="Materia Prima"),Olfa[[#This Row],[estoque 10 meses]]-Olfa[[#This Row],[Estoque+Importação]],0)</f>
        <v>-80</v>
      </c>
      <c r="Q89" s="75">
        <f>Olfa[[#This Row],[Colunas1]]+Olfa[[#This Row],[Colunas2]]</f>
        <v>7.2</v>
      </c>
      <c r="R89" s="43">
        <f>VLOOKUP(Olfa[[#This Row],[Código]],Projeção[#All],14,FALSE)</f>
        <v>2.8666666666666667</v>
      </c>
      <c r="S89" s="39">
        <f>IFERROR(VLOOKUP(Olfa[[#This Row],[Código]],Vendas!A85:B164,2,FALSE),0)</f>
        <v>0</v>
      </c>
      <c r="T89" s="44">
        <f>IFERROR(Olfa[[#This Row],[V. No mes]]/Olfa[[#This Row],[Proj. de V. No mes]],"")</f>
        <v>0</v>
      </c>
      <c r="U89" s="43">
        <f>VLOOKUP(Olfa[[#This Row],[Código]],Projeção[#All],14,FALSE)+VLOOKUP(Olfa[[#This Row],[Código]],Projeção[#All],13,FALSE)+VLOOKUP(Olfa[[#This Row],[Código]],Projeção[#All],12,FALSE)</f>
        <v>8.3666666666666671</v>
      </c>
      <c r="V89" s="39">
        <f>IFERROR(VLOOKUP(Olfa[[#This Row],[Código]],Venda_3meses[],2,FALSE),0)</f>
        <v>6</v>
      </c>
      <c r="W89" s="44">
        <f>IFERROR(Olfa[[#This Row],[V. 3 meses]]/Olfa[[#This Row],[Proj. de V. 3 meses]],"")</f>
        <v>0.71713147410358558</v>
      </c>
      <c r="X8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10.466666666666667</v>
      </c>
      <c r="Y89" s="101">
        <f>IFERROR(VLOOKUP(Olfa[[#This Row],[Código]],Venda_6meses[],2,FALSE),0)</f>
        <v>12</v>
      </c>
      <c r="Z89" s="45">
        <f>IFERROR(Olfa[[#This Row],[V. 6 meses]]/Olfa[[#This Row],[Proj. de V. 6 meses]],"")</f>
        <v>1.1464968152866242</v>
      </c>
      <c r="AA8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20.399999999999999</v>
      </c>
      <c r="AB89" s="39">
        <f>IFERROR(VLOOKUP(Olfa[[#This Row],[Código]],Venda_12meses[],2,FALSE),0)</f>
        <v>36</v>
      </c>
      <c r="AC89" s="171">
        <f>Olfa[[#This Row],[V. 12 meses]]/6</f>
        <v>6</v>
      </c>
      <c r="AD89" s="171">
        <f>Olfa[[#This Row],[Colunas1]]*0.2</f>
        <v>1.2000000000000002</v>
      </c>
      <c r="AE89" s="44">
        <f>IFERROR(Olfa[[#This Row],[V. 12 meses]]/Olfa[[#This Row],[Proj. de V. 12 meses]],"")</f>
        <v>1.7647058823529413</v>
      </c>
      <c r="AF89" s="22"/>
    </row>
    <row r="90" spans="1:32" hidden="1" x14ac:dyDescent="0.25">
      <c r="A90" s="22" t="s">
        <v>2129</v>
      </c>
      <c r="B90" s="22" t="str">
        <f>IF(OR(Olfa[[#This Row],[Status]]="Em linha",Olfa[[#This Row],[Status]]="Materia Prima",Olfa[[#This Row],[Status]]="Componente"),"ok",IF(Olfa[[#This Row],[Estoque+Importação]]&lt;1,"Tirar","ok"))</f>
        <v>ok</v>
      </c>
      <c r="C90" s="23">
        <v>33070663585</v>
      </c>
      <c r="D90" s="22" t="s">
        <v>687</v>
      </c>
      <c r="E90" s="22" t="str">
        <f>VLOOKUP(Olfa[[#This Row],[Código]],BD_Produto[],3,FALSE)</f>
        <v>Estilete Heavy Duty</v>
      </c>
      <c r="F90" s="22" t="str">
        <f>VLOOKUP(Olfa[[#This Row],[Código]],BD_Produto[],4,FALSE)</f>
        <v>Heavy Duty</v>
      </c>
      <c r="G90" s="24" t="s">
        <v>1653</v>
      </c>
      <c r="H90" s="28">
        <v>535</v>
      </c>
      <c r="I90" s="22" t="s">
        <v>2849</v>
      </c>
      <c r="J90" s="98"/>
      <c r="K90" s="24"/>
      <c r="L90" s="177">
        <f>IFERROR(VLOOKUP(Olfa[[#This Row],[Código]],Saldo[],3,FALSE),0)</f>
        <v>120</v>
      </c>
      <c r="M90" s="24">
        <f>SUM(Olfa[[#This Row],[Produção]:[Estoque]])</f>
        <v>120</v>
      </c>
      <c r="N90" s="177">
        <f>IFERROR(Olfa[[#This Row],[Estoque+Importação]]/Olfa[[#This Row],[Proj. de V. No prox. mes]],"Sem Projeção")</f>
        <v>22.222222222222221</v>
      </c>
      <c r="O90" s="177">
        <f>IF(OR(Olfa[[#This Row],[Status]]="Em Linha",Olfa[[#This Row],[Status]]="Componente",Olfa[[#This Row],[Status]]="Materia Prima"),Olfa[[#This Row],[Proj. de V. No prox. mes]]*10,"-")</f>
        <v>54</v>
      </c>
      <c r="P90" s="34">
        <f>IF(OR(Olfa[[#This Row],[Status]]="Em Linha",Olfa[[#This Row],[Status]]="Componente",Olfa[[#This Row],[Status]]="Materia Prima"),Olfa[[#This Row],[estoque 10 meses]]-Olfa[[#This Row],[Estoque+Importação]],0)</f>
        <v>-66</v>
      </c>
      <c r="Q90" s="75">
        <f>Olfa[[#This Row],[Colunas1]]+Olfa[[#This Row],[Colunas2]]</f>
        <v>5.4</v>
      </c>
      <c r="R90" s="43">
        <f>VLOOKUP(Olfa[[#This Row],[Código]],Projeção[#All],14,FALSE)</f>
        <v>2.5333333333333332</v>
      </c>
      <c r="S90" s="39">
        <f>IFERROR(VLOOKUP(Olfa[[#This Row],[Código]],Vendas!A86:B165,2,FALSE),0)</f>
        <v>0</v>
      </c>
      <c r="T90" s="44">
        <f>IFERROR(Olfa[[#This Row],[V. No mes]]/Olfa[[#This Row],[Proj. de V. No mes]],"")</f>
        <v>0</v>
      </c>
      <c r="U90" s="43">
        <f>VLOOKUP(Olfa[[#This Row],[Código]],Projeção[#All],14,FALSE)+VLOOKUP(Olfa[[#This Row],[Código]],Projeção[#All],13,FALSE)+VLOOKUP(Olfa[[#This Row],[Código]],Projeção[#All],12,FALSE)</f>
        <v>6.7333333333333325</v>
      </c>
      <c r="V90" s="39">
        <f>IFERROR(VLOOKUP(Olfa[[#This Row],[Código]],Venda_3meses[],2,FALSE),0)</f>
        <v>13</v>
      </c>
      <c r="W90" s="44">
        <f>IFERROR(Olfa[[#This Row],[V. 3 meses]]/Olfa[[#This Row],[Proj. de V. 3 meses]],"")</f>
        <v>1.9306930693069309</v>
      </c>
      <c r="X9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9.7666666666666657</v>
      </c>
      <c r="Y90" s="101">
        <f>IFERROR(VLOOKUP(Olfa[[#This Row],[Código]],Venda_6meses[],2,FALSE),0)</f>
        <v>19</v>
      </c>
      <c r="Z90" s="45">
        <f>IFERROR(Olfa[[#This Row],[V. 6 meses]]/Olfa[[#This Row],[Proj. de V. 6 meses]],"")</f>
        <v>1.9453924914675771</v>
      </c>
      <c r="AA9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16.099999999999998</v>
      </c>
      <c r="AB90" s="39">
        <f>IFERROR(VLOOKUP(Olfa[[#This Row],[Código]],Venda_12meses[],2,FALSE),0)</f>
        <v>27</v>
      </c>
      <c r="AC90" s="171">
        <f>Olfa[[#This Row],[V. 12 meses]]/6</f>
        <v>4.5</v>
      </c>
      <c r="AD90" s="171">
        <f>Olfa[[#This Row],[Colunas1]]*0.2</f>
        <v>0.9</v>
      </c>
      <c r="AE90" s="44">
        <f>IFERROR(Olfa[[#This Row],[V. 12 meses]]/Olfa[[#This Row],[Proj. de V. 12 meses]],"")</f>
        <v>1.6770186335403729</v>
      </c>
      <c r="AF90" s="22"/>
    </row>
    <row r="91" spans="1:32" hidden="1" x14ac:dyDescent="0.25">
      <c r="A91" s="22" t="s">
        <v>2129</v>
      </c>
      <c r="B91" s="22" t="str">
        <f>IF(OR(Olfa[[#This Row],[Status]]="Em linha",Olfa[[#This Row],[Status]]="Materia Prima",Olfa[[#This Row],[Status]]="Componente"),"ok",IF(Olfa[[#This Row],[Estoque+Importação]]&lt;1,"Tirar","ok"))</f>
        <v>ok</v>
      </c>
      <c r="C91" s="23">
        <v>33070663732</v>
      </c>
      <c r="D91" s="22" t="s">
        <v>703</v>
      </c>
      <c r="E91" s="22" t="str">
        <f>VLOOKUP(Olfa[[#This Row],[Código]],BD_Produto[],3,FALSE)</f>
        <v>Estilete de Segurança</v>
      </c>
      <c r="F91" s="22" t="str">
        <f>VLOOKUP(Olfa[[#This Row],[Código]],BD_Produto[],4,FALSE)</f>
        <v>Segurança</v>
      </c>
      <c r="G91" s="24">
        <v>120</v>
      </c>
      <c r="H91" s="28">
        <v>267.5</v>
      </c>
      <c r="I91" s="22" t="s">
        <v>2849</v>
      </c>
      <c r="J91" s="24"/>
      <c r="K91" s="24"/>
      <c r="L91" s="177">
        <f>IFERROR(VLOOKUP(Olfa[[#This Row],[Código]],Saldo[],3,FALSE),0)</f>
        <v>232</v>
      </c>
      <c r="M91" s="24">
        <f>SUM(Olfa[[#This Row],[Produção]:[Estoque]])</f>
        <v>232</v>
      </c>
      <c r="N91" s="177">
        <f>IFERROR(Olfa[[#This Row],[Estoque+Importação]]/Olfa[[#This Row],[Proj. de V. No prox. mes]],"Sem Projeção")</f>
        <v>18.70967741935484</v>
      </c>
      <c r="O91" s="177">
        <f>IF(OR(Olfa[[#This Row],[Status]]="Em Linha",Olfa[[#This Row],[Status]]="Componente",Olfa[[#This Row],[Status]]="Materia Prima"),Olfa[[#This Row],[Proj. de V. No prox. mes]]*10,"-")</f>
        <v>124</v>
      </c>
      <c r="P91" s="34">
        <f>IF(OR(Olfa[[#This Row],[Status]]="Em Linha",Olfa[[#This Row],[Status]]="Componente",Olfa[[#This Row],[Status]]="Materia Prima"),Olfa[[#This Row],[estoque 10 meses]]-Olfa[[#This Row],[Estoque+Importação]],0)</f>
        <v>-108</v>
      </c>
      <c r="Q91" s="75">
        <f>Olfa[[#This Row],[Colunas1]]+Olfa[[#This Row],[Colunas2]]</f>
        <v>12.4</v>
      </c>
      <c r="R91" s="43">
        <f>VLOOKUP(Olfa[[#This Row],[Código]],Projeção[#All],14,FALSE)</f>
        <v>3.5333333333333337</v>
      </c>
      <c r="S91" s="39">
        <f>IFERROR(VLOOKUP(Olfa[[#This Row],[Código]],Vendas!A87:B166,2,FALSE),0)</f>
        <v>0</v>
      </c>
      <c r="T91" s="44">
        <f>IFERROR(Olfa[[#This Row],[V. No mes]]/Olfa[[#This Row],[Proj. de V. No mes]],"")</f>
        <v>0</v>
      </c>
      <c r="U91" s="43">
        <f>VLOOKUP(Olfa[[#This Row],[Código]],Projeção[#All],14,FALSE)+VLOOKUP(Olfa[[#This Row],[Código]],Projeção[#All],13,FALSE)+VLOOKUP(Olfa[[#This Row],[Código]],Projeção[#All],12,FALSE)</f>
        <v>6.2666666666666666</v>
      </c>
      <c r="V91" s="39">
        <f>IFERROR(VLOOKUP(Olfa[[#This Row],[Código]],Venda_3meses[],2,FALSE),0)</f>
        <v>42</v>
      </c>
      <c r="W91" s="44">
        <f>IFERROR(Olfa[[#This Row],[V. 3 meses]]/Olfa[[#This Row],[Proj. de V. 3 meses]],"")</f>
        <v>6.7021276595744679</v>
      </c>
      <c r="X9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7.6</v>
      </c>
      <c r="Y91" s="101">
        <f>IFERROR(VLOOKUP(Olfa[[#This Row],[Código]],Venda_6meses[],2,FALSE),0)</f>
        <v>42</v>
      </c>
      <c r="Z91" s="45">
        <f>IFERROR(Olfa[[#This Row],[V. 6 meses]]/Olfa[[#This Row],[Proj. de V. 6 meses]],"")</f>
        <v>5.5263157894736841</v>
      </c>
      <c r="AA9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15.4</v>
      </c>
      <c r="AB91" s="39">
        <f>IFERROR(VLOOKUP(Olfa[[#This Row],[Código]],Venda_12meses[],2,FALSE),0)</f>
        <v>62</v>
      </c>
      <c r="AC91" s="171">
        <f>Olfa[[#This Row],[V. 12 meses]]/6</f>
        <v>10.333333333333334</v>
      </c>
      <c r="AD91" s="171">
        <f>Olfa[[#This Row],[Colunas1]]*0.2</f>
        <v>2.0666666666666669</v>
      </c>
      <c r="AE91" s="44">
        <f>IFERROR(Olfa[[#This Row],[V. 12 meses]]/Olfa[[#This Row],[Proj. de V. 12 meses]],"")</f>
        <v>4.0259740259740262</v>
      </c>
      <c r="AF91" s="22"/>
    </row>
    <row r="92" spans="1:32" hidden="1" x14ac:dyDescent="0.25">
      <c r="A92" s="22" t="s">
        <v>2129</v>
      </c>
      <c r="B92" s="22" t="str">
        <f>IF(OR(Olfa[[#This Row],[Status]]="Em linha",Olfa[[#This Row],[Status]]="Materia Prima",Olfa[[#This Row],[Status]]="Componente"),"ok",IF(Olfa[[#This Row],[Estoque+Importação]]&lt;1,"Tirar","ok"))</f>
        <v>ok</v>
      </c>
      <c r="C92" s="23">
        <v>33070663722</v>
      </c>
      <c r="D92" s="22" t="s">
        <v>1181</v>
      </c>
      <c r="E92" s="22" t="str">
        <f>VLOOKUP(Olfa[[#This Row],[Código]],BD_Produto[],3,FALSE)</f>
        <v>Estojo de Lâminas</v>
      </c>
      <c r="F92" s="22" t="str">
        <f>VLOOKUP(Olfa[[#This Row],[Código]],BD_Produto[],4,FALSE)</f>
        <v>Especial</v>
      </c>
      <c r="G92" s="24">
        <v>240</v>
      </c>
      <c r="H92" s="28">
        <v>112</v>
      </c>
      <c r="I92" s="22" t="s">
        <v>2849</v>
      </c>
      <c r="J92" s="24"/>
      <c r="K92" s="24"/>
      <c r="L92" s="177">
        <f>IFERROR(VLOOKUP(Olfa[[#This Row],[Código]],Saldo[],3,FALSE),0)</f>
        <v>429</v>
      </c>
      <c r="M92" s="24">
        <f>SUM(Olfa[[#This Row],[Produção]:[Estoque]])</f>
        <v>429</v>
      </c>
      <c r="N92" s="177">
        <f>IFERROR(Olfa[[#This Row],[Estoque+Importação]]/Olfa[[#This Row],[Proj. de V. No prox. mes]],"Sem Projeção")</f>
        <v>21.887755102040817</v>
      </c>
      <c r="O92" s="177">
        <f>IF(OR(Olfa[[#This Row],[Status]]="Em Linha",Olfa[[#This Row],[Status]]="Componente",Olfa[[#This Row],[Status]]="Materia Prima"),Olfa[[#This Row],[Proj. de V. No prox. mes]]*10,"-")</f>
        <v>195.99999999999997</v>
      </c>
      <c r="P92" s="34">
        <f>IF(OR(Olfa[[#This Row],[Status]]="Em Linha",Olfa[[#This Row],[Status]]="Componente",Olfa[[#This Row],[Status]]="Materia Prima"),Olfa[[#This Row],[estoque 10 meses]]-Olfa[[#This Row],[Estoque+Importação]],0)</f>
        <v>-233.00000000000003</v>
      </c>
      <c r="Q92" s="75">
        <f>Olfa[[#This Row],[Colunas1]]+Olfa[[#This Row],[Colunas2]]</f>
        <v>19.599999999999998</v>
      </c>
      <c r="R92" s="43">
        <f>VLOOKUP(Olfa[[#This Row],[Código]],Projeção[#All],14,FALSE)</f>
        <v>7.8666666666666671</v>
      </c>
      <c r="S92" s="39">
        <f>IFERROR(VLOOKUP(Olfa[[#This Row],[Código]],Vendas!A88:B167,2,FALSE),0)</f>
        <v>0</v>
      </c>
      <c r="T92" s="44">
        <f>IFERROR(Olfa[[#This Row],[V. No mes]]/Olfa[[#This Row],[Proj. de V. No mes]],"")</f>
        <v>0</v>
      </c>
      <c r="U92" s="43">
        <f>VLOOKUP(Olfa[[#This Row],[Código]],Projeção[#All],14,FALSE)+VLOOKUP(Olfa[[#This Row],[Código]],Projeção[#All],13,FALSE)+VLOOKUP(Olfa[[#This Row],[Código]],Projeção[#All],12,FALSE)</f>
        <v>19.466666666666665</v>
      </c>
      <c r="V92" s="39">
        <f>IFERROR(VLOOKUP(Olfa[[#This Row],[Código]],Venda_3meses[],2,FALSE),0)</f>
        <v>30</v>
      </c>
      <c r="W92" s="44">
        <f>IFERROR(Olfa[[#This Row],[V. 3 meses]]/Olfa[[#This Row],[Proj. de V. 3 meses]],"")</f>
        <v>1.5410958904109591</v>
      </c>
      <c r="X9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24.266666666666662</v>
      </c>
      <c r="Y92" s="101">
        <f>IFERROR(VLOOKUP(Olfa[[#This Row],[Código]],Venda_6meses[],2,FALSE),0)</f>
        <v>42</v>
      </c>
      <c r="Z92" s="45">
        <f>IFERROR(Olfa[[#This Row],[V. 6 meses]]/Olfa[[#This Row],[Proj. de V. 6 meses]],"")</f>
        <v>1.7307692307692311</v>
      </c>
      <c r="AA9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50.066666666666656</v>
      </c>
      <c r="AB92" s="39">
        <f>IFERROR(VLOOKUP(Olfa[[#This Row],[Código]],Venda_12meses[],2,FALSE),0)</f>
        <v>98</v>
      </c>
      <c r="AC92" s="171">
        <f>Olfa[[#This Row],[V. 12 meses]]/6</f>
        <v>16.333333333333332</v>
      </c>
      <c r="AD92" s="171">
        <f>Olfa[[#This Row],[Colunas1]]*0.2</f>
        <v>3.2666666666666666</v>
      </c>
      <c r="AE92" s="44">
        <f>IFERROR(Olfa[[#This Row],[V. 12 meses]]/Olfa[[#This Row],[Proj. de V. 12 meses]],"")</f>
        <v>1.9573901464713719</v>
      </c>
      <c r="AF92" s="22"/>
    </row>
    <row r="93" spans="1:32" hidden="1" x14ac:dyDescent="0.25">
      <c r="A93" s="22" t="s">
        <v>2129</v>
      </c>
      <c r="B93" s="22" t="str">
        <f>IF(OR(Olfa[[#This Row],[Status]]="Em linha",Olfa[[#This Row],[Status]]="Materia Prima",Olfa[[#This Row],[Status]]="Componente"),"ok",IF(Olfa[[#This Row],[Estoque+Importação]]&lt;1,"Tirar","ok"))</f>
        <v>ok</v>
      </c>
      <c r="C93" s="23">
        <v>33070664311</v>
      </c>
      <c r="D93" s="22" t="s">
        <v>1001</v>
      </c>
      <c r="E93" s="22" t="str">
        <f>VLOOKUP(Olfa[[#This Row],[Código]],BD_Produto[],3,FALSE)</f>
        <v>Estilete Especial</v>
      </c>
      <c r="F93" s="22" t="str">
        <f>VLOOKUP(Olfa[[#This Row],[Código]],BD_Produto[],4,FALSE)</f>
        <v>Especial</v>
      </c>
      <c r="G93" s="24"/>
      <c r="H93" s="28">
        <v>139</v>
      </c>
      <c r="I93" s="22" t="s">
        <v>2849</v>
      </c>
      <c r="J93" s="24"/>
      <c r="K93" s="24"/>
      <c r="L93" s="177">
        <f>IFERROR(VLOOKUP(Olfa[[#This Row],[Código]],Saldo[],3,FALSE),0)</f>
        <v>175</v>
      </c>
      <c r="M93" s="24">
        <f>SUM(Olfa[[#This Row],[Produção]:[Estoque]])</f>
        <v>175</v>
      </c>
      <c r="N93" s="177">
        <f>IFERROR(Olfa[[#This Row],[Estoque+Importação]]/Olfa[[#This Row],[Proj. de V. No prox. mes]],"Sem Projeção")</f>
        <v>41.666666666666664</v>
      </c>
      <c r="O93" s="177">
        <f>IF(OR(Olfa[[#This Row],[Status]]="Em Linha",Olfa[[#This Row],[Status]]="Componente",Olfa[[#This Row],[Status]]="Materia Prima"),Olfa[[#This Row],[Proj. de V. No prox. mes]]*10,"-")</f>
        <v>42</v>
      </c>
      <c r="P93" s="34">
        <f>IF(OR(Olfa[[#This Row],[Status]]="Em Linha",Olfa[[#This Row],[Status]]="Componente",Olfa[[#This Row],[Status]]="Materia Prima"),Olfa[[#This Row],[estoque 10 meses]]-Olfa[[#This Row],[Estoque+Importação]],0)</f>
        <v>-133</v>
      </c>
      <c r="Q93" s="75">
        <f>Olfa[[#This Row],[Colunas1]]+Olfa[[#This Row],[Colunas2]]</f>
        <v>4.2</v>
      </c>
      <c r="R93" s="43">
        <f>VLOOKUP(Olfa[[#This Row],[Código]],Projeção[#All],14,FALSE)</f>
        <v>2.6666666666666665</v>
      </c>
      <c r="S93" s="39">
        <f>IFERROR(VLOOKUP(Olfa[[#This Row],[Código]],Vendas!A89:B168,2,FALSE),0)</f>
        <v>0</v>
      </c>
      <c r="T93" s="44">
        <f>IFERROR(Olfa[[#This Row],[V. No mes]]/Olfa[[#This Row],[Proj. de V. No mes]],"")</f>
        <v>0</v>
      </c>
      <c r="U93" s="43">
        <f>VLOOKUP(Olfa[[#This Row],[Código]],Projeção[#All],14,FALSE)+VLOOKUP(Olfa[[#This Row],[Código]],Projeção[#All],13,FALSE)+VLOOKUP(Olfa[[#This Row],[Código]],Projeção[#All],12,FALSE)</f>
        <v>6.1999999999999993</v>
      </c>
      <c r="V93" s="39">
        <f>IFERROR(VLOOKUP(Olfa[[#This Row],[Código]],Venda_3meses[],2,FALSE),0)</f>
        <v>3</v>
      </c>
      <c r="W93" s="44">
        <f>IFERROR(Olfa[[#This Row],[V. 3 meses]]/Olfa[[#This Row],[Proj. de V. 3 meses]],"")</f>
        <v>0.48387096774193555</v>
      </c>
      <c r="X9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9.9333333333333336</v>
      </c>
      <c r="Y93" s="101">
        <f>IFERROR(VLOOKUP(Olfa[[#This Row],[Código]],Venda_6meses[],2,FALSE),0)</f>
        <v>3</v>
      </c>
      <c r="Z93" s="45">
        <f>IFERROR(Olfa[[#This Row],[V. 6 meses]]/Olfa[[#This Row],[Proj. de V. 6 meses]],"")</f>
        <v>0.30201342281879195</v>
      </c>
      <c r="AA9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14.733333333333336</v>
      </c>
      <c r="AB93" s="39">
        <f>IFERROR(VLOOKUP(Olfa[[#This Row],[Código]],Venda_12meses[],2,FALSE),0)</f>
        <v>21</v>
      </c>
      <c r="AC93" s="171">
        <f>Olfa[[#This Row],[V. 12 meses]]/6</f>
        <v>3.5</v>
      </c>
      <c r="AD93" s="171">
        <f>Olfa[[#This Row],[Colunas1]]*0.2</f>
        <v>0.70000000000000007</v>
      </c>
      <c r="AE93" s="44">
        <f>IFERROR(Olfa[[#This Row],[V. 12 meses]]/Olfa[[#This Row],[Proj. de V. 12 meses]],"")</f>
        <v>1.4253393665158369</v>
      </c>
      <c r="AF93" s="22"/>
    </row>
    <row r="94" spans="1:32" hidden="1" x14ac:dyDescent="0.25">
      <c r="A94" s="22" t="s">
        <v>2129</v>
      </c>
      <c r="B94" s="22" t="str">
        <f>IF(OR(Olfa[[#This Row],[Status]]="Em linha",Olfa[[#This Row],[Status]]="Materia Prima",Olfa[[#This Row],[Status]]="Componente"),"ok",IF(Olfa[[#This Row],[Estoque+Importação]]&lt;1,"Tirar","ok"))</f>
        <v>ok</v>
      </c>
      <c r="C94" s="23">
        <v>33070660353</v>
      </c>
      <c r="D94" s="22" t="s">
        <v>670</v>
      </c>
      <c r="E94" s="22" t="str">
        <f>VLOOKUP(Olfa[[#This Row],[Código]],BD_Produto[],3,FALSE)</f>
        <v>Estilete de Segurança</v>
      </c>
      <c r="F94" s="22" t="str">
        <f>VLOOKUP(Olfa[[#This Row],[Código]],BD_Produto[],4,FALSE)</f>
        <v>Segurança</v>
      </c>
      <c r="G94" s="24">
        <v>120</v>
      </c>
      <c r="H94" s="28">
        <v>188</v>
      </c>
      <c r="I94" s="22" t="s">
        <v>2849</v>
      </c>
      <c r="J94" s="24"/>
      <c r="K94" s="24"/>
      <c r="L94" s="177">
        <f>IFERROR(VLOOKUP(Olfa[[#This Row],[Código]],Saldo[],3,FALSE),0)</f>
        <v>1029</v>
      </c>
      <c r="M94" s="24">
        <f>SUM(Olfa[[#This Row],[Produção]:[Estoque]])</f>
        <v>1029</v>
      </c>
      <c r="N94" s="177">
        <f>IFERROR(Olfa[[#This Row],[Estoque+Importação]]/Olfa[[#This Row],[Proj. de V. No prox. mes]],"Sem Projeção")</f>
        <v>24.383886255924175</v>
      </c>
      <c r="O94" s="177">
        <f>IF(OR(Olfa[[#This Row],[Status]]="Em Linha",Olfa[[#This Row],[Status]]="Componente",Olfa[[#This Row],[Status]]="Materia Prima"),Olfa[[#This Row],[Proj. de V. No prox. mes]]*10,"-")</f>
        <v>421.99999999999994</v>
      </c>
      <c r="P94" s="34">
        <f>IF(OR(Olfa[[#This Row],[Status]]="Em Linha",Olfa[[#This Row],[Status]]="Componente",Olfa[[#This Row],[Status]]="Materia Prima"),Olfa[[#This Row],[estoque 10 meses]]-Olfa[[#This Row],[Estoque+Importação]],0)</f>
        <v>-607</v>
      </c>
      <c r="Q94" s="75">
        <f>Olfa[[#This Row],[Colunas1]]+Olfa[[#This Row],[Colunas2]]</f>
        <v>42.199999999999996</v>
      </c>
      <c r="R94" s="43">
        <f>VLOOKUP(Olfa[[#This Row],[Código]],Projeção[#All],14,FALSE)</f>
        <v>26.2</v>
      </c>
      <c r="S94" s="39">
        <f>IFERROR(VLOOKUP(Olfa[[#This Row],[Código]],Vendas!A90:B169,2,FALSE),0)</f>
        <v>20</v>
      </c>
      <c r="T94" s="44">
        <f>IFERROR(Olfa[[#This Row],[V. No mes]]/Olfa[[#This Row],[Proj. de V. No mes]],"")</f>
        <v>0.76335877862595425</v>
      </c>
      <c r="U94" s="43">
        <f>VLOOKUP(Olfa[[#This Row],[Código]],Projeção[#All],14,FALSE)+VLOOKUP(Olfa[[#This Row],[Código]],Projeção[#All],13,FALSE)+VLOOKUP(Olfa[[#This Row],[Código]],Projeção[#All],12,FALSE)</f>
        <v>66.599999999999994</v>
      </c>
      <c r="V94" s="39">
        <f>IFERROR(VLOOKUP(Olfa[[#This Row],[Código]],Venda_3meses[],2,FALSE),0)</f>
        <v>44</v>
      </c>
      <c r="W94" s="44">
        <f>IFERROR(Olfa[[#This Row],[V. 3 meses]]/Olfa[[#This Row],[Proj. de V. 3 meses]],"")</f>
        <v>0.66066066066066076</v>
      </c>
      <c r="X9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93.666666666666643</v>
      </c>
      <c r="Y94" s="101">
        <f>IFERROR(VLOOKUP(Olfa[[#This Row],[Código]],Venda_6meses[],2,FALSE),0)</f>
        <v>112</v>
      </c>
      <c r="Z94" s="45">
        <f>IFERROR(Olfa[[#This Row],[V. 6 meses]]/Olfa[[#This Row],[Proj. de V. 6 meses]],"")</f>
        <v>1.1957295373665484</v>
      </c>
      <c r="AA9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276</v>
      </c>
      <c r="AB94" s="39">
        <f>IFERROR(VLOOKUP(Olfa[[#This Row],[Código]],Venda_12meses[],2,FALSE),0)</f>
        <v>211</v>
      </c>
      <c r="AC94" s="171">
        <f>Olfa[[#This Row],[V. 12 meses]]/6</f>
        <v>35.166666666666664</v>
      </c>
      <c r="AD94" s="171">
        <f>Olfa[[#This Row],[Colunas1]]*0.2</f>
        <v>7.0333333333333332</v>
      </c>
      <c r="AE94" s="44">
        <f>IFERROR(Olfa[[#This Row],[V. 12 meses]]/Olfa[[#This Row],[Proj. de V. 12 meses]],"")</f>
        <v>0.76449275362318836</v>
      </c>
      <c r="AF94" s="22"/>
    </row>
    <row r="95" spans="1:32" hidden="1" x14ac:dyDescent="0.25">
      <c r="A95" s="22" t="s">
        <v>2129</v>
      </c>
      <c r="B95" s="22" t="str">
        <f>IF(OR(Olfa[[#This Row],[Status]]="Em linha",Olfa[[#This Row],[Status]]="Materia Prima",Olfa[[#This Row],[Status]]="Componente"),"ok",IF(Olfa[[#This Row],[Estoque+Importação]]&lt;1,"Tirar","ok"))</f>
        <v>ok</v>
      </c>
      <c r="C95" s="23">
        <v>33070661132</v>
      </c>
      <c r="D95" s="22" t="s">
        <v>675</v>
      </c>
      <c r="E95" s="22" t="str">
        <f>VLOOKUP(Olfa[[#This Row],[Código]],BD_Produto[],3,FALSE)</f>
        <v>Tesoura</v>
      </c>
      <c r="F95" s="22" t="str">
        <f>VLOOKUP(Olfa[[#This Row],[Código]],BD_Produto[],4,FALSE)</f>
        <v>Tesoura</v>
      </c>
      <c r="G95" s="24">
        <v>120</v>
      </c>
      <c r="H95" s="28">
        <v>538.75</v>
      </c>
      <c r="I95" s="22" t="s">
        <v>2849</v>
      </c>
      <c r="J95" s="24"/>
      <c r="K95" s="24"/>
      <c r="L95" s="177">
        <f>IFERROR(VLOOKUP(Olfa[[#This Row],[Código]],Saldo[],3,FALSE),0)</f>
        <v>772</v>
      </c>
      <c r="M95" s="24">
        <f>SUM(Olfa[[#This Row],[Produção]:[Estoque]])</f>
        <v>772</v>
      </c>
      <c r="N95" s="177">
        <f>IFERROR(Olfa[[#This Row],[Estoque+Importação]]/Olfa[[#This Row],[Proj. de V. No prox. mes]],"Sem Projeção")</f>
        <v>31.639344262295083</v>
      </c>
      <c r="O95" s="177">
        <f>IF(OR(Olfa[[#This Row],[Status]]="Em Linha",Olfa[[#This Row],[Status]]="Componente",Olfa[[#This Row],[Status]]="Materia Prima"),Olfa[[#This Row],[Proj. de V. No prox. mes]]*10,"-")</f>
        <v>244</v>
      </c>
      <c r="P95" s="34">
        <f>IF(OR(Olfa[[#This Row],[Status]]="Em Linha",Olfa[[#This Row],[Status]]="Componente",Olfa[[#This Row],[Status]]="Materia Prima"),Olfa[[#This Row],[estoque 10 meses]]-Olfa[[#This Row],[Estoque+Importação]],0)</f>
        <v>-528</v>
      </c>
      <c r="Q95" s="75">
        <f>Olfa[[#This Row],[Colunas1]]+Olfa[[#This Row],[Colunas2]]</f>
        <v>24.4</v>
      </c>
      <c r="R95" s="43">
        <f>VLOOKUP(Olfa[[#This Row],[Código]],Projeção[#All],14,FALSE)</f>
        <v>12.866666666666665</v>
      </c>
      <c r="S95" s="39">
        <f>IFERROR(VLOOKUP(Olfa[[#This Row],[Código]],Vendas!A91:B170,2,FALSE),0)</f>
        <v>13</v>
      </c>
      <c r="T95" s="44">
        <f>IFERROR(Olfa[[#This Row],[V. No mes]]/Olfa[[#This Row],[Proj. de V. No mes]],"")</f>
        <v>1.0103626943005182</v>
      </c>
      <c r="U95" s="43">
        <f>VLOOKUP(Olfa[[#This Row],[Código]],Projeção[#All],14,FALSE)+VLOOKUP(Olfa[[#This Row],[Código]],Projeção[#All],13,FALSE)+VLOOKUP(Olfa[[#This Row],[Código]],Projeção[#All],12,FALSE)</f>
        <v>35</v>
      </c>
      <c r="V95" s="39">
        <f>IFERROR(VLOOKUP(Olfa[[#This Row],[Código]],Venda_3meses[],2,FALSE),0)</f>
        <v>35</v>
      </c>
      <c r="W95" s="44">
        <f>IFERROR(Olfa[[#This Row],[V. 3 meses]]/Olfa[[#This Row],[Proj. de V. 3 meses]],"")</f>
        <v>1</v>
      </c>
      <c r="X9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56.5</v>
      </c>
      <c r="Y95" s="101">
        <f>IFERROR(VLOOKUP(Olfa[[#This Row],[Código]],Venda_6meses[],2,FALSE),0)</f>
        <v>45</v>
      </c>
      <c r="Z95" s="45">
        <f>IFERROR(Olfa[[#This Row],[V. 6 meses]]/Olfa[[#This Row],[Proj. de V. 6 meses]],"")</f>
        <v>0.79646017699115046</v>
      </c>
      <c r="AA9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118.43333333333331</v>
      </c>
      <c r="AB95" s="39">
        <f>IFERROR(VLOOKUP(Olfa[[#This Row],[Código]],Venda_12meses[],2,FALSE),0)</f>
        <v>122</v>
      </c>
      <c r="AC95" s="171">
        <f>Olfa[[#This Row],[V. 12 meses]]/6</f>
        <v>20.333333333333332</v>
      </c>
      <c r="AD95" s="171">
        <f>Olfa[[#This Row],[Colunas1]]*0.2</f>
        <v>4.0666666666666664</v>
      </c>
      <c r="AE95" s="44">
        <f>IFERROR(Olfa[[#This Row],[V. 12 meses]]/Olfa[[#This Row],[Proj. de V. 12 meses]],"")</f>
        <v>1.0301153954404731</v>
      </c>
      <c r="AF95" s="22"/>
    </row>
    <row r="96" spans="1:32" hidden="1" x14ac:dyDescent="0.25">
      <c r="A96" s="22" t="s">
        <v>2129</v>
      </c>
      <c r="B96" s="22" t="str">
        <f>IF(OR(Olfa[[#This Row],[Status]]="Em linha",Olfa[[#This Row],[Status]]="Materia Prima",Olfa[[#This Row],[Status]]="Componente"),"ok",IF(Olfa[[#This Row],[Estoque+Importação]]&lt;1,"Tirar","ok"))</f>
        <v>ok</v>
      </c>
      <c r="C96" s="23">
        <v>33070614731</v>
      </c>
      <c r="D96" s="22" t="s">
        <v>620</v>
      </c>
      <c r="E96" s="22" t="str">
        <f>VLOOKUP(Olfa[[#This Row],[Código]],BD_Produto[],3,FALSE)</f>
        <v>Estilete Especial</v>
      </c>
      <c r="F96" s="22" t="str">
        <f>VLOOKUP(Olfa[[#This Row],[Código]],BD_Produto[],4,FALSE)</f>
        <v>Especial</v>
      </c>
      <c r="G96" s="24">
        <v>60</v>
      </c>
      <c r="H96" s="28">
        <v>929</v>
      </c>
      <c r="I96" s="22" t="s">
        <v>2849</v>
      </c>
      <c r="J96" s="24"/>
      <c r="K96" s="24"/>
      <c r="L96" s="177">
        <f>IFERROR(VLOOKUP(Olfa[[#This Row],[Código]],Saldo[],3,FALSE),0)</f>
        <v>163</v>
      </c>
      <c r="M96" s="24">
        <f>SUM(Olfa[[#This Row],[Produção]:[Estoque]])</f>
        <v>163</v>
      </c>
      <c r="N96" s="177">
        <f>IFERROR(Olfa[[#This Row],[Estoque+Importação]]/Olfa[[#This Row],[Proj. de V. No prox. mes]],"Sem Projeção")</f>
        <v>30.185185185185183</v>
      </c>
      <c r="O96" s="177">
        <f>IF(OR(Olfa[[#This Row],[Status]]="Em Linha",Olfa[[#This Row],[Status]]="Componente",Olfa[[#This Row],[Status]]="Materia Prima"),Olfa[[#This Row],[Proj. de V. No prox. mes]]*10,"-")</f>
        <v>54</v>
      </c>
      <c r="P96" s="34">
        <f>IF(OR(Olfa[[#This Row],[Status]]="Em Linha",Olfa[[#This Row],[Status]]="Componente",Olfa[[#This Row],[Status]]="Materia Prima"),Olfa[[#This Row],[estoque 10 meses]]-Olfa[[#This Row],[Estoque+Importação]],0)</f>
        <v>-109</v>
      </c>
      <c r="Q96" s="75">
        <f>Olfa[[#This Row],[Colunas1]]+Olfa[[#This Row],[Colunas2]]</f>
        <v>5.4</v>
      </c>
      <c r="R96" s="43">
        <f>VLOOKUP(Olfa[[#This Row],[Código]],Projeção[#All],14,FALSE)</f>
        <v>2.5666666666666664</v>
      </c>
      <c r="S96" s="39">
        <f>IFERROR(VLOOKUP(Olfa[[#This Row],[Código]],Vendas!A92:B171,2,FALSE),0)</f>
        <v>0</v>
      </c>
      <c r="T96" s="44">
        <f>IFERROR(Olfa[[#This Row],[V. No mes]]/Olfa[[#This Row],[Proj. de V. No mes]],"")</f>
        <v>0</v>
      </c>
      <c r="U96" s="43">
        <f>VLOOKUP(Olfa[[#This Row],[Código]],Projeção[#All],14,FALSE)+VLOOKUP(Olfa[[#This Row],[Código]],Projeção[#All],13,FALSE)+VLOOKUP(Olfa[[#This Row],[Código]],Projeção[#All],12,FALSE)</f>
        <v>5.8333333333333321</v>
      </c>
      <c r="V96" s="39">
        <f>IFERROR(VLOOKUP(Olfa[[#This Row],[Código]],Venda_3meses[],2,FALSE),0)</f>
        <v>4</v>
      </c>
      <c r="W96" s="44">
        <f>IFERROR(Olfa[[#This Row],[V. 3 meses]]/Olfa[[#This Row],[Proj. de V. 3 meses]],"")</f>
        <v>0.68571428571428583</v>
      </c>
      <c r="X9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10.9</v>
      </c>
      <c r="Y96" s="101">
        <f>IFERROR(VLOOKUP(Olfa[[#This Row],[Código]],Venda_6meses[],2,FALSE),0)</f>
        <v>4</v>
      </c>
      <c r="Z96" s="45">
        <f>IFERROR(Olfa[[#This Row],[V. 6 meses]]/Olfa[[#This Row],[Proj. de V. 6 meses]],"")</f>
        <v>0.36697247706422015</v>
      </c>
      <c r="AA9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23.366666666666664</v>
      </c>
      <c r="AB96" s="39">
        <f>IFERROR(VLOOKUP(Olfa[[#This Row],[Código]],Venda_12meses[],2,FALSE),0)</f>
        <v>27</v>
      </c>
      <c r="AC96" s="171">
        <f>Olfa[[#This Row],[V. 12 meses]]/6</f>
        <v>4.5</v>
      </c>
      <c r="AD96" s="171">
        <f>Olfa[[#This Row],[Colunas1]]*0.2</f>
        <v>0.9</v>
      </c>
      <c r="AE96" s="44">
        <f>IFERROR(Olfa[[#This Row],[V. 12 meses]]/Olfa[[#This Row],[Proj. de V. 12 meses]],"")</f>
        <v>1.1554921540656207</v>
      </c>
      <c r="AF96" s="22"/>
    </row>
    <row r="97" spans="1:32" hidden="1" x14ac:dyDescent="0.25">
      <c r="A97" s="22" t="s">
        <v>2129</v>
      </c>
      <c r="B97" s="22" t="str">
        <f>IF(OR(Olfa[[#This Row],[Status]]="Em linha",Olfa[[#This Row],[Status]]="Materia Prima",Olfa[[#This Row],[Status]]="Componente"),"ok",IF(Olfa[[#This Row],[Estoque+Importação]]&lt;1,"Tirar","ok"))</f>
        <v>ok</v>
      </c>
      <c r="C97" s="23">
        <v>33070614913</v>
      </c>
      <c r="D97" s="22" t="s">
        <v>658</v>
      </c>
      <c r="E97" s="22" t="str">
        <f>VLOOKUP(Olfa[[#This Row],[Código]],BD_Produto[],3,FALSE)</f>
        <v>Estojo de Lâminas</v>
      </c>
      <c r="F97" s="22" t="str">
        <f>VLOOKUP(Olfa[[#This Row],[Código]],BD_Produto[],4,FALSE)</f>
        <v>Especial</v>
      </c>
      <c r="G97" s="24">
        <v>480</v>
      </c>
      <c r="H97" s="28">
        <v>140</v>
      </c>
      <c r="I97" s="22" t="s">
        <v>2849</v>
      </c>
      <c r="J97" s="24"/>
      <c r="K97" s="24"/>
      <c r="L97" s="177">
        <f>IFERROR(VLOOKUP(Olfa[[#This Row],[Código]],Saldo[],3,FALSE),0)</f>
        <v>564</v>
      </c>
      <c r="M97" s="24">
        <f>SUM(Olfa[[#This Row],[Produção]:[Estoque]])</f>
        <v>564</v>
      </c>
      <c r="N97" s="177">
        <f>IFERROR(Olfa[[#This Row],[Estoque+Importação]]/Olfa[[#This Row],[Proj. de V. No prox. mes]],"Sem Projeção")</f>
        <v>28.775510204081638</v>
      </c>
      <c r="O97" s="177">
        <f>IF(OR(Olfa[[#This Row],[Status]]="Em Linha",Olfa[[#This Row],[Status]]="Componente",Olfa[[#This Row],[Status]]="Materia Prima"),Olfa[[#This Row],[Proj. de V. No prox. mes]]*10,"-")</f>
        <v>195.99999999999997</v>
      </c>
      <c r="P97" s="34">
        <f>IF(OR(Olfa[[#This Row],[Status]]="Em Linha",Olfa[[#This Row],[Status]]="Componente",Olfa[[#This Row],[Status]]="Materia Prima"),Olfa[[#This Row],[estoque 10 meses]]-Olfa[[#This Row],[Estoque+Importação]],0)</f>
        <v>-368</v>
      </c>
      <c r="Q97" s="75">
        <f>Olfa[[#This Row],[Colunas1]]+Olfa[[#This Row],[Colunas2]]</f>
        <v>19.599999999999998</v>
      </c>
      <c r="R97" s="43">
        <f>VLOOKUP(Olfa[[#This Row],[Código]],Projeção[#All],14,FALSE)</f>
        <v>13.733333333333333</v>
      </c>
      <c r="S97" s="39">
        <f>IFERROR(VLOOKUP(Olfa[[#This Row],[Código]],Vendas!A93:B172,2,FALSE),0)</f>
        <v>15</v>
      </c>
      <c r="T97" s="44">
        <f>IFERROR(Olfa[[#This Row],[V. No mes]]/Olfa[[#This Row],[Proj. de V. No mes]],"")</f>
        <v>1.0922330097087378</v>
      </c>
      <c r="U97" s="43">
        <f>VLOOKUP(Olfa[[#This Row],[Código]],Projeção[#All],14,FALSE)+VLOOKUP(Olfa[[#This Row],[Código]],Projeção[#All],13,FALSE)+VLOOKUP(Olfa[[#This Row],[Código]],Projeção[#All],12,FALSE)</f>
        <v>40.6</v>
      </c>
      <c r="V97" s="39">
        <f>IFERROR(VLOOKUP(Olfa[[#This Row],[Código]],Venda_3meses[],2,FALSE),0)</f>
        <v>30</v>
      </c>
      <c r="W97" s="44">
        <f>IFERROR(Olfa[[#This Row],[V. 3 meses]]/Olfa[[#This Row],[Proj. de V. 3 meses]],"")</f>
        <v>0.73891625615763545</v>
      </c>
      <c r="X9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58.2</v>
      </c>
      <c r="Y97" s="101">
        <f>IFERROR(VLOOKUP(Olfa[[#This Row],[Código]],Venda_6meses[],2,FALSE),0)</f>
        <v>36</v>
      </c>
      <c r="Z97" s="45">
        <f>IFERROR(Olfa[[#This Row],[V. 6 meses]]/Olfa[[#This Row],[Proj. de V. 6 meses]],"")</f>
        <v>0.61855670103092786</v>
      </c>
      <c r="AA9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116.73333333333333</v>
      </c>
      <c r="AB97" s="39">
        <f>IFERROR(VLOOKUP(Olfa[[#This Row],[Código]],Venda_12meses[],2,FALSE),0)</f>
        <v>98</v>
      </c>
      <c r="AC97" s="171">
        <f>Olfa[[#This Row],[V. 12 meses]]/6</f>
        <v>16.333333333333332</v>
      </c>
      <c r="AD97" s="171">
        <f>Olfa[[#This Row],[Colunas1]]*0.2</f>
        <v>3.2666666666666666</v>
      </c>
      <c r="AE97" s="44">
        <f>IFERROR(Olfa[[#This Row],[V. 12 meses]]/Olfa[[#This Row],[Proj. de V. 12 meses]],"")</f>
        <v>0.83952027412906904</v>
      </c>
      <c r="AF97" s="22"/>
    </row>
    <row r="98" spans="1:32" hidden="1" x14ac:dyDescent="0.25">
      <c r="A98" s="22" t="s">
        <v>2129</v>
      </c>
      <c r="B98" s="22" t="str">
        <f>IF(OR(Olfa[[#This Row],[Status]]="Em linha",Olfa[[#This Row],[Status]]="Materia Prima",Olfa[[#This Row],[Status]]="Componente"),"ok",IF(Olfa[[#This Row],[Estoque+Importação]]&lt;1,"Tirar","ok"))</f>
        <v>ok</v>
      </c>
      <c r="C98" s="23">
        <v>33070664316</v>
      </c>
      <c r="D98" s="22" t="s">
        <v>931</v>
      </c>
      <c r="E98" s="22" t="str">
        <f>VLOOKUP(Olfa[[#This Row],[Código]],BD_Produto[],3,FALSE)</f>
        <v>Estojo de Lâminas</v>
      </c>
      <c r="F98" s="22" t="str">
        <f>VLOOKUP(Olfa[[#This Row],[Código]],BD_Produto[],4,FALSE)</f>
        <v>Especial</v>
      </c>
      <c r="G98" s="24"/>
      <c r="H98" s="28">
        <v>998</v>
      </c>
      <c r="I98" s="22" t="s">
        <v>2849</v>
      </c>
      <c r="J98" s="24"/>
      <c r="K98" s="24"/>
      <c r="L98" s="177">
        <f>IFERROR(VLOOKUP(Olfa[[#This Row],[Código]],Saldo[],3,FALSE),0)</f>
        <v>155</v>
      </c>
      <c r="M98" s="24">
        <f>SUM(Olfa[[#This Row],[Produção]:[Estoque]])</f>
        <v>155</v>
      </c>
      <c r="N98" s="177">
        <f>IFERROR(Olfa[[#This Row],[Estoque+Importação]]/Olfa[[#This Row],[Proj. de V. No prox. mes]],"Sem Projeção")</f>
        <v>14.903846153846155</v>
      </c>
      <c r="O98" s="177">
        <f>IF(OR(Olfa[[#This Row],[Status]]="Em Linha",Olfa[[#This Row],[Status]]="Componente",Olfa[[#This Row],[Status]]="Materia Prima"),Olfa[[#This Row],[Proj. de V. No prox. mes]]*10,"-")</f>
        <v>103.99999999999999</v>
      </c>
      <c r="P98" s="34">
        <f>IF(OR(Olfa[[#This Row],[Status]]="Em Linha",Olfa[[#This Row],[Status]]="Componente",Olfa[[#This Row],[Status]]="Materia Prima"),Olfa[[#This Row],[estoque 10 meses]]-Olfa[[#This Row],[Estoque+Importação]],0)</f>
        <v>-51.000000000000014</v>
      </c>
      <c r="Q98" s="75">
        <f>Olfa[[#This Row],[Colunas1]]+Olfa[[#This Row],[Colunas2]]</f>
        <v>10.399999999999999</v>
      </c>
      <c r="R98" s="43">
        <f>VLOOKUP(Olfa[[#This Row],[Código]],Projeção[#All],14,FALSE)</f>
        <v>4.2</v>
      </c>
      <c r="S98" s="39">
        <f>IFERROR(VLOOKUP(Olfa[[#This Row],[Código]],Vendas!A94:B173,2,FALSE),0)</f>
        <v>0</v>
      </c>
      <c r="T98" s="44">
        <f>IFERROR(Olfa[[#This Row],[V. No mes]]/Olfa[[#This Row],[Proj. de V. No mes]],"")</f>
        <v>0</v>
      </c>
      <c r="U98" s="43">
        <f>VLOOKUP(Olfa[[#This Row],[Código]],Projeção[#All],14,FALSE)+VLOOKUP(Olfa[[#This Row],[Código]],Projeção[#All],13,FALSE)+VLOOKUP(Olfa[[#This Row],[Código]],Projeção[#All],12,FALSE)</f>
        <v>10.6</v>
      </c>
      <c r="V98" s="39">
        <f>IFERROR(VLOOKUP(Olfa[[#This Row],[Código]],Venda_3meses[],2,FALSE),0)</f>
        <v>12</v>
      </c>
      <c r="W98" s="44">
        <f>IFERROR(Olfa[[#This Row],[V. 3 meses]]/Olfa[[#This Row],[Proj. de V. 3 meses]],"")</f>
        <v>1.1320754716981132</v>
      </c>
      <c r="X9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11.500000000000002</v>
      </c>
      <c r="Y98" s="101">
        <f>IFERROR(VLOOKUP(Olfa[[#This Row],[Código]],Venda_6meses[],2,FALSE),0)</f>
        <v>12</v>
      </c>
      <c r="Z98" s="45">
        <f>IFERROR(Olfa[[#This Row],[V. 6 meses]]/Olfa[[#This Row],[Proj. de V. 6 meses]],"")</f>
        <v>1.043478260869565</v>
      </c>
      <c r="AA9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13.700000000000005</v>
      </c>
      <c r="AB98" s="39">
        <f>IFERROR(VLOOKUP(Olfa[[#This Row],[Código]],Venda_12meses[],2,FALSE),0)</f>
        <v>52</v>
      </c>
      <c r="AC98" s="171">
        <f>Olfa[[#This Row],[V. 12 meses]]/6</f>
        <v>8.6666666666666661</v>
      </c>
      <c r="AD98" s="171">
        <f>Olfa[[#This Row],[Colunas1]]*0.2</f>
        <v>1.7333333333333334</v>
      </c>
      <c r="AE98" s="44">
        <f>IFERROR(Olfa[[#This Row],[V. 12 meses]]/Olfa[[#This Row],[Proj. de V. 12 meses]],"")</f>
        <v>3.7956204379562033</v>
      </c>
      <c r="AF98" s="22"/>
    </row>
    <row r="99" spans="1:32" hidden="1" x14ac:dyDescent="0.25">
      <c r="A99" s="22" t="s">
        <v>2129</v>
      </c>
      <c r="B99" s="22" t="str">
        <f>IF(OR(Olfa[[#This Row],[Status]]="Em linha",Olfa[[#This Row],[Status]]="Materia Prima",Olfa[[#This Row],[Status]]="Componente"),"ok",IF(Olfa[[#This Row],[Estoque+Importação]]&lt;1,"Tirar","ok"))</f>
        <v>ok</v>
      </c>
      <c r="C99" s="23">
        <v>33070661992</v>
      </c>
      <c r="D99" s="22" t="s">
        <v>680</v>
      </c>
      <c r="E99" s="22" t="str">
        <f>VLOOKUP(Olfa[[#This Row],[Código]],BD_Produto[],3,FALSE)</f>
        <v>Estilete de Segurança</v>
      </c>
      <c r="F99" s="22" t="str">
        <f>VLOOKUP(Olfa[[#This Row],[Código]],BD_Produto[],4,FALSE)</f>
        <v>Segurança</v>
      </c>
      <c r="G99" s="24">
        <v>120</v>
      </c>
      <c r="H99" s="28">
        <v>418</v>
      </c>
      <c r="I99" s="22" t="s">
        <v>2849</v>
      </c>
      <c r="J99" s="24"/>
      <c r="K99" s="24"/>
      <c r="L99" s="177">
        <f>IFERROR(VLOOKUP(Olfa[[#This Row],[Código]],Saldo[],3,FALSE),0)</f>
        <v>932</v>
      </c>
      <c r="M99" s="24">
        <f>SUM(Olfa[[#This Row],[Produção]:[Estoque]])</f>
        <v>932</v>
      </c>
      <c r="N99" s="177">
        <f>IFERROR(Olfa[[#This Row],[Estoque+Importação]]/Olfa[[#This Row],[Proj. de V. No prox. mes]],"Sem Projeção")</f>
        <v>31.275167785234903</v>
      </c>
      <c r="O99" s="177">
        <f>IF(OR(Olfa[[#This Row],[Status]]="Em Linha",Olfa[[#This Row],[Status]]="Componente",Olfa[[#This Row],[Status]]="Materia Prima"),Olfa[[#This Row],[Proj. de V. No prox. mes]]*10,"-")</f>
        <v>298</v>
      </c>
      <c r="P99" s="34">
        <f>IF(OR(Olfa[[#This Row],[Status]]="Em Linha",Olfa[[#This Row],[Status]]="Componente",Olfa[[#This Row],[Status]]="Materia Prima"),Olfa[[#This Row],[estoque 10 meses]]-Olfa[[#This Row],[Estoque+Importação]],0)</f>
        <v>-634</v>
      </c>
      <c r="Q99" s="75">
        <f>Olfa[[#This Row],[Colunas1]]+Olfa[[#This Row],[Colunas2]]</f>
        <v>29.799999999999997</v>
      </c>
      <c r="R99" s="43">
        <f>VLOOKUP(Olfa[[#This Row],[Código]],Projeção[#All],14,FALSE)</f>
        <v>10.933333333333335</v>
      </c>
      <c r="S99" s="39">
        <f>IFERROR(VLOOKUP(Olfa[[#This Row],[Código]],Vendas!A95:B256,2,FALSE),0)</f>
        <v>1</v>
      </c>
      <c r="T99" s="44">
        <f>IFERROR(Olfa[[#This Row],[V. No mes]]/Olfa[[#This Row],[Proj. de V. No mes]],"")</f>
        <v>9.1463414634146326E-2</v>
      </c>
      <c r="U99" s="43">
        <f>VLOOKUP(Olfa[[#This Row],[Código]],Projeção[#All],14,FALSE)+VLOOKUP(Olfa[[#This Row],[Código]],Projeção[#All],13,FALSE)+VLOOKUP(Olfa[[#This Row],[Código]],Projeção[#All],12,FALSE)</f>
        <v>50.4</v>
      </c>
      <c r="V99" s="39">
        <f>IFERROR(VLOOKUP(Olfa[[#This Row],[Código]],Venda_3meses[],2,FALSE),0)</f>
        <v>57</v>
      </c>
      <c r="W99" s="44">
        <f>IFERROR(Olfa[[#This Row],[V. 3 meses]]/Olfa[[#This Row],[Proj. de V. 3 meses]],"")</f>
        <v>1.1309523809523809</v>
      </c>
      <c r="X9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89.333333333333329</v>
      </c>
      <c r="Y99" s="101">
        <f>IFERROR(VLOOKUP(Olfa[[#This Row],[Código]],Venda_6meses[],2,FALSE),0)</f>
        <v>87</v>
      </c>
      <c r="Z99" s="45">
        <f>IFERROR(Olfa[[#This Row],[V. 6 meses]]/Olfa[[#This Row],[Proj. de V. 6 meses]],"")</f>
        <v>0.97388059701492546</v>
      </c>
      <c r="AA9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184.93333333333331</v>
      </c>
      <c r="AB99" s="39">
        <f>IFERROR(VLOOKUP(Olfa[[#This Row],[Código]],Venda_12meses[],2,FALSE),0)</f>
        <v>149</v>
      </c>
      <c r="AC99" s="171">
        <f>Olfa[[#This Row],[V. 12 meses]]/6</f>
        <v>24.833333333333332</v>
      </c>
      <c r="AD99" s="171">
        <f>Olfa[[#This Row],[Colunas1]]*0.2</f>
        <v>4.9666666666666668</v>
      </c>
      <c r="AE99" s="44">
        <f>IFERROR(Olfa[[#This Row],[V. 12 meses]]/Olfa[[#This Row],[Proj. de V. 12 meses]],"")</f>
        <v>0.80569574621485229</v>
      </c>
      <c r="AF99" s="22"/>
    </row>
    <row r="100" spans="1:32" hidden="1" x14ac:dyDescent="0.25">
      <c r="A100" s="22" t="s">
        <v>2129</v>
      </c>
      <c r="B100" s="22" t="str">
        <f>IF(OR(Olfa[[#This Row],[Status]]="Em linha",Olfa[[#This Row],[Status]]="Materia Prima",Olfa[[#This Row],[Status]]="Componente"),"ok",IF(Olfa[[#This Row],[Estoque+Importação]]&lt;1,"Tirar","ok"))</f>
        <v>ok</v>
      </c>
      <c r="C100" s="23">
        <v>33070614030</v>
      </c>
      <c r="D100" s="22" t="s">
        <v>605</v>
      </c>
      <c r="E100" s="22" t="str">
        <f>VLOOKUP(Olfa[[#This Row],[Código]],BD_Produto[],3,FALSE)</f>
        <v>Estojo de Lâminas</v>
      </c>
      <c r="F100" s="22" t="str">
        <f>VLOOKUP(Olfa[[#This Row],[Código]],BD_Produto[],4,FALSE)</f>
        <v>Rotativo</v>
      </c>
      <c r="G100" s="24">
        <v>240</v>
      </c>
      <c r="H100" s="28">
        <v>250</v>
      </c>
      <c r="I100" s="22" t="s">
        <v>2849</v>
      </c>
      <c r="J100" s="24"/>
      <c r="K100" s="24"/>
      <c r="L100" s="177">
        <f>IFERROR(VLOOKUP(Olfa[[#This Row],[Código]],Saldo[],3,FALSE),0)</f>
        <v>345</v>
      </c>
      <c r="M100" s="24">
        <f>SUM(Olfa[[#This Row],[Produção]:[Estoque]])</f>
        <v>345</v>
      </c>
      <c r="N100" s="177">
        <f>IFERROR(Olfa[[#This Row],[Estoque+Importação]]/Olfa[[#This Row],[Proj. de V. No prox. mes]],"Sem Projeção")</f>
        <v>31.363636363636363</v>
      </c>
      <c r="O100" s="177">
        <f>IF(OR(Olfa[[#This Row],[Status]]="Em Linha",Olfa[[#This Row],[Status]]="Componente",Olfa[[#This Row],[Status]]="Materia Prima"),Olfa[[#This Row],[Proj. de V. No prox. mes]]*10,"-")</f>
        <v>110</v>
      </c>
      <c r="P100" s="34">
        <f>IF(OR(Olfa[[#This Row],[Status]]="Em Linha",Olfa[[#This Row],[Status]]="Componente",Olfa[[#This Row],[Status]]="Materia Prima"),Olfa[[#This Row],[estoque 10 meses]]-Olfa[[#This Row],[Estoque+Importação]],0)</f>
        <v>-235</v>
      </c>
      <c r="Q100" s="75">
        <f>Olfa[[#This Row],[Colunas1]]+Olfa[[#This Row],[Colunas2]]</f>
        <v>11</v>
      </c>
      <c r="R100" s="43">
        <f>VLOOKUP(Olfa[[#This Row],[Código]],Projeção[#All],14,FALSE)</f>
        <v>6.2333333333333325</v>
      </c>
      <c r="S100" s="39">
        <f>IFERROR(VLOOKUP(Olfa[[#This Row],[Código]],Vendas!A96:B257,2,FALSE),0)</f>
        <v>7</v>
      </c>
      <c r="T100" s="44">
        <f>IFERROR(Olfa[[#This Row],[V. No mes]]/Olfa[[#This Row],[Proj. de V. No mes]],"")</f>
        <v>1.1229946524064172</v>
      </c>
      <c r="U100" s="43">
        <f>VLOOKUP(Olfa[[#This Row],[Código]],Projeção[#All],14,FALSE)+VLOOKUP(Olfa[[#This Row],[Código]],Projeção[#All],13,FALSE)+VLOOKUP(Olfa[[#This Row],[Código]],Projeção[#All],12,FALSE)</f>
        <v>19</v>
      </c>
      <c r="V100" s="39">
        <f>IFERROR(VLOOKUP(Olfa[[#This Row],[Código]],Venda_3meses[],2,FALSE),0)</f>
        <v>13</v>
      </c>
      <c r="W100" s="44">
        <f>IFERROR(Olfa[[#This Row],[V. 3 meses]]/Olfa[[#This Row],[Proj. de V. 3 meses]],"")</f>
        <v>0.68421052631578949</v>
      </c>
      <c r="X10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22.4</v>
      </c>
      <c r="Y100" s="101">
        <f>IFERROR(VLOOKUP(Olfa[[#This Row],[Código]],Venda_6meses[],2,FALSE),0)</f>
        <v>13</v>
      </c>
      <c r="Z100" s="45">
        <f>IFERROR(Olfa[[#This Row],[V. 6 meses]]/Olfa[[#This Row],[Proj. de V. 6 meses]],"")</f>
        <v>0.5803571428571429</v>
      </c>
      <c r="AA10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43.733333333333327</v>
      </c>
      <c r="AB100" s="39">
        <f>IFERROR(VLOOKUP(Olfa[[#This Row],[Código]],Venda_12meses[],2,FALSE),0)</f>
        <v>55</v>
      </c>
      <c r="AC100" s="171">
        <f>Olfa[[#This Row],[V. 12 meses]]/6</f>
        <v>9.1666666666666661</v>
      </c>
      <c r="AD100" s="171">
        <f>Olfa[[#This Row],[Colunas1]]*0.2</f>
        <v>1.8333333333333333</v>
      </c>
      <c r="AE100" s="44">
        <f>IFERROR(Olfa[[#This Row],[V. 12 meses]]/Olfa[[#This Row],[Proj. de V. 12 meses]],"")</f>
        <v>1.2576219512195124</v>
      </c>
      <c r="AF100" s="22"/>
    </row>
    <row r="101" spans="1:32" x14ac:dyDescent="0.25">
      <c r="A101" s="22" t="s">
        <v>2129</v>
      </c>
      <c r="B101" s="22" t="str">
        <f>IF(OR(Olfa[[#This Row],[Status]]="Em linha",Olfa[[#This Row],[Status]]="Materia Prima",Olfa[[#This Row],[Status]]="Componente"),"ok",IF(Olfa[[#This Row],[Estoque+Importação]]&lt;1,"Tirar","ok"))</f>
        <v>ok</v>
      </c>
      <c r="C101" s="23">
        <v>33070664016</v>
      </c>
      <c r="D101" s="22" t="s">
        <v>708</v>
      </c>
      <c r="E101" s="22" t="str">
        <f>VLOOKUP(Olfa[[#This Row],[Código]],BD_Produto[],3,FALSE)</f>
        <v>Acessório</v>
      </c>
      <c r="F101" s="22" t="str">
        <f>VLOOKUP(Olfa[[#This Row],[Código]],BD_Produto[],4,FALSE)</f>
        <v>Acessório</v>
      </c>
      <c r="G101" s="24">
        <v>1</v>
      </c>
      <c r="H101" s="28">
        <v>403</v>
      </c>
      <c r="I101" s="22" t="s">
        <v>2849</v>
      </c>
      <c r="J101" s="24"/>
      <c r="K101" s="24"/>
      <c r="L101" s="177">
        <f>IFERROR(VLOOKUP(Olfa[[#This Row],[Código]],Saldo[],3,FALSE),0)</f>
        <v>61</v>
      </c>
      <c r="M101" s="24">
        <f>SUM(Olfa[[#This Row],[Produção]:[Estoque]])</f>
        <v>61</v>
      </c>
      <c r="N101" s="177">
        <f>IFERROR(Olfa[[#This Row],[Estoque+Importação]]/Olfa[[#This Row],[Proj. de V. No prox. mes]],"Sem Projeção")</f>
        <v>50.833333333333336</v>
      </c>
      <c r="O101" s="177">
        <f>IF(OR(Olfa[[#This Row],[Status]]="Em Linha",Olfa[[#This Row],[Status]]="Componente",Olfa[[#This Row],[Status]]="Materia Prima"),Olfa[[#This Row],[Proj. de V. No prox. mes]]*10,"-")</f>
        <v>12</v>
      </c>
      <c r="P101" s="34">
        <f>IF(OR(Olfa[[#This Row],[Status]]="Em Linha",Olfa[[#This Row],[Status]]="Componente",Olfa[[#This Row],[Status]]="Materia Prima"),Olfa[[#This Row],[estoque 10 meses]]-Olfa[[#This Row],[Estoque+Importação]],0)</f>
        <v>-49</v>
      </c>
      <c r="Q101" s="75">
        <f>Olfa[[#This Row],[Colunas1]]+Olfa[[#This Row],[Colunas2]]</f>
        <v>1.2</v>
      </c>
      <c r="R101" s="43">
        <f>VLOOKUP(Olfa[[#This Row],[Código]],Projeção[#All],14,FALSE)</f>
        <v>0</v>
      </c>
      <c r="S101" s="39">
        <f>IFERROR(VLOOKUP(Olfa[[#This Row],[Código]],Vendas!A97:B258,2,FALSE),0)</f>
        <v>0</v>
      </c>
      <c r="T101" s="44" t="str">
        <f>IFERROR(Olfa[[#This Row],[V. No mes]]/Olfa[[#This Row],[Proj. de V. No mes]],"")</f>
        <v/>
      </c>
      <c r="U101" s="43">
        <f>VLOOKUP(Olfa[[#This Row],[Código]],Projeção[#All],14,FALSE)+VLOOKUP(Olfa[[#This Row],[Código]],Projeção[#All],13,FALSE)+VLOOKUP(Olfa[[#This Row],[Código]],Projeção[#All],12,FALSE)</f>
        <v>0</v>
      </c>
      <c r="V101" s="39">
        <f>IFERROR(VLOOKUP(Olfa[[#This Row],[Código]],Venda_3meses[],2,FALSE),0)</f>
        <v>3</v>
      </c>
      <c r="W101" s="44" t="str">
        <f>IFERROR(Olfa[[#This Row],[V. 3 meses]]/Olfa[[#This Row],[Proj. de V. 3 meses]],"")</f>
        <v/>
      </c>
      <c r="X10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01" s="101">
        <f>IFERROR(VLOOKUP(Olfa[[#This Row],[Código]],Venda_6meses[],2,FALSE),0)</f>
        <v>3</v>
      </c>
      <c r="Z101" s="45" t="str">
        <f>IFERROR(Olfa[[#This Row],[V. 6 meses]]/Olfa[[#This Row],[Proj. de V. 6 meses]],"")</f>
        <v/>
      </c>
      <c r="AA10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0.79999999999999993</v>
      </c>
      <c r="AB101" s="39">
        <f>IFERROR(VLOOKUP(Olfa[[#This Row],[Código]],Venda_12meses[],2,FALSE),0)</f>
        <v>6</v>
      </c>
      <c r="AC101" s="171">
        <f>Olfa[[#This Row],[V. 12 meses]]/6</f>
        <v>1</v>
      </c>
      <c r="AD101" s="171">
        <f>Olfa[[#This Row],[Colunas1]]*0.2</f>
        <v>0.2</v>
      </c>
      <c r="AE101" s="44">
        <f>IFERROR(Olfa[[#This Row],[V. 12 meses]]/Olfa[[#This Row],[Proj. de V. 12 meses]],"")</f>
        <v>7.5000000000000009</v>
      </c>
      <c r="AF101" s="22"/>
    </row>
    <row r="102" spans="1:32" hidden="1" x14ac:dyDescent="0.25">
      <c r="A102" s="22" t="s">
        <v>2129</v>
      </c>
      <c r="B102" s="22" t="str">
        <f>IF(OR(Olfa[[#This Row],[Status]]="Em linha",Olfa[[#This Row],[Status]]="Materia Prima",Olfa[[#This Row],[Status]]="Componente"),"ok",IF(Olfa[[#This Row],[Estoque+Importação]]&lt;1,"Tirar","ok"))</f>
        <v>ok</v>
      </c>
      <c r="C102" s="23">
        <v>33070614722</v>
      </c>
      <c r="D102" s="22" t="s">
        <v>612</v>
      </c>
      <c r="E102" s="22" t="str">
        <f>VLOOKUP(Olfa[[#This Row],[Código]],BD_Produto[],3,FALSE)</f>
        <v>Estilete Heavy Duty</v>
      </c>
      <c r="F102" s="22" t="str">
        <f>VLOOKUP(Olfa[[#This Row],[Código]],BD_Produto[],4,FALSE)</f>
        <v>Heavy Duty</v>
      </c>
      <c r="G102" s="24">
        <v>72</v>
      </c>
      <c r="H102" s="28">
        <v>306</v>
      </c>
      <c r="I102" s="22" t="s">
        <v>2849</v>
      </c>
      <c r="J102" s="24"/>
      <c r="K102" s="24"/>
      <c r="L102" s="177">
        <f>IFERROR(VLOOKUP(Olfa[[#This Row],[Código]],Saldo[],3,FALSE),0)</f>
        <v>458</v>
      </c>
      <c r="M102" s="24">
        <f>SUM(Olfa[[#This Row],[Produção]:[Estoque]])</f>
        <v>458</v>
      </c>
      <c r="N102" s="177">
        <f>IFERROR(Olfa[[#This Row],[Estoque+Importação]]/Olfa[[#This Row],[Proj. de V. No prox. mes]],"Sem Projeção")</f>
        <v>6.2228260869565206</v>
      </c>
      <c r="O102" s="177">
        <f>IF(OR(Olfa[[#This Row],[Status]]="Em Linha",Olfa[[#This Row],[Status]]="Componente",Olfa[[#This Row],[Status]]="Materia Prima"),Olfa[[#This Row],[Proj. de V. No prox. mes]]*10,"-")</f>
        <v>736.00000000000011</v>
      </c>
      <c r="P102" s="34">
        <f>IF(OR(Olfa[[#This Row],[Status]]="Em Linha",Olfa[[#This Row],[Status]]="Componente",Olfa[[#This Row],[Status]]="Materia Prima"),Olfa[[#This Row],[estoque 10 meses]]-Olfa[[#This Row],[Estoque+Importação]],0)</f>
        <v>278.00000000000011</v>
      </c>
      <c r="Q102" s="75">
        <f>Olfa[[#This Row],[Colunas1]]+Olfa[[#This Row],[Colunas2]]</f>
        <v>73.600000000000009</v>
      </c>
      <c r="R102" s="43">
        <f>VLOOKUP(Olfa[[#This Row],[Código]],Projeção[#All],14,FALSE)</f>
        <v>9.5</v>
      </c>
      <c r="S102" s="39">
        <f>IFERROR(VLOOKUP(Olfa[[#This Row],[Código]],Vendas!A98:B259,2,FALSE),0)</f>
        <v>117</v>
      </c>
      <c r="T102" s="44">
        <f>IFERROR(Olfa[[#This Row],[V. No mes]]/Olfa[[#This Row],[Proj. de V. No mes]],"")</f>
        <v>12.315789473684211</v>
      </c>
      <c r="U102" s="43">
        <f>VLOOKUP(Olfa[[#This Row],[Código]],Projeção[#All],14,FALSE)+VLOOKUP(Olfa[[#This Row],[Código]],Projeção[#All],13,FALSE)+VLOOKUP(Olfa[[#This Row],[Código]],Projeção[#All],12,FALSE)</f>
        <v>26.766666666666669</v>
      </c>
      <c r="V102" s="39">
        <f>IFERROR(VLOOKUP(Olfa[[#This Row],[Código]],Venda_3meses[],2,FALSE),0)</f>
        <v>177</v>
      </c>
      <c r="W102" s="44">
        <f>IFERROR(Olfa[[#This Row],[V. 3 meses]]/Olfa[[#This Row],[Proj. de V. 3 meses]],"")</f>
        <v>6.6127023661270234</v>
      </c>
      <c r="X10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63.63333333333334</v>
      </c>
      <c r="Y102" s="101">
        <f>IFERROR(VLOOKUP(Olfa[[#This Row],[Código]],Venda_6meses[],2,FALSE),0)</f>
        <v>189</v>
      </c>
      <c r="Z102" s="45">
        <f>IFERROR(Olfa[[#This Row],[V. 6 meses]]/Olfa[[#This Row],[Proj. de V. 6 meses]],"")</f>
        <v>2.9701414353064428</v>
      </c>
      <c r="AA10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197.3</v>
      </c>
      <c r="AB102" s="39">
        <f>IFERROR(VLOOKUP(Olfa[[#This Row],[Código]],Venda_12meses[],2,FALSE),0)</f>
        <v>368</v>
      </c>
      <c r="AC102" s="171">
        <f>Olfa[[#This Row],[V. 12 meses]]/6</f>
        <v>61.333333333333336</v>
      </c>
      <c r="AD102" s="171">
        <f>Olfa[[#This Row],[Colunas1]]*0.2</f>
        <v>12.266666666666667</v>
      </c>
      <c r="AE102" s="44">
        <f>IFERROR(Olfa[[#This Row],[V. 12 meses]]/Olfa[[#This Row],[Proj. de V. 12 meses]],"")</f>
        <v>1.8651799290420679</v>
      </c>
      <c r="AF102" s="22"/>
    </row>
    <row r="103" spans="1:32" hidden="1" x14ac:dyDescent="0.25">
      <c r="A103" s="22" t="s">
        <v>2129</v>
      </c>
      <c r="B103" s="22" t="str">
        <f>IF(OR(Olfa[[#This Row],[Status]]="Em linha",Olfa[[#This Row],[Status]]="Materia Prima",Olfa[[#This Row],[Status]]="Componente"),"ok",IF(Olfa[[#This Row],[Estoque+Importação]]&lt;1,"Tirar","ok"))</f>
        <v>ok</v>
      </c>
      <c r="C103" s="23">
        <v>33070663723</v>
      </c>
      <c r="D103" s="22" t="s">
        <v>874</v>
      </c>
      <c r="E103" s="22" t="str">
        <f>VLOOKUP(Olfa[[#This Row],[Código]],BD_Produto[],3,FALSE)</f>
        <v>Estojo de Lâminas</v>
      </c>
      <c r="F103" s="22" t="str">
        <f>VLOOKUP(Olfa[[#This Row],[Código]],BD_Produto[],4,FALSE)</f>
        <v>Especial</v>
      </c>
      <c r="G103" s="24">
        <v>240</v>
      </c>
      <c r="H103" s="28">
        <v>188</v>
      </c>
      <c r="I103" s="22" t="s">
        <v>2849</v>
      </c>
      <c r="J103" s="24"/>
      <c r="K103" s="24"/>
      <c r="L103" s="177">
        <f>IFERROR(VLOOKUP(Olfa[[#This Row],[Código]],Saldo[],3,FALSE),0)</f>
        <v>577</v>
      </c>
      <c r="M103" s="24">
        <f>SUM(Olfa[[#This Row],[Produção]:[Estoque]])</f>
        <v>577</v>
      </c>
      <c r="N103" s="177">
        <f>IFERROR(Olfa[[#This Row],[Estoque+Importação]]/Olfa[[#This Row],[Proj. de V. No prox. mes]],"Sem Projeção")</f>
        <v>51.517857142857139</v>
      </c>
      <c r="O103" s="177">
        <f>IF(OR(Olfa[[#This Row],[Status]]="Em Linha",Olfa[[#This Row],[Status]]="Componente",Olfa[[#This Row],[Status]]="Materia Prima"),Olfa[[#This Row],[Proj. de V. No prox. mes]]*10,"-")</f>
        <v>112.00000000000001</v>
      </c>
      <c r="P103" s="34">
        <f>IF(OR(Olfa[[#This Row],[Status]]="Em Linha",Olfa[[#This Row],[Status]]="Componente",Olfa[[#This Row],[Status]]="Materia Prima"),Olfa[[#This Row],[estoque 10 meses]]-Olfa[[#This Row],[Estoque+Importação]],0)</f>
        <v>-465</v>
      </c>
      <c r="Q103" s="75">
        <f>Olfa[[#This Row],[Colunas1]]+Olfa[[#This Row],[Colunas2]]</f>
        <v>11.200000000000001</v>
      </c>
      <c r="R103" s="43">
        <f>VLOOKUP(Olfa[[#This Row],[Código]],Projeção[#All],14,FALSE)</f>
        <v>5.666666666666667</v>
      </c>
      <c r="S103" s="39">
        <f>IFERROR(VLOOKUP(Olfa[[#This Row],[Código]],Vendas!A99:B260,2,FALSE),0)</f>
        <v>0</v>
      </c>
      <c r="T103" s="44">
        <f>IFERROR(Olfa[[#This Row],[V. No mes]]/Olfa[[#This Row],[Proj. de V. No mes]],"")</f>
        <v>0</v>
      </c>
      <c r="U103" s="43">
        <f>VLOOKUP(Olfa[[#This Row],[Código]],Projeção[#All],14,FALSE)+VLOOKUP(Olfa[[#This Row],[Código]],Projeção[#All],13,FALSE)+VLOOKUP(Olfa[[#This Row],[Código]],Projeção[#All],12,FALSE)</f>
        <v>16.333333333333332</v>
      </c>
      <c r="V103" s="39">
        <f>IFERROR(VLOOKUP(Olfa[[#This Row],[Código]],Venda_3meses[],2,FALSE),0)</f>
        <v>18</v>
      </c>
      <c r="W103" s="44">
        <f>IFERROR(Olfa[[#This Row],[V. 3 meses]]/Olfa[[#This Row],[Proj. de V. 3 meses]],"")</f>
        <v>1.1020408163265307</v>
      </c>
      <c r="X10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20.533333333333335</v>
      </c>
      <c r="Y103" s="101">
        <f>IFERROR(VLOOKUP(Olfa[[#This Row],[Código]],Venda_6meses[],2,FALSE),0)</f>
        <v>24</v>
      </c>
      <c r="Z103" s="45">
        <f>IFERROR(Olfa[[#This Row],[V. 6 meses]]/Olfa[[#This Row],[Proj. de V. 6 meses]],"")</f>
        <v>1.1688311688311688</v>
      </c>
      <c r="AA10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41.266666666666666</v>
      </c>
      <c r="AB103" s="39">
        <f>IFERROR(VLOOKUP(Olfa[[#This Row],[Código]],Venda_12meses[],2,FALSE),0)</f>
        <v>56</v>
      </c>
      <c r="AC103" s="171">
        <f>Olfa[[#This Row],[V. 12 meses]]/6</f>
        <v>9.3333333333333339</v>
      </c>
      <c r="AD103" s="171">
        <f>Olfa[[#This Row],[Colunas1]]*0.2</f>
        <v>1.8666666666666669</v>
      </c>
      <c r="AE103" s="44">
        <f>IFERROR(Olfa[[#This Row],[V. 12 meses]]/Olfa[[#This Row],[Proj. de V. 12 meses]],"")</f>
        <v>1.3570274636510502</v>
      </c>
      <c r="AF103" s="22"/>
    </row>
    <row r="104" spans="1:32" hidden="1" x14ac:dyDescent="0.25">
      <c r="A104" s="22" t="s">
        <v>2129</v>
      </c>
      <c r="B104" s="22" t="str">
        <f>IF(OR(Olfa[[#This Row],[Status]]="Em linha",Olfa[[#This Row],[Status]]="Materia Prima",Olfa[[#This Row],[Status]]="Componente"),"ok",IF(Olfa[[#This Row],[Estoque+Importação]]&lt;1,"Tirar","ok"))</f>
        <v>ok</v>
      </c>
      <c r="C104" s="23">
        <v>33070664517</v>
      </c>
      <c r="D104" s="22" t="s">
        <v>1077</v>
      </c>
      <c r="E104" s="22" t="str">
        <f>VLOOKUP(Olfa[[#This Row],[Código]],BD_Produto[],3,FALSE)</f>
        <v>Estilete Heavy Duty</v>
      </c>
      <c r="F104" s="22" t="str">
        <f>VLOOKUP(Olfa[[#This Row],[Código]],BD_Produto[],4,FALSE)</f>
        <v>Heavy Duty</v>
      </c>
      <c r="G104" s="24">
        <v>72</v>
      </c>
      <c r="H104" s="28">
        <v>382</v>
      </c>
      <c r="I104" s="22" t="s">
        <v>2849</v>
      </c>
      <c r="J104" s="24"/>
      <c r="K104" s="24"/>
      <c r="L104" s="177">
        <f>IFERROR(VLOOKUP(Olfa[[#This Row],[Código]],Saldo[],3,FALSE),0)</f>
        <v>400</v>
      </c>
      <c r="M104" s="24">
        <f>SUM(Olfa[[#This Row],[Produção]:[Estoque]])</f>
        <v>400</v>
      </c>
      <c r="N104" s="177">
        <f>IFERROR(Olfa[[#This Row],[Estoque+Importação]]/Olfa[[#This Row],[Proj. de V. No prox. mes]],"Sem Projeção")</f>
        <v>28.985507246376809</v>
      </c>
      <c r="O104" s="177">
        <f>IF(OR(Olfa[[#This Row],[Status]]="Em Linha",Olfa[[#This Row],[Status]]="Componente",Olfa[[#This Row],[Status]]="Materia Prima"),Olfa[[#This Row],[Proj. de V. No prox. mes]]*10,"-")</f>
        <v>138</v>
      </c>
      <c r="P104" s="34">
        <f>IF(OR(Olfa[[#This Row],[Status]]="Em Linha",Olfa[[#This Row],[Status]]="Componente",Olfa[[#This Row],[Status]]="Materia Prima"),Olfa[[#This Row],[estoque 10 meses]]-Olfa[[#This Row],[Estoque+Importação]],0)</f>
        <v>-262</v>
      </c>
      <c r="Q104" s="75">
        <f>Olfa[[#This Row],[Colunas1]]+Olfa[[#This Row],[Colunas2]]</f>
        <v>13.8</v>
      </c>
      <c r="R104" s="43">
        <f>VLOOKUP(Olfa[[#This Row],[Código]],Projeção[#All],14,FALSE)</f>
        <v>3.4</v>
      </c>
      <c r="S104" s="39">
        <f>IFERROR(VLOOKUP(Olfa[[#This Row],[Código]],Vendas!A100:B261,2,FALSE),0)</f>
        <v>0</v>
      </c>
      <c r="T104" s="44">
        <f>IFERROR(Olfa[[#This Row],[V. No mes]]/Olfa[[#This Row],[Proj. de V. No mes]],"")</f>
        <v>0</v>
      </c>
      <c r="U104" s="43">
        <f>VLOOKUP(Olfa[[#This Row],[Código]],Projeção[#All],14,FALSE)+VLOOKUP(Olfa[[#This Row],[Código]],Projeção[#All],13,FALSE)+VLOOKUP(Olfa[[#This Row],[Código]],Projeção[#All],12,FALSE)</f>
        <v>8.8000000000000007</v>
      </c>
      <c r="V104" s="39">
        <f>IFERROR(VLOOKUP(Olfa[[#This Row],[Código]],Venda_3meses[],2,FALSE),0)</f>
        <v>42</v>
      </c>
      <c r="W104" s="44">
        <f>IFERROR(Olfa[[#This Row],[V. 3 meses]]/Olfa[[#This Row],[Proj. de V. 3 meses]],"")</f>
        <v>4.7727272727272725</v>
      </c>
      <c r="X10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9.8000000000000007</v>
      </c>
      <c r="Y104" s="101">
        <f>IFERROR(VLOOKUP(Olfa[[#This Row],[Código]],Venda_6meses[],2,FALSE),0)</f>
        <v>42</v>
      </c>
      <c r="Z104" s="45">
        <f>IFERROR(Olfa[[#This Row],[V. 6 meses]]/Olfa[[#This Row],[Proj. de V. 6 meses]],"")</f>
        <v>4.2857142857142856</v>
      </c>
      <c r="AA10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10.599999999999998</v>
      </c>
      <c r="AB104" s="39">
        <f>IFERROR(VLOOKUP(Olfa[[#This Row],[Código]],Venda_12meses[],2,FALSE),0)</f>
        <v>69</v>
      </c>
      <c r="AC104" s="171">
        <f>Olfa[[#This Row],[V. 12 meses]]/6</f>
        <v>11.5</v>
      </c>
      <c r="AD104" s="171">
        <f>Olfa[[#This Row],[Colunas1]]*0.2</f>
        <v>2.3000000000000003</v>
      </c>
      <c r="AE104" s="44">
        <f>IFERROR(Olfa[[#This Row],[V. 12 meses]]/Olfa[[#This Row],[Proj. de V. 12 meses]],"")</f>
        <v>6.5094339622641524</v>
      </c>
      <c r="AF104" s="22"/>
    </row>
    <row r="105" spans="1:32" hidden="1" x14ac:dyDescent="0.25">
      <c r="A105" s="22" t="s">
        <v>2129</v>
      </c>
      <c r="B105" s="22" t="str">
        <f>IF(OR(Olfa[[#This Row],[Status]]="Em linha",Olfa[[#This Row],[Status]]="Materia Prima",Olfa[[#This Row],[Status]]="Componente"),"ok",IF(Olfa[[#This Row],[Estoque+Importação]]&lt;1,"Tirar","ok"))</f>
        <v>ok</v>
      </c>
      <c r="C105" s="23">
        <v>33070664313</v>
      </c>
      <c r="D105" s="22" t="s">
        <v>713</v>
      </c>
      <c r="E105" s="22" t="str">
        <f>VLOOKUP(Olfa[[#This Row],[Código]],BD_Produto[],3,FALSE)</f>
        <v>Estilete Heavy Duty</v>
      </c>
      <c r="F105" s="22" t="str">
        <f>VLOOKUP(Olfa[[#This Row],[Código]],BD_Produto[],4,FALSE)</f>
        <v>Heavy Duty</v>
      </c>
      <c r="G105" s="24"/>
      <c r="H105" s="28">
        <v>697</v>
      </c>
      <c r="I105" s="22" t="s">
        <v>2849</v>
      </c>
      <c r="J105" s="24"/>
      <c r="K105" s="24"/>
      <c r="L105" s="177">
        <f>IFERROR(VLOOKUP(Olfa[[#This Row],[Código]],Saldo[],3,FALSE),0)</f>
        <v>240</v>
      </c>
      <c r="M105" s="24">
        <f>SUM(Olfa[[#This Row],[Produção]:[Estoque]])</f>
        <v>240</v>
      </c>
      <c r="N105" s="177">
        <f>IFERROR(Olfa[[#This Row],[Estoque+Importação]]/Olfa[[#This Row],[Proj. de V. No prox. mes]],"Sem Projeção")</f>
        <v>92.307692307692321</v>
      </c>
      <c r="O105" s="177">
        <f>IF(OR(Olfa[[#This Row],[Status]]="Em Linha",Olfa[[#This Row],[Status]]="Componente",Olfa[[#This Row],[Status]]="Materia Prima"),Olfa[[#This Row],[Proj. de V. No prox. mes]]*10,"-")</f>
        <v>25.999999999999996</v>
      </c>
      <c r="P105" s="34">
        <f>IF(OR(Olfa[[#This Row],[Status]]="Em Linha",Olfa[[#This Row],[Status]]="Componente",Olfa[[#This Row],[Status]]="Materia Prima"),Olfa[[#This Row],[estoque 10 meses]]-Olfa[[#This Row],[Estoque+Importação]],0)</f>
        <v>-214</v>
      </c>
      <c r="Q105" s="75">
        <f>Olfa[[#This Row],[Colunas1]]+Olfa[[#This Row],[Colunas2]]</f>
        <v>2.5999999999999996</v>
      </c>
      <c r="R105" s="43">
        <f>VLOOKUP(Olfa[[#This Row],[Código]],Projeção[#All],14,FALSE)</f>
        <v>1.6666666666666667</v>
      </c>
      <c r="S105" s="39">
        <f>IFERROR(VLOOKUP(Olfa[[#This Row],[Código]],Vendas!A101:B262,2,FALSE),0)</f>
        <v>1</v>
      </c>
      <c r="T105" s="44">
        <f>IFERROR(Olfa[[#This Row],[V. No mes]]/Olfa[[#This Row],[Proj. de V. No mes]],"")</f>
        <v>0.6</v>
      </c>
      <c r="U105" s="43">
        <f>VLOOKUP(Olfa[[#This Row],[Código]],Projeção[#All],14,FALSE)+VLOOKUP(Olfa[[#This Row],[Código]],Projeção[#All],13,FALSE)+VLOOKUP(Olfa[[#This Row],[Código]],Projeção[#All],12,FALSE)</f>
        <v>4.2</v>
      </c>
      <c r="V105" s="39">
        <f>IFERROR(VLOOKUP(Olfa[[#This Row],[Código]],Venda_3meses[],2,FALSE),0)</f>
        <v>7</v>
      </c>
      <c r="W105" s="44">
        <f>IFERROR(Olfa[[#This Row],[V. 3 meses]]/Olfa[[#This Row],[Proj. de V. 3 meses]],"")</f>
        <v>1.6666666666666665</v>
      </c>
      <c r="X10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8.9333333333333336</v>
      </c>
      <c r="Y105" s="101">
        <f>IFERROR(VLOOKUP(Olfa[[#This Row],[Código]],Venda_6meses[],2,FALSE),0)</f>
        <v>7</v>
      </c>
      <c r="Z105" s="45">
        <f>IFERROR(Olfa[[#This Row],[V. 6 meses]]/Olfa[[#This Row],[Proj. de V. 6 meses]],"")</f>
        <v>0.78358208955223874</v>
      </c>
      <c r="AA10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17.933333333333334</v>
      </c>
      <c r="AB105" s="39">
        <f>IFERROR(VLOOKUP(Olfa[[#This Row],[Código]],Venda_12meses[],2,FALSE),0)</f>
        <v>13</v>
      </c>
      <c r="AC105" s="171">
        <f>Olfa[[#This Row],[V. 12 meses]]/6</f>
        <v>2.1666666666666665</v>
      </c>
      <c r="AD105" s="171">
        <f>Olfa[[#This Row],[Colunas1]]*0.2</f>
        <v>0.43333333333333335</v>
      </c>
      <c r="AE105" s="44">
        <f>IFERROR(Olfa[[#This Row],[V. 12 meses]]/Olfa[[#This Row],[Proj. de V. 12 meses]],"")</f>
        <v>0.72490706319702602</v>
      </c>
      <c r="AF105" s="22"/>
    </row>
    <row r="106" spans="1:32" hidden="1" x14ac:dyDescent="0.25">
      <c r="A106" s="22" t="s">
        <v>2129</v>
      </c>
      <c r="B106" s="22" t="str">
        <f>IF(OR(Olfa[[#This Row],[Status]]="Em linha",Olfa[[#This Row],[Status]]="Materia Prima",Olfa[[#This Row],[Status]]="Componente"),"ok",IF(Olfa[[#This Row],[Estoque+Importação]]&lt;1,"Tirar","ok"))</f>
        <v>ok</v>
      </c>
      <c r="C106" s="23">
        <v>33070664518</v>
      </c>
      <c r="D106" s="22" t="s">
        <v>1121</v>
      </c>
      <c r="E106" s="22" t="str">
        <f>VLOOKUP(Olfa[[#This Row],[Código]],BD_Produto[],3,FALSE)</f>
        <v>Estilete Heavy Duty</v>
      </c>
      <c r="F106" s="22" t="str">
        <f>VLOOKUP(Olfa[[#This Row],[Código]],BD_Produto[],4,FALSE)</f>
        <v>Heavy Duty</v>
      </c>
      <c r="G106" s="24">
        <v>120</v>
      </c>
      <c r="H106" s="28">
        <v>267</v>
      </c>
      <c r="I106" s="22" t="s">
        <v>2849</v>
      </c>
      <c r="J106" s="24"/>
      <c r="K106" s="24"/>
      <c r="L106" s="177">
        <f>IFERROR(VLOOKUP(Olfa[[#This Row],[Código]],Saldo[],3,FALSE),0)</f>
        <v>422</v>
      </c>
      <c r="M106" s="24">
        <f>SUM(Olfa[[#This Row],[Produção]:[Estoque]])</f>
        <v>422</v>
      </c>
      <c r="N106" s="177">
        <f>IFERROR(Olfa[[#This Row],[Estoque+Importação]]/Olfa[[#This Row],[Proj. de V. No prox. mes]],"Sem Projeção")</f>
        <v>29.305555555555554</v>
      </c>
      <c r="O106" s="177">
        <f>IF(OR(Olfa[[#This Row],[Status]]="Em Linha",Olfa[[#This Row],[Status]]="Componente",Olfa[[#This Row],[Status]]="Materia Prima"),Olfa[[#This Row],[Proj. de V. No prox. mes]]*10,"-")</f>
        <v>144</v>
      </c>
      <c r="P106" s="34">
        <f>IF(OR(Olfa[[#This Row],[Status]]="Em Linha",Olfa[[#This Row],[Status]]="Componente",Olfa[[#This Row],[Status]]="Materia Prima"),Olfa[[#This Row],[estoque 10 meses]]-Olfa[[#This Row],[Estoque+Importação]],0)</f>
        <v>-278</v>
      </c>
      <c r="Q106" s="75">
        <f>Olfa[[#This Row],[Colunas1]]+Olfa[[#This Row],[Colunas2]]</f>
        <v>14.4</v>
      </c>
      <c r="R106" s="43">
        <f>VLOOKUP(Olfa[[#This Row],[Código]],Projeção[#All],14,FALSE)</f>
        <v>4.9666666666666668</v>
      </c>
      <c r="S106" s="39">
        <f>IFERROR(VLOOKUP(Olfa[[#This Row],[Código]],Vendas!A102:B263,2,FALSE),0)</f>
        <v>24</v>
      </c>
      <c r="T106" s="44">
        <f>IFERROR(Olfa[[#This Row],[V. No mes]]/Olfa[[#This Row],[Proj. de V. No mes]],"")</f>
        <v>4.8322147651006713</v>
      </c>
      <c r="U106" s="43">
        <f>VLOOKUP(Olfa[[#This Row],[Código]],Projeção[#All],14,FALSE)+VLOOKUP(Olfa[[#This Row],[Código]],Projeção[#All],13,FALSE)+VLOOKUP(Olfa[[#This Row],[Código]],Projeção[#All],12,FALSE)</f>
        <v>13.633333333333331</v>
      </c>
      <c r="V106" s="39">
        <f>IFERROR(VLOOKUP(Olfa[[#This Row],[Código]],Venda_3meses[],2,FALSE),0)</f>
        <v>42</v>
      </c>
      <c r="W106" s="44">
        <f>IFERROR(Olfa[[#This Row],[V. 3 meses]]/Olfa[[#This Row],[Proj. de V. 3 meses]],"")</f>
        <v>3.0806845965770178</v>
      </c>
      <c r="X10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34.133333333333326</v>
      </c>
      <c r="Y106" s="101">
        <f>IFERROR(VLOOKUP(Olfa[[#This Row],[Código]],Venda_6meses[],2,FALSE),0)</f>
        <v>60</v>
      </c>
      <c r="Z106" s="45">
        <f>IFERROR(Olfa[[#This Row],[V. 6 meses]]/Olfa[[#This Row],[Proj. de V. 6 meses]],"")</f>
        <v>1.7578125000000004</v>
      </c>
      <c r="AA10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71.59999999999998</v>
      </c>
      <c r="AB106" s="39">
        <f>IFERROR(VLOOKUP(Olfa[[#This Row],[Código]],Venda_12meses[],2,FALSE),0)</f>
        <v>72</v>
      </c>
      <c r="AC106" s="171">
        <f>Olfa[[#This Row],[V. 12 meses]]/6</f>
        <v>12</v>
      </c>
      <c r="AD106" s="171">
        <f>Olfa[[#This Row],[Colunas1]]*0.2</f>
        <v>2.4000000000000004</v>
      </c>
      <c r="AE106" s="44">
        <f>IFERROR(Olfa[[#This Row],[V. 12 meses]]/Olfa[[#This Row],[Proj. de V. 12 meses]],"")</f>
        <v>1.0055865921787712</v>
      </c>
      <c r="AF106" s="22"/>
    </row>
    <row r="107" spans="1:32" hidden="1" x14ac:dyDescent="0.25">
      <c r="A107" s="22" t="s">
        <v>2129</v>
      </c>
      <c r="B107" s="22" t="str">
        <f>IF(OR(Olfa[[#This Row],[Status]]="Em linha",Olfa[[#This Row],[Status]]="Materia Prima",Olfa[[#This Row],[Status]]="Componente"),"ok",IF(Olfa[[#This Row],[Estoque+Importação]]&lt;1,"Tirar","ok"))</f>
        <v>ok</v>
      </c>
      <c r="C107" s="23">
        <v>33070614023</v>
      </c>
      <c r="D107" s="22" t="s">
        <v>601</v>
      </c>
      <c r="E107" s="22" t="str">
        <f>VLOOKUP(Olfa[[#This Row],[Código]],BD_Produto[],3,FALSE)</f>
        <v>Régua</v>
      </c>
      <c r="F107" s="22" t="str">
        <f>VLOOKUP(Olfa[[#This Row],[Código]],BD_Produto[],4,FALSE)</f>
        <v>Rotativo</v>
      </c>
      <c r="G107" s="24">
        <v>48</v>
      </c>
      <c r="H107" s="28">
        <v>612</v>
      </c>
      <c r="I107" s="22" t="s">
        <v>2849</v>
      </c>
      <c r="J107" s="24"/>
      <c r="K107" s="24"/>
      <c r="L107" s="177">
        <f>IFERROR(VLOOKUP(Olfa[[#This Row],[Código]],Saldo[],3,FALSE),0)</f>
        <v>224</v>
      </c>
      <c r="M107" s="24">
        <f>SUM(Olfa[[#This Row],[Produção]:[Estoque]])</f>
        <v>224</v>
      </c>
      <c r="N107" s="177">
        <f>IFERROR(Olfa[[#This Row],[Estoque+Importação]]/Olfa[[#This Row],[Proj. de V. No prox. mes]],"Sem Projeção")</f>
        <v>48.695652173913039</v>
      </c>
      <c r="O107" s="177">
        <f>IF(OR(Olfa[[#This Row],[Status]]="Em Linha",Olfa[[#This Row],[Status]]="Componente",Olfa[[#This Row],[Status]]="Materia Prima"),Olfa[[#This Row],[Proj. de V. No prox. mes]]*10,"-")</f>
        <v>46.000000000000007</v>
      </c>
      <c r="P107" s="34">
        <f>IF(OR(Olfa[[#This Row],[Status]]="Em Linha",Olfa[[#This Row],[Status]]="Componente",Olfa[[#This Row],[Status]]="Materia Prima"),Olfa[[#This Row],[estoque 10 meses]]-Olfa[[#This Row],[Estoque+Importação]],0)</f>
        <v>-178</v>
      </c>
      <c r="Q107" s="75">
        <f>Olfa[[#This Row],[Colunas1]]+Olfa[[#This Row],[Colunas2]]</f>
        <v>4.6000000000000005</v>
      </c>
      <c r="R107" s="43">
        <f>VLOOKUP(Olfa[[#This Row],[Código]],Projeção[#All],14,FALSE)</f>
        <v>2.2999999999999998</v>
      </c>
      <c r="S107" s="39">
        <f>IFERROR(VLOOKUP(Olfa[[#This Row],[Código]],Vendas!A103:B264,2,FALSE),0)</f>
        <v>0</v>
      </c>
      <c r="T107" s="44">
        <f>IFERROR(Olfa[[#This Row],[V. No mes]]/Olfa[[#This Row],[Proj. de V. No mes]],"")</f>
        <v>0</v>
      </c>
      <c r="U107" s="43">
        <f>VLOOKUP(Olfa[[#This Row],[Código]],Projeção[#All],14,FALSE)+VLOOKUP(Olfa[[#This Row],[Código]],Projeção[#All],13,FALSE)+VLOOKUP(Olfa[[#This Row],[Código]],Projeção[#All],12,FALSE)</f>
        <v>5.8333333333333339</v>
      </c>
      <c r="V107" s="39">
        <f>IFERROR(VLOOKUP(Olfa[[#This Row],[Código]],Venda_3meses[],2,FALSE),0)</f>
        <v>8</v>
      </c>
      <c r="W107" s="44">
        <f>IFERROR(Olfa[[#This Row],[V. 3 meses]]/Olfa[[#This Row],[Proj. de V. 3 meses]],"")</f>
        <v>1.3714285714285712</v>
      </c>
      <c r="X10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9.1333333333333329</v>
      </c>
      <c r="Y107" s="101">
        <f>IFERROR(VLOOKUP(Olfa[[#This Row],[Código]],Venda_6meses[],2,FALSE),0)</f>
        <v>9</v>
      </c>
      <c r="Z107" s="45">
        <f>IFERROR(Olfa[[#This Row],[V. 6 meses]]/Olfa[[#This Row],[Proj. de V. 6 meses]],"")</f>
        <v>0.98540145985401462</v>
      </c>
      <c r="AA10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26.366666666666664</v>
      </c>
      <c r="AB107" s="39">
        <f>IFERROR(VLOOKUP(Olfa[[#This Row],[Código]],Venda_12meses[],2,FALSE),0)</f>
        <v>23</v>
      </c>
      <c r="AC107" s="171">
        <f>Olfa[[#This Row],[V. 12 meses]]/6</f>
        <v>3.8333333333333335</v>
      </c>
      <c r="AD107" s="171">
        <f>Olfa[[#This Row],[Colunas1]]*0.2</f>
        <v>0.76666666666666672</v>
      </c>
      <c r="AE107" s="44">
        <f>IFERROR(Olfa[[#This Row],[V. 12 meses]]/Olfa[[#This Row],[Proj. de V. 12 meses]],"")</f>
        <v>0.87231352718078392</v>
      </c>
      <c r="AF107" s="22"/>
    </row>
    <row r="108" spans="1:32" hidden="1" x14ac:dyDescent="0.25">
      <c r="A108" s="22" t="s">
        <v>2129</v>
      </c>
      <c r="B108" s="22" t="str">
        <f>IF(OR(Olfa[[#This Row],[Status]]="Em linha",Olfa[[#This Row],[Status]]="Materia Prima",Olfa[[#This Row],[Status]]="Componente"),"ok",IF(Olfa[[#This Row],[Estoque+Importação]]&lt;1,"Tirar","ok"))</f>
        <v>ok</v>
      </c>
      <c r="C108" s="23">
        <v>33070614748</v>
      </c>
      <c r="D108" s="22" t="s">
        <v>631</v>
      </c>
      <c r="E108" s="22" t="str">
        <f>VLOOKUP(Olfa[[#This Row],[Código]],BD_Produto[],3,FALSE)</f>
        <v>Estojo de Lâminas</v>
      </c>
      <c r="F108" s="22" t="str">
        <f>VLOOKUP(Olfa[[#This Row],[Código]],BD_Produto[],4,FALSE)</f>
        <v>Especial</v>
      </c>
      <c r="G108" s="24">
        <v>240</v>
      </c>
      <c r="H108" s="28">
        <v>88</v>
      </c>
      <c r="I108" s="22" t="s">
        <v>2849</v>
      </c>
      <c r="J108" s="24"/>
      <c r="K108" s="24"/>
      <c r="L108" s="177">
        <f>IFERROR(VLOOKUP(Olfa[[#This Row],[Código]],Saldo[],3,FALSE),0)</f>
        <v>182</v>
      </c>
      <c r="M108" s="24">
        <f>SUM(Olfa[[#This Row],[Produção]:[Estoque]])</f>
        <v>182</v>
      </c>
      <c r="N108" s="177">
        <f>IFERROR(Olfa[[#This Row],[Estoque+Importação]]/Olfa[[#This Row],[Proj. de V. No prox. mes]],"Sem Projeção")</f>
        <v>8.8349514563106784</v>
      </c>
      <c r="O108" s="177">
        <f>IF(OR(Olfa[[#This Row],[Status]]="Em Linha",Olfa[[#This Row],[Status]]="Componente",Olfa[[#This Row],[Status]]="Materia Prima"),Olfa[[#This Row],[Proj. de V. No prox. mes]]*10,"-")</f>
        <v>206</v>
      </c>
      <c r="P108" s="34">
        <f>IF(OR(Olfa[[#This Row],[Status]]="Em Linha",Olfa[[#This Row],[Status]]="Componente",Olfa[[#This Row],[Status]]="Materia Prima"),Olfa[[#This Row],[estoque 10 meses]]-Olfa[[#This Row],[Estoque+Importação]],0)</f>
        <v>24</v>
      </c>
      <c r="Q108" s="75">
        <f>Olfa[[#This Row],[Colunas1]]+Olfa[[#This Row],[Colunas2]]</f>
        <v>20.6</v>
      </c>
      <c r="R108" s="43">
        <f>VLOOKUP(Olfa[[#This Row],[Código]],Projeção[#All],14,FALSE)</f>
        <v>3.1999999999999997</v>
      </c>
      <c r="S108" s="39">
        <f>IFERROR(VLOOKUP(Olfa[[#This Row],[Código]],Vendas!A104:B265,2,FALSE),0)</f>
        <v>12</v>
      </c>
      <c r="T108" s="44">
        <f>IFERROR(Olfa[[#This Row],[V. No mes]]/Olfa[[#This Row],[Proj. de V. No mes]],"")</f>
        <v>3.7500000000000004</v>
      </c>
      <c r="U108" s="43">
        <f>VLOOKUP(Olfa[[#This Row],[Código]],Projeção[#All],14,FALSE)+VLOOKUP(Olfa[[#This Row],[Código]],Projeção[#All],13,FALSE)+VLOOKUP(Olfa[[#This Row],[Código]],Projeção[#All],12,FALSE)</f>
        <v>9.1333333333333329</v>
      </c>
      <c r="V108" s="39">
        <f>IFERROR(VLOOKUP(Olfa[[#This Row],[Código]],Venda_3meses[],2,FALSE),0)</f>
        <v>36</v>
      </c>
      <c r="W108" s="44">
        <f>IFERROR(Olfa[[#This Row],[V. 3 meses]]/Olfa[[#This Row],[Proj. de V. 3 meses]],"")</f>
        <v>3.9416058394160585</v>
      </c>
      <c r="X10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19.600000000000001</v>
      </c>
      <c r="Y108" s="101">
        <f>IFERROR(VLOOKUP(Olfa[[#This Row],[Código]],Venda_6meses[],2,FALSE),0)</f>
        <v>77</v>
      </c>
      <c r="Z108" s="45">
        <f>IFERROR(Olfa[[#This Row],[V. 6 meses]]/Olfa[[#This Row],[Proj. de V. 6 meses]],"")</f>
        <v>3.9285714285714284</v>
      </c>
      <c r="AA10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53.133333333333333</v>
      </c>
      <c r="AB108" s="39">
        <f>IFERROR(VLOOKUP(Olfa[[#This Row],[Código]],Venda_12meses[],2,FALSE),0)</f>
        <v>103</v>
      </c>
      <c r="AC108" s="171">
        <f>Olfa[[#This Row],[V. 12 meses]]/6</f>
        <v>17.166666666666668</v>
      </c>
      <c r="AD108" s="171">
        <f>Olfa[[#This Row],[Colunas1]]*0.2</f>
        <v>3.4333333333333336</v>
      </c>
      <c r="AE108" s="44">
        <f>IFERROR(Olfa[[#This Row],[V. 12 meses]]/Olfa[[#This Row],[Proj. de V. 12 meses]],"")</f>
        <v>1.9385194479297365</v>
      </c>
      <c r="AF108" s="22"/>
    </row>
    <row r="109" spans="1:32" hidden="1" x14ac:dyDescent="0.25">
      <c r="A109" s="22" t="s">
        <v>2129</v>
      </c>
      <c r="B109" s="22" t="str">
        <f>IF(OR(Olfa[[#This Row],[Status]]="Em linha",Olfa[[#This Row],[Status]]="Materia Prima",Olfa[[#This Row],[Status]]="Componente"),"ok",IF(Olfa[[#This Row],[Estoque+Importação]]&lt;1,"Tirar","ok"))</f>
        <v>ok</v>
      </c>
      <c r="C109" s="23">
        <v>33070614745</v>
      </c>
      <c r="D109" s="22" t="s">
        <v>628</v>
      </c>
      <c r="E109" s="22" t="str">
        <f>VLOOKUP(Olfa[[#This Row],[Código]],BD_Produto[],3,FALSE)</f>
        <v>Estojo de Lâminas</v>
      </c>
      <c r="F109" s="22" t="str">
        <f>VLOOKUP(Olfa[[#This Row],[Código]],BD_Produto[],4,FALSE)</f>
        <v>Heavy Duty</v>
      </c>
      <c r="G109" s="24">
        <v>120</v>
      </c>
      <c r="H109" s="28">
        <v>150</v>
      </c>
      <c r="I109" s="22" t="s">
        <v>2849</v>
      </c>
      <c r="J109" s="24"/>
      <c r="K109" s="24"/>
      <c r="L109" s="177">
        <f>IFERROR(VLOOKUP(Olfa[[#This Row],[Código]],Saldo[],3,FALSE),0)</f>
        <v>5385</v>
      </c>
      <c r="M109" s="24">
        <f>SUM(Olfa[[#This Row],[Produção]:[Estoque]])</f>
        <v>5385</v>
      </c>
      <c r="N109" s="177">
        <f>IFERROR(Olfa[[#This Row],[Estoque+Importação]]/Olfa[[#This Row],[Proj. de V. No prox. mes]],"Sem Projeção")</f>
        <v>43.427419354838712</v>
      </c>
      <c r="O109" s="177">
        <f>IF(OR(Olfa[[#This Row],[Status]]="Em Linha",Olfa[[#This Row],[Status]]="Componente",Olfa[[#This Row],[Status]]="Materia Prima"),Olfa[[#This Row],[Proj. de V. No prox. mes]]*10,"-")</f>
        <v>1240</v>
      </c>
      <c r="P109" s="34">
        <f>IF(OR(Olfa[[#This Row],[Status]]="Em Linha",Olfa[[#This Row],[Status]]="Componente",Olfa[[#This Row],[Status]]="Materia Prima"),Olfa[[#This Row],[estoque 10 meses]]-Olfa[[#This Row],[Estoque+Importação]],0)</f>
        <v>-4145</v>
      </c>
      <c r="Q109" s="75">
        <f>Olfa[[#This Row],[Colunas1]]+Olfa[[#This Row],[Colunas2]]</f>
        <v>124</v>
      </c>
      <c r="R109" s="43">
        <f>VLOOKUP(Olfa[[#This Row],[Código]],Projeção[#All],14,FALSE)</f>
        <v>38.63333333333334</v>
      </c>
      <c r="S109" s="39">
        <f>IFERROR(VLOOKUP(Olfa[[#This Row],[Código]],Vendas!A105:B266,2,FALSE),0)</f>
        <v>106</v>
      </c>
      <c r="T109" s="44">
        <f>IFERROR(Olfa[[#This Row],[V. No mes]]/Olfa[[#This Row],[Proj. de V. No mes]],"")</f>
        <v>2.7437446074201892</v>
      </c>
      <c r="U109" s="43">
        <f>VLOOKUP(Olfa[[#This Row],[Código]],Projeção[#All],14,FALSE)+VLOOKUP(Olfa[[#This Row],[Código]],Projeção[#All],13,FALSE)+VLOOKUP(Olfa[[#This Row],[Código]],Projeção[#All],12,FALSE)</f>
        <v>109.53333333333335</v>
      </c>
      <c r="V109" s="39">
        <f>IFERROR(VLOOKUP(Olfa[[#This Row],[Código]],Venda_3meses[],2,FALSE),0)</f>
        <v>345</v>
      </c>
      <c r="W109" s="44">
        <f>IFERROR(Olfa[[#This Row],[V. 3 meses]]/Olfa[[#This Row],[Proj. de V. 3 meses]],"")</f>
        <v>3.1497261107729759</v>
      </c>
      <c r="X10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323.96666666666664</v>
      </c>
      <c r="Y109" s="101">
        <f>IFERROR(VLOOKUP(Olfa[[#This Row],[Código]],Venda_6meses[],2,FALSE),0)</f>
        <v>357</v>
      </c>
      <c r="Z109" s="45">
        <f>IFERROR(Olfa[[#This Row],[V. 6 meses]]/Olfa[[#This Row],[Proj. de V. 6 meses]],"")</f>
        <v>1.1019652227595433</v>
      </c>
      <c r="AA10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725.73333333333323</v>
      </c>
      <c r="AB109" s="39">
        <f>IFERROR(VLOOKUP(Olfa[[#This Row],[Código]],Venda_12meses[],2,FALSE),0)</f>
        <v>620</v>
      </c>
      <c r="AC109" s="171">
        <f>Olfa[[#This Row],[V. 12 meses]]/6</f>
        <v>103.33333333333333</v>
      </c>
      <c r="AD109" s="171">
        <f>Olfa[[#This Row],[Colunas1]]*0.2</f>
        <v>20.666666666666668</v>
      </c>
      <c r="AE109" s="44">
        <f>IFERROR(Olfa[[#This Row],[V. 12 meses]]/Olfa[[#This Row],[Proj. de V. 12 meses]],"")</f>
        <v>0.854308285871762</v>
      </c>
      <c r="AF109" s="22"/>
    </row>
    <row r="110" spans="1:32" hidden="1" x14ac:dyDescent="0.25">
      <c r="A110" s="22" t="s">
        <v>2129</v>
      </c>
      <c r="B110" s="22" t="str">
        <f>IF(OR(Olfa[[#This Row],[Status]]="Em linha",Olfa[[#This Row],[Status]]="Materia Prima",Olfa[[#This Row],[Status]]="Componente"),"ok",IF(Olfa[[#This Row],[Estoque+Importação]]&lt;1,"Tirar","ok"))</f>
        <v>ok</v>
      </c>
      <c r="C110" s="23">
        <v>33070660825</v>
      </c>
      <c r="D110" s="22" t="s">
        <v>672</v>
      </c>
      <c r="E110" s="22" t="str">
        <f>VLOOKUP(Olfa[[#This Row],[Código]],BD_Produto[],3,FALSE)</f>
        <v>Estilete Rotativo</v>
      </c>
      <c r="F110" s="22" t="str">
        <f>VLOOKUP(Olfa[[#This Row],[Código]],BD_Produto[],4,FALSE)</f>
        <v>Rotativo</v>
      </c>
      <c r="G110" s="24">
        <v>72</v>
      </c>
      <c r="H110" s="28">
        <v>610</v>
      </c>
      <c r="I110" s="22" t="s">
        <v>2849</v>
      </c>
      <c r="J110" s="24"/>
      <c r="K110" s="24"/>
      <c r="L110" s="177">
        <f>IFERROR(VLOOKUP(Olfa[[#This Row],[Código]],Saldo[],3,FALSE),0)</f>
        <v>2831</v>
      </c>
      <c r="M110" s="24">
        <f>SUM(Olfa[[#This Row],[Produção]:[Estoque]])</f>
        <v>2831</v>
      </c>
      <c r="N110" s="177">
        <f>IFERROR(Olfa[[#This Row],[Estoque+Importação]]/Olfa[[#This Row],[Proj. de V. No prox. mes]],"Sem Projeção")</f>
        <v>108.05343511450381</v>
      </c>
      <c r="O110" s="177">
        <f>IF(OR(Olfa[[#This Row],[Status]]="Em Linha",Olfa[[#This Row],[Status]]="Componente",Olfa[[#This Row],[Status]]="Materia Prima"),Olfa[[#This Row],[Proj. de V. No prox. mes]]*10,"-")</f>
        <v>262</v>
      </c>
      <c r="P110" s="34">
        <f>IF(OR(Olfa[[#This Row],[Status]]="Em Linha",Olfa[[#This Row],[Status]]="Componente",Olfa[[#This Row],[Status]]="Materia Prima"),Olfa[[#This Row],[estoque 10 meses]]-Olfa[[#This Row],[Estoque+Importação]],0)</f>
        <v>-2569</v>
      </c>
      <c r="Q110" s="75">
        <f>Olfa[[#This Row],[Colunas1]]+Olfa[[#This Row],[Colunas2]]</f>
        <v>26.2</v>
      </c>
      <c r="R110" s="43">
        <f>VLOOKUP(Olfa[[#This Row],[Código]],Projeção[#All],14,FALSE)</f>
        <v>13.999999999999998</v>
      </c>
      <c r="S110" s="39">
        <f>IFERROR(VLOOKUP(Olfa[[#This Row],[Código]],Vendas!A106:B267,2,FALSE),0)</f>
        <v>21</v>
      </c>
      <c r="T110" s="44">
        <f>IFERROR(Olfa[[#This Row],[V. No mes]]/Olfa[[#This Row],[Proj. de V. No mes]],"")</f>
        <v>1.5000000000000002</v>
      </c>
      <c r="U110" s="43">
        <f>VLOOKUP(Olfa[[#This Row],[Código]],Projeção[#All],14,FALSE)+VLOOKUP(Olfa[[#This Row],[Código]],Projeção[#All],13,FALSE)+VLOOKUP(Olfa[[#This Row],[Código]],Projeção[#All],12,FALSE)</f>
        <v>36.133333333333326</v>
      </c>
      <c r="V110" s="39">
        <f>IFERROR(VLOOKUP(Olfa[[#This Row],[Código]],Venda_3meses[],2,FALSE),0)</f>
        <v>27</v>
      </c>
      <c r="W110" s="44">
        <f>IFERROR(Olfa[[#This Row],[V. 3 meses]]/Olfa[[#This Row],[Proj. de V. 3 meses]],"")</f>
        <v>0.74723247232472345</v>
      </c>
      <c r="X11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54.499999999999993</v>
      </c>
      <c r="Y110" s="101">
        <f>IFERROR(VLOOKUP(Olfa[[#This Row],[Código]],Venda_6meses[],2,FALSE),0)</f>
        <v>65</v>
      </c>
      <c r="Z110" s="45">
        <f>IFERROR(Olfa[[#This Row],[V. 6 meses]]/Olfa[[#This Row],[Proj. de V. 6 meses]],"")</f>
        <v>1.1926605504587158</v>
      </c>
      <c r="AA11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88.533333333333331</v>
      </c>
      <c r="AB110" s="39">
        <f>IFERROR(VLOOKUP(Olfa[[#This Row],[Código]],Venda_12meses[],2,FALSE),0)</f>
        <v>131</v>
      </c>
      <c r="AC110" s="171">
        <f>Olfa[[#This Row],[V. 12 meses]]/6</f>
        <v>21.833333333333332</v>
      </c>
      <c r="AD110" s="171">
        <f>Olfa[[#This Row],[Colunas1]]*0.2</f>
        <v>4.3666666666666663</v>
      </c>
      <c r="AE110" s="44">
        <f>IFERROR(Olfa[[#This Row],[V. 12 meses]]/Olfa[[#This Row],[Proj. de V. 12 meses]],"")</f>
        <v>1.4796686746987953</v>
      </c>
      <c r="AF110" s="22"/>
    </row>
    <row r="111" spans="1:32" hidden="1" x14ac:dyDescent="0.25">
      <c r="A111" s="22" t="s">
        <v>2129</v>
      </c>
      <c r="B111" s="22" t="str">
        <f>IF(OR(Olfa[[#This Row],[Status]]="Em linha",Olfa[[#This Row],[Status]]="Materia Prima",Olfa[[#This Row],[Status]]="Componente"),"ok",IF(Olfa[[#This Row],[Estoque+Importação]]&lt;1,"Tirar","ok"))</f>
        <v>ok</v>
      </c>
      <c r="C111" s="23">
        <v>33070664310</v>
      </c>
      <c r="D111" s="22" t="s">
        <v>710</v>
      </c>
      <c r="E111" s="22" t="str">
        <f>VLOOKUP(Olfa[[#This Row],[Código]],BD_Produto[],3,FALSE)</f>
        <v>Estilete de Segurança</v>
      </c>
      <c r="F111" s="22" t="str">
        <f>VLOOKUP(Olfa[[#This Row],[Código]],BD_Produto[],4,FALSE)</f>
        <v>Segurança</v>
      </c>
      <c r="G111" s="24"/>
      <c r="H111" s="28">
        <v>234</v>
      </c>
      <c r="I111" s="22" t="s">
        <v>2849</v>
      </c>
      <c r="J111" s="24"/>
      <c r="K111" s="24"/>
      <c r="L111" s="177">
        <f>IFERROR(VLOOKUP(Olfa[[#This Row],[Código]],Saldo[],3,FALSE),0)</f>
        <v>310</v>
      </c>
      <c r="M111" s="24">
        <f>SUM(Olfa[[#This Row],[Produção]:[Estoque]])</f>
        <v>310</v>
      </c>
      <c r="N111" s="177">
        <f>IFERROR(Olfa[[#This Row],[Estoque+Importação]]/Olfa[[#This Row],[Proj. de V. No prox. mes]],"Sem Projeção")</f>
        <v>77.5</v>
      </c>
      <c r="O111" s="177">
        <f>IF(OR(Olfa[[#This Row],[Status]]="Em Linha",Olfa[[#This Row],[Status]]="Componente",Olfa[[#This Row],[Status]]="Materia Prima"),Olfa[[#This Row],[Proj. de V. No prox. mes]]*10,"-")</f>
        <v>40</v>
      </c>
      <c r="P111" s="34">
        <f>IF(OR(Olfa[[#This Row],[Status]]="Em Linha",Olfa[[#This Row],[Status]]="Componente",Olfa[[#This Row],[Status]]="Materia Prima"),Olfa[[#This Row],[estoque 10 meses]]-Olfa[[#This Row],[Estoque+Importação]],0)</f>
        <v>-270</v>
      </c>
      <c r="Q111" s="75">
        <f>Olfa[[#This Row],[Colunas1]]+Olfa[[#This Row],[Colunas2]]</f>
        <v>4</v>
      </c>
      <c r="R111" s="43">
        <f>VLOOKUP(Olfa[[#This Row],[Código]],Projeção[#All],14,FALSE)</f>
        <v>0.66666666666666663</v>
      </c>
      <c r="S111" s="39">
        <f>IFERROR(VLOOKUP(Olfa[[#This Row],[Código]],Vendas!A107:B268,2,FALSE),0)</f>
        <v>0</v>
      </c>
      <c r="T111" s="44">
        <f>IFERROR(Olfa[[#This Row],[V. No mes]]/Olfa[[#This Row],[Proj. de V. No mes]],"")</f>
        <v>0</v>
      </c>
      <c r="U111" s="43">
        <f>VLOOKUP(Olfa[[#This Row],[Código]],Projeção[#All],14,FALSE)+VLOOKUP(Olfa[[#This Row],[Código]],Projeção[#All],13,FALSE)+VLOOKUP(Olfa[[#This Row],[Código]],Projeção[#All],12,FALSE)</f>
        <v>2</v>
      </c>
      <c r="V111" s="39">
        <f>IFERROR(VLOOKUP(Olfa[[#This Row],[Código]],Venda_3meses[],2,FALSE),0)</f>
        <v>18</v>
      </c>
      <c r="W111" s="44">
        <f>IFERROR(Olfa[[#This Row],[V. 3 meses]]/Olfa[[#This Row],[Proj. de V. 3 meses]],"")</f>
        <v>9</v>
      </c>
      <c r="X11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4.1333333333333337</v>
      </c>
      <c r="Y111" s="101">
        <f>IFERROR(VLOOKUP(Olfa[[#This Row],[Código]],Venda_6meses[],2,FALSE),0)</f>
        <v>18</v>
      </c>
      <c r="Z111" s="45">
        <f>IFERROR(Olfa[[#This Row],[V. 6 meses]]/Olfa[[#This Row],[Proj. de V. 6 meses]],"")</f>
        <v>4.354838709677419</v>
      </c>
      <c r="AA11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25.133333333333333</v>
      </c>
      <c r="AB111" s="39">
        <f>IFERROR(VLOOKUP(Olfa[[#This Row],[Código]],Venda_12meses[],2,FALSE),0)</f>
        <v>20</v>
      </c>
      <c r="AC111" s="171">
        <f>Olfa[[#This Row],[V. 12 meses]]/6</f>
        <v>3.3333333333333335</v>
      </c>
      <c r="AD111" s="171">
        <f>Olfa[[#This Row],[Colunas1]]*0.2</f>
        <v>0.66666666666666674</v>
      </c>
      <c r="AE111" s="44">
        <f>IFERROR(Olfa[[#This Row],[V. 12 meses]]/Olfa[[#This Row],[Proj. de V. 12 meses]],"")</f>
        <v>0.79575596816976124</v>
      </c>
      <c r="AF111" s="22"/>
    </row>
    <row r="112" spans="1:32" hidden="1" x14ac:dyDescent="0.25">
      <c r="A112" s="22" t="s">
        <v>2129</v>
      </c>
      <c r="B112" s="22" t="str">
        <f>IF(OR(Olfa[[#This Row],[Status]]="Em linha",Olfa[[#This Row],[Status]]="Materia Prima",Olfa[[#This Row],[Status]]="Componente"),"ok",IF(Olfa[[#This Row],[Estoque+Importação]]&lt;1,"Tirar","ok"))</f>
        <v>ok</v>
      </c>
      <c r="C112" s="23">
        <v>33070660354</v>
      </c>
      <c r="D112" s="22" t="s">
        <v>671</v>
      </c>
      <c r="E112" s="22" t="str">
        <f>VLOOKUP(Olfa[[#This Row],[Código]],BD_Produto[],3,FALSE)</f>
        <v>Estojo de Lâminas</v>
      </c>
      <c r="F112" s="22" t="str">
        <f>VLOOKUP(Olfa[[#This Row],[Código]],BD_Produto[],4,FALSE)</f>
        <v>Segurança</v>
      </c>
      <c r="G112" s="24">
        <v>240</v>
      </c>
      <c r="H112" s="28">
        <v>134</v>
      </c>
      <c r="I112" s="22" t="s">
        <v>2849</v>
      </c>
      <c r="J112" s="24"/>
      <c r="K112" s="24"/>
      <c r="L112" s="177">
        <f>IFERROR(VLOOKUP(Olfa[[#This Row],[Código]],Saldo[],3,FALSE),0)</f>
        <v>912</v>
      </c>
      <c r="M112" s="24">
        <f>SUM(Olfa[[#This Row],[Produção]:[Estoque]])</f>
        <v>912</v>
      </c>
      <c r="N112" s="177">
        <f>IFERROR(Olfa[[#This Row],[Estoque+Importação]]/Olfa[[#This Row],[Proj. de V. No prox. mes]],"Sem Projeção")</f>
        <v>29.419354838709676</v>
      </c>
      <c r="O112" s="177">
        <f>IF(OR(Olfa[[#This Row],[Status]]="Em Linha",Olfa[[#This Row],[Status]]="Componente",Olfa[[#This Row],[Status]]="Materia Prima"),Olfa[[#This Row],[Proj. de V. No prox. mes]]*10,"-")</f>
        <v>310</v>
      </c>
      <c r="P112" s="34">
        <f>IF(OR(Olfa[[#This Row],[Status]]="Em Linha",Olfa[[#This Row],[Status]]="Componente",Olfa[[#This Row],[Status]]="Materia Prima"),Olfa[[#This Row],[estoque 10 meses]]-Olfa[[#This Row],[Estoque+Importação]],0)</f>
        <v>-602</v>
      </c>
      <c r="Q112" s="75">
        <f>Olfa[[#This Row],[Colunas1]]+Olfa[[#This Row],[Colunas2]]</f>
        <v>31</v>
      </c>
      <c r="R112" s="43">
        <f>VLOOKUP(Olfa[[#This Row],[Código]],Projeção[#All],14,FALSE)</f>
        <v>8.6</v>
      </c>
      <c r="S112" s="39">
        <f>IFERROR(VLOOKUP(Olfa[[#This Row],[Código]],Vendas!A108:B269,2,FALSE),0)</f>
        <v>38</v>
      </c>
      <c r="T112" s="44">
        <f>IFERROR(Olfa[[#This Row],[V. No mes]]/Olfa[[#This Row],[Proj. de V. No mes]],"")</f>
        <v>4.4186046511627906</v>
      </c>
      <c r="U112" s="43">
        <f>VLOOKUP(Olfa[[#This Row],[Código]],Projeção[#All],14,FALSE)+VLOOKUP(Olfa[[#This Row],[Código]],Projeção[#All],13,FALSE)+VLOOKUP(Olfa[[#This Row],[Código]],Projeção[#All],12,FALSE)</f>
        <v>23.799999999999997</v>
      </c>
      <c r="V112" s="39">
        <f>IFERROR(VLOOKUP(Olfa[[#This Row],[Código]],Venda_3meses[],2,FALSE),0)</f>
        <v>47</v>
      </c>
      <c r="W112" s="44">
        <f>IFERROR(Olfa[[#This Row],[V. 3 meses]]/Olfa[[#This Row],[Proj. de V. 3 meses]],"")</f>
        <v>1.9747899159663869</v>
      </c>
      <c r="X11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33.999999999999993</v>
      </c>
      <c r="Y112" s="101">
        <f>IFERROR(VLOOKUP(Olfa[[#This Row],[Código]],Venda_6meses[],2,FALSE),0)</f>
        <v>107</v>
      </c>
      <c r="Z112" s="45">
        <f>IFERROR(Olfa[[#This Row],[V. 6 meses]]/Olfa[[#This Row],[Proj. de V. 6 meses]],"")</f>
        <v>3.1470588235294126</v>
      </c>
      <c r="AA11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67.399999999999991</v>
      </c>
      <c r="AB112" s="39">
        <f>IFERROR(VLOOKUP(Olfa[[#This Row],[Código]],Venda_12meses[],2,FALSE),0)</f>
        <v>155</v>
      </c>
      <c r="AC112" s="171">
        <f>Olfa[[#This Row],[V. 12 meses]]/6</f>
        <v>25.833333333333332</v>
      </c>
      <c r="AD112" s="171">
        <f>Olfa[[#This Row],[Colunas1]]*0.2</f>
        <v>5.166666666666667</v>
      </c>
      <c r="AE112" s="44">
        <f>IFERROR(Olfa[[#This Row],[V. 12 meses]]/Olfa[[#This Row],[Proj. de V. 12 meses]],"")</f>
        <v>2.2997032640949557</v>
      </c>
      <c r="AF112" s="22"/>
    </row>
    <row r="113" spans="1:32" x14ac:dyDescent="0.25">
      <c r="A113" s="22" t="s">
        <v>2129</v>
      </c>
      <c r="B113" s="22" t="str">
        <f>IF(OR(Olfa[[#This Row],[Status]]="Em linha",Olfa[[#This Row],[Status]]="Materia Prima",Olfa[[#This Row],[Status]]="Componente"),"ok",IF(Olfa[[#This Row],[Estoque+Importação]]&lt;1,"Tirar","ok"))</f>
        <v>ok</v>
      </c>
      <c r="C113" s="23">
        <v>33070664312</v>
      </c>
      <c r="D113" s="22" t="s">
        <v>1146</v>
      </c>
      <c r="E113" s="22" t="str">
        <f>VLOOKUP(Olfa[[#This Row],[Código]],BD_Produto[],3,FALSE)</f>
        <v>Acessório</v>
      </c>
      <c r="F113" s="22" t="str">
        <f>VLOOKUP(Olfa[[#This Row],[Código]],BD_Produto[],4,FALSE)</f>
        <v>Acessório</v>
      </c>
      <c r="G113" s="24"/>
      <c r="H113" s="28">
        <v>211</v>
      </c>
      <c r="I113" s="22" t="s">
        <v>2849</v>
      </c>
      <c r="J113" s="24"/>
      <c r="K113" s="24"/>
      <c r="L113" s="177">
        <f>IFERROR(VLOOKUP(Olfa[[#This Row],[Código]],Saldo[],3,FALSE),0)</f>
        <v>28</v>
      </c>
      <c r="M113" s="24">
        <f>SUM(Olfa[[#This Row],[Produção]:[Estoque]])</f>
        <v>28</v>
      </c>
      <c r="N113" s="177">
        <f>IFERROR(Olfa[[#This Row],[Estoque+Importação]]/Olfa[[#This Row],[Proj. de V. No prox. mes]],"Sem Projeção")</f>
        <v>3.6842105263157898</v>
      </c>
      <c r="O113" s="177">
        <f>IF(OR(Olfa[[#This Row],[Status]]="Em Linha",Olfa[[#This Row],[Status]]="Componente",Olfa[[#This Row],[Status]]="Materia Prima"),Olfa[[#This Row],[Proj. de V. No prox. mes]]*10,"-")</f>
        <v>76</v>
      </c>
      <c r="P113" s="34">
        <f>IF(OR(Olfa[[#This Row],[Status]]="Em Linha",Olfa[[#This Row],[Status]]="Componente",Olfa[[#This Row],[Status]]="Materia Prima"),Olfa[[#This Row],[estoque 10 meses]]-Olfa[[#This Row],[Estoque+Importação]],0)</f>
        <v>48</v>
      </c>
      <c r="Q113" s="75">
        <f>Olfa[[#This Row],[Colunas1]]+Olfa[[#This Row],[Colunas2]]</f>
        <v>7.6</v>
      </c>
      <c r="R113" s="43">
        <f>VLOOKUP(Olfa[[#This Row],[Código]],Projeção[#All],14,FALSE)</f>
        <v>0.19999999999999998</v>
      </c>
      <c r="S113" s="39">
        <f>IFERROR(VLOOKUP(Olfa[[#This Row],[Código]],Vendas!A109:B270,2,FALSE),0)</f>
        <v>6</v>
      </c>
      <c r="T113" s="44">
        <f>IFERROR(Olfa[[#This Row],[V. No mes]]/Olfa[[#This Row],[Proj. de V. No mes]],"")</f>
        <v>30.000000000000004</v>
      </c>
      <c r="U113" s="43">
        <f>VLOOKUP(Olfa[[#This Row],[Código]],Projeção[#All],14,FALSE)+VLOOKUP(Olfa[[#This Row],[Código]],Projeção[#All],13,FALSE)+VLOOKUP(Olfa[[#This Row],[Código]],Projeção[#All],12,FALSE)</f>
        <v>0.6</v>
      </c>
      <c r="V113" s="39">
        <f>IFERROR(VLOOKUP(Olfa[[#This Row],[Código]],Venda_3meses[],2,FALSE),0)</f>
        <v>32</v>
      </c>
      <c r="W113" s="44">
        <f>IFERROR(Olfa[[#This Row],[V. 3 meses]]/Olfa[[#This Row],[Proj. de V. 3 meses]],"")</f>
        <v>53.333333333333336</v>
      </c>
      <c r="X11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2.8</v>
      </c>
      <c r="Y113" s="101">
        <f>IFERROR(VLOOKUP(Olfa[[#This Row],[Código]],Venda_6meses[],2,FALSE),0)</f>
        <v>38</v>
      </c>
      <c r="Z113" s="45">
        <f>IFERROR(Olfa[[#This Row],[V. 6 meses]]/Olfa[[#This Row],[Proj. de V. 6 meses]],"")</f>
        <v>13.571428571428573</v>
      </c>
      <c r="AA11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9.8333333333333339</v>
      </c>
      <c r="AB113" s="39">
        <f>IFERROR(VLOOKUP(Olfa[[#This Row],[Código]],Venda_12meses[],2,FALSE),0)</f>
        <v>38</v>
      </c>
      <c r="AC113" s="171">
        <f>Olfa[[#This Row],[V. 12 meses]]/6</f>
        <v>6.333333333333333</v>
      </c>
      <c r="AD113" s="171">
        <f>Olfa[[#This Row],[Colunas1]]*0.2</f>
        <v>1.2666666666666666</v>
      </c>
      <c r="AE113" s="44">
        <f>IFERROR(Olfa[[#This Row],[V. 12 meses]]/Olfa[[#This Row],[Proj. de V. 12 meses]],"")</f>
        <v>3.8644067796610169</v>
      </c>
      <c r="AF113" s="22"/>
    </row>
    <row r="114" spans="1:32" x14ac:dyDescent="0.25">
      <c r="A114" s="22" t="s">
        <v>2129</v>
      </c>
      <c r="B114" s="22" t="str">
        <f>IF(OR(Olfa[[#This Row],[Status]]="Em linha",Olfa[[#This Row],[Status]]="Materia Prima",Olfa[[#This Row],[Status]]="Componente"),"ok",IF(Olfa[[#This Row],[Estoque+Importação]]&lt;1,"Tirar","ok"))</f>
        <v>ok</v>
      </c>
      <c r="C114" s="23">
        <v>33070664315</v>
      </c>
      <c r="D114" s="22" t="s">
        <v>926</v>
      </c>
      <c r="E114" s="22" t="str">
        <f>VLOOKUP(Olfa[[#This Row],[Código]],BD_Produto[],3,FALSE)</f>
        <v>Estojo de Lâminas</v>
      </c>
      <c r="F114" s="22" t="str">
        <f>VLOOKUP(Olfa[[#This Row],[Código]],BD_Produto[],4,FALSE)</f>
        <v>Heavy Duty</v>
      </c>
      <c r="G114" s="24"/>
      <c r="H114" s="28">
        <v>332</v>
      </c>
      <c r="I114" s="22" t="s">
        <v>2849</v>
      </c>
      <c r="J114" s="24"/>
      <c r="K114" s="24"/>
      <c r="L114" s="177">
        <f>IFERROR(VLOOKUP(Olfa[[#This Row],[Código]],Saldo[],3,FALSE),0)</f>
        <v>93</v>
      </c>
      <c r="M114" s="24">
        <f>SUM(Olfa[[#This Row],[Produção]:[Estoque]])</f>
        <v>93</v>
      </c>
      <c r="N114" s="177">
        <f>IFERROR(Olfa[[#This Row],[Estoque+Importação]]/Olfa[[#This Row],[Proj. de V. No prox. mes]],"Sem Projeção")</f>
        <v>42.272727272727266</v>
      </c>
      <c r="O114" s="177">
        <f>IF(OR(Olfa[[#This Row],[Status]]="Em Linha",Olfa[[#This Row],[Status]]="Componente",Olfa[[#This Row],[Status]]="Materia Prima"),Olfa[[#This Row],[Proj. de V. No prox. mes]]*10,"-")</f>
        <v>22</v>
      </c>
      <c r="P114" s="34">
        <f>IF(OR(Olfa[[#This Row],[Status]]="Em Linha",Olfa[[#This Row],[Status]]="Componente",Olfa[[#This Row],[Status]]="Materia Prima"),Olfa[[#This Row],[estoque 10 meses]]-Olfa[[#This Row],[Estoque+Importação]],0)</f>
        <v>-71</v>
      </c>
      <c r="Q114" s="75">
        <f>Olfa[[#This Row],[Colunas1]]+Olfa[[#This Row],[Colunas2]]</f>
        <v>2.2000000000000002</v>
      </c>
      <c r="R114" s="43">
        <f>VLOOKUP(Olfa[[#This Row],[Código]],Projeção[#All],14,FALSE)</f>
        <v>0.19999999999999998</v>
      </c>
      <c r="S114" s="39">
        <f>IFERROR(VLOOKUP(Olfa[[#This Row],[Código]],Vendas!A110:B271,2,FALSE),0)</f>
        <v>2</v>
      </c>
      <c r="T114" s="44">
        <f>IFERROR(Olfa[[#This Row],[V. No mes]]/Olfa[[#This Row],[Proj. de V. No mes]],"")</f>
        <v>10</v>
      </c>
      <c r="U114" s="43">
        <f>VLOOKUP(Olfa[[#This Row],[Código]],Projeção[#All],14,FALSE)+VLOOKUP(Olfa[[#This Row],[Código]],Projeção[#All],13,FALSE)+VLOOKUP(Olfa[[#This Row],[Código]],Projeção[#All],12,FALSE)</f>
        <v>1.7999999999999998</v>
      </c>
      <c r="V114" s="39">
        <f>IFERROR(VLOOKUP(Olfa[[#This Row],[Código]],Venda_3meses[],2,FALSE),0)</f>
        <v>11</v>
      </c>
      <c r="W114" s="44">
        <f>IFERROR(Olfa[[#This Row],[V. 3 meses]]/Olfa[[#This Row],[Proj. de V. 3 meses]],"")</f>
        <v>6.1111111111111116</v>
      </c>
      <c r="X11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6.3999999999999995</v>
      </c>
      <c r="Y114" s="101">
        <f>IFERROR(VLOOKUP(Olfa[[#This Row],[Código]],Venda_6meses[],2,FALSE),0)</f>
        <v>11</v>
      </c>
      <c r="Z114" s="45">
        <f>IFERROR(Olfa[[#This Row],[V. 6 meses]]/Olfa[[#This Row],[Proj. de V. 6 meses]],"")</f>
        <v>1.7187500000000002</v>
      </c>
      <c r="AA11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15.999999999999998</v>
      </c>
      <c r="AB114" s="39">
        <f>IFERROR(VLOOKUP(Olfa[[#This Row],[Código]],Venda_12meses[],2,FALSE),0)</f>
        <v>11</v>
      </c>
      <c r="AC114" s="171">
        <f>Olfa[[#This Row],[V. 12 meses]]/6</f>
        <v>1.8333333333333333</v>
      </c>
      <c r="AD114" s="171">
        <f>Olfa[[#This Row],[Colunas1]]*0.2</f>
        <v>0.3666666666666667</v>
      </c>
      <c r="AE114" s="44">
        <f>IFERROR(Olfa[[#This Row],[V. 12 meses]]/Olfa[[#This Row],[Proj. de V. 12 meses]],"")</f>
        <v>0.68750000000000011</v>
      </c>
      <c r="AF114" s="22"/>
    </row>
    <row r="115" spans="1:32" hidden="1" x14ac:dyDescent="0.25">
      <c r="A115" s="22" t="s">
        <v>2129</v>
      </c>
      <c r="B115" s="22" t="str">
        <f>IF(OR(Olfa[[#This Row],[Status]]="Em linha",Olfa[[#This Row],[Status]]="Materia Prima",Olfa[[#This Row],[Status]]="Componente"),"ok",IF(Olfa[[#This Row],[Estoque+Importação]]&lt;1,"Tirar","ok"))</f>
        <v>ok</v>
      </c>
      <c r="C115" s="23">
        <v>33070665222</v>
      </c>
      <c r="D115" s="22" t="s">
        <v>3035</v>
      </c>
      <c r="E115" s="22" t="str">
        <f>VLOOKUP(Olfa[[#This Row],[Código]],BD_Produto[],3,FALSE)</f>
        <v>Estojo de Lâminas</v>
      </c>
      <c r="F115" s="22" t="str">
        <f>VLOOKUP(Olfa[[#This Row],[Código]],BD_Produto[],4,FALSE)</f>
        <v>Heavy Duty</v>
      </c>
      <c r="G115" s="24">
        <v>60</v>
      </c>
      <c r="H115" s="28">
        <v>594</v>
      </c>
      <c r="I115" s="22" t="s">
        <v>2849</v>
      </c>
      <c r="J115" s="24"/>
      <c r="K115" s="24"/>
      <c r="L115" s="177">
        <f>IFERROR(VLOOKUP(Olfa[[#This Row],[Código]],Saldo[],3,FALSE),0)</f>
        <v>7762</v>
      </c>
      <c r="M115" s="24">
        <f>SUM(Olfa[[#This Row],[Produção]:[Estoque]])</f>
        <v>7762</v>
      </c>
      <c r="N115" s="177">
        <f>IFERROR(Olfa[[#This Row],[Estoque+Importação]]/Olfa[[#This Row],[Proj. de V. No prox. mes]],"Sem Projeção")</f>
        <v>6.5303718660609125</v>
      </c>
      <c r="O115" s="177">
        <f>IF(OR(Olfa[[#This Row],[Status]]="Em Linha",Olfa[[#This Row],[Status]]="Componente",Olfa[[#This Row],[Status]]="Materia Prima"),Olfa[[#This Row],[Proj. de V. No prox. mes]]*10,"-")</f>
        <v>11886</v>
      </c>
      <c r="P115" s="34">
        <f>IF(OR(Olfa[[#This Row],[Status]]="Em Linha",Olfa[[#This Row],[Status]]="Componente",Olfa[[#This Row],[Status]]="Materia Prima"),Olfa[[#This Row],[estoque 10 meses]]-Olfa[[#This Row],[Estoque+Importação]],0)</f>
        <v>4124</v>
      </c>
      <c r="Q115" s="75">
        <f>Olfa[[#This Row],[Colunas1]]+Olfa[[#This Row],[Colunas2]]</f>
        <v>1188.5999999999999</v>
      </c>
      <c r="R115" s="43">
        <f>VLOOKUP(Olfa[[#This Row],[Código]],Projeção[#All],14,FALSE)</f>
        <v>0</v>
      </c>
      <c r="S115" s="39">
        <f>IFERROR(VLOOKUP(Olfa[[#This Row],[Código]],Vendas!A111:B272,2,FALSE),0)</f>
        <v>502</v>
      </c>
      <c r="T115" s="44" t="str">
        <f>IFERROR(Olfa[[#This Row],[V. No mes]]/Olfa[[#This Row],[Proj. de V. No mes]],"")</f>
        <v/>
      </c>
      <c r="U115" s="43">
        <f>VLOOKUP(Olfa[[#This Row],[Código]],Projeção[#All],14,FALSE)+VLOOKUP(Olfa[[#This Row],[Código]],Projeção[#All],13,FALSE)+VLOOKUP(Olfa[[#This Row],[Código]],Projeção[#All],12,FALSE)</f>
        <v>0</v>
      </c>
      <c r="V115" s="39">
        <f>IFERROR(VLOOKUP(Olfa[[#This Row],[Código]],Venda_3meses[],2,FALSE),0)</f>
        <v>4399</v>
      </c>
      <c r="W115" s="44" t="str">
        <f>IFERROR(Olfa[[#This Row],[V. 3 meses]]/Olfa[[#This Row],[Proj. de V. 3 meses]],"")</f>
        <v/>
      </c>
      <c r="X11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15" s="101">
        <f>IFERROR(VLOOKUP(Olfa[[#This Row],[Código]],Venda_6meses[],2,FALSE),0)</f>
        <v>5937</v>
      </c>
      <c r="Z115" s="45" t="str">
        <f>IFERROR(Olfa[[#This Row],[V. 6 meses]]/Olfa[[#This Row],[Proj. de V. 6 meses]],"")</f>
        <v/>
      </c>
      <c r="AA11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15" s="39">
        <f>IFERROR(VLOOKUP(Olfa[[#This Row],[Código]],Venda_12meses[],2,FALSE),0)</f>
        <v>5943</v>
      </c>
      <c r="AC115" s="171">
        <f>Olfa[[#This Row],[V. 12 meses]]/6</f>
        <v>990.5</v>
      </c>
      <c r="AD115" s="171">
        <f>Olfa[[#This Row],[Colunas1]]*0.2</f>
        <v>198.10000000000002</v>
      </c>
      <c r="AE115" s="44" t="str">
        <f>IFERROR(Olfa[[#This Row],[V. 12 meses]]/Olfa[[#This Row],[Proj. de V. 12 meses]],"")</f>
        <v/>
      </c>
      <c r="AF115" s="22"/>
    </row>
    <row r="116" spans="1:32" hidden="1" x14ac:dyDescent="0.25">
      <c r="A116" s="22" t="s">
        <v>2129</v>
      </c>
      <c r="B116" s="66" t="str">
        <f>IF(OR(Olfa[[#This Row],[Status]]="Em linha",Olfa[[#This Row],[Status]]="Materia Prima",Olfa[[#This Row],[Status]]="Componente"),"ok",IF(Olfa[[#This Row],[Estoque+Importação]]&lt;1,"Tirar","ok"))</f>
        <v>ok</v>
      </c>
      <c r="C116" s="23">
        <v>33070665297</v>
      </c>
      <c r="D116" s="105" t="s">
        <v>3062</v>
      </c>
      <c r="E116" s="111" t="str">
        <f>VLOOKUP(Olfa[[#This Row],[Código]],BD_Produto[],3,FALSE)</f>
        <v>Estilete Rotativo</v>
      </c>
      <c r="F116" s="111" t="str">
        <f>VLOOKUP(Olfa[[#This Row],[Código]],BD_Produto[],4,FALSE)</f>
        <v>Rotativo</v>
      </c>
      <c r="G116" s="24">
        <v>72</v>
      </c>
      <c r="H116" s="28"/>
      <c r="I116" s="22" t="s">
        <v>2849</v>
      </c>
      <c r="J116" s="98"/>
      <c r="K116" s="24"/>
      <c r="L116" s="177">
        <f>IFERROR(VLOOKUP(Olfa[[#This Row],[Código]],Saldo[],3,FALSE),0)</f>
        <v>0</v>
      </c>
      <c r="M116" s="24">
        <f>SUM(Olfa[[#This Row],[Produção]:[Estoque]])</f>
        <v>0</v>
      </c>
      <c r="N116" s="177">
        <f>IFERROR(Olfa[[#This Row],[Estoque+Importação]]/Olfa[[#This Row],[Proj. de V. No prox. mes]],"Sem Projeção")</f>
        <v>0</v>
      </c>
      <c r="O116" s="177">
        <f>IF(OR(Olfa[[#This Row],[Status]]="Em Linha",Olfa[[#This Row],[Status]]="Componente",Olfa[[#This Row],[Status]]="Materia Prima"),Olfa[[#This Row],[Proj. de V. No prox. mes]]*10,"-")</f>
        <v>42</v>
      </c>
      <c r="P116" s="34">
        <f>IF(OR(Olfa[[#This Row],[Status]]="Em Linha",Olfa[[#This Row],[Status]]="Componente",Olfa[[#This Row],[Status]]="Materia Prima"),Olfa[[#This Row],[estoque 10 meses]]-Olfa[[#This Row],[Estoque+Importação]],0)</f>
        <v>42</v>
      </c>
      <c r="Q116" s="75">
        <f>Olfa[[#This Row],[Colunas1]]+Olfa[[#This Row],[Colunas2]]</f>
        <v>4.2</v>
      </c>
      <c r="R116" s="43">
        <f>VLOOKUP(Olfa[[#This Row],[Código]],Projeção[#All],14,FALSE)</f>
        <v>0</v>
      </c>
      <c r="S116" s="24">
        <f>IFERROR(VLOOKUP(Olfa[[#This Row],[Código]],Vendas!A112:B273,2,FALSE),0)</f>
        <v>15</v>
      </c>
      <c r="T116" s="104" t="str">
        <f>IFERROR(Olfa[[#This Row],[V. No mes]]/Olfa[[#This Row],[Proj. de V. No mes]],"")</f>
        <v/>
      </c>
      <c r="U116" s="43">
        <f>VLOOKUP(Olfa[[#This Row],[Código]],Projeção[#All],14,FALSE)+VLOOKUP(Olfa[[#This Row],[Código]],Projeção[#All],13,FALSE)+VLOOKUP(Olfa[[#This Row],[Código]],Projeção[#All],12,FALSE)</f>
        <v>0</v>
      </c>
      <c r="V116" s="24">
        <f>IFERROR(VLOOKUP(Olfa[[#This Row],[Código]],Venda_3meses[],2,FALSE),0)</f>
        <v>21</v>
      </c>
      <c r="W116" s="44" t="str">
        <f>IFERROR(Olfa[[#This Row],[V. 3 meses]]/Olfa[[#This Row],[Proj. de V. 3 meses]],"")</f>
        <v/>
      </c>
      <c r="X116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16" s="107">
        <f>IFERROR(VLOOKUP(Olfa[[#This Row],[Código]],Venda_6meses[],2,FALSE),0)</f>
        <v>21</v>
      </c>
      <c r="Z116" s="108" t="str">
        <f>IFERROR(Olfa[[#This Row],[V. 6 meses]]/Olfa[[#This Row],[Proj. de V. 6 meses]],"")</f>
        <v/>
      </c>
      <c r="AA11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16" s="24">
        <f>IFERROR(VLOOKUP(Olfa[[#This Row],[Código]],Venda_12meses[],2,FALSE),0)</f>
        <v>21</v>
      </c>
      <c r="AC116" s="171">
        <f>Olfa[[#This Row],[V. 12 meses]]/6</f>
        <v>3.5</v>
      </c>
      <c r="AD116" s="171">
        <f>Olfa[[#This Row],[Colunas1]]*0.2</f>
        <v>0.70000000000000007</v>
      </c>
      <c r="AE116" s="44" t="str">
        <f>IFERROR(Olfa[[#This Row],[V. 12 meses]]/Olfa[[#This Row],[Proj. de V. 12 meses]],"")</f>
        <v/>
      </c>
      <c r="AF116" s="22"/>
    </row>
    <row r="117" spans="1:32" hidden="1" x14ac:dyDescent="0.25">
      <c r="A117" s="22" t="s">
        <v>2129</v>
      </c>
      <c r="B117" s="66" t="str">
        <f>IF(OR(Olfa[[#This Row],[Status]]="Em linha",Olfa[[#This Row],[Status]]="Materia Prima",Olfa[[#This Row],[Status]]="Componente"),"ok",IF(Olfa[[#This Row],[Estoque+Importação]]&lt;1,"Tirar","ok"))</f>
        <v>ok</v>
      </c>
      <c r="C117" s="23">
        <v>33070665295</v>
      </c>
      <c r="D117" s="105" t="s">
        <v>3060</v>
      </c>
      <c r="E117" s="111" t="str">
        <f>VLOOKUP(Olfa[[#This Row],[Código]],BD_Produto[],3,FALSE)</f>
        <v>Estilete Especial</v>
      </c>
      <c r="F117" s="111" t="str">
        <f>VLOOKUP(Olfa[[#This Row],[Código]],BD_Produto[],4,FALSE)</f>
        <v>Especial</v>
      </c>
      <c r="G117" s="24"/>
      <c r="H117" s="28"/>
      <c r="I117" s="22" t="s">
        <v>2849</v>
      </c>
      <c r="J117" s="98"/>
      <c r="K117" s="24"/>
      <c r="L117" s="177">
        <f>IFERROR(VLOOKUP(Olfa[[#This Row],[Código]],Saldo[],3,FALSE),0)</f>
        <v>122</v>
      </c>
      <c r="M117" s="24">
        <f>SUM(Olfa[[#This Row],[Produção]:[Estoque]])</f>
        <v>122</v>
      </c>
      <c r="N117" s="177">
        <f>IFERROR(Olfa[[#This Row],[Estoque+Importação]]/Olfa[[#This Row],[Proj. de V. No prox. mes]],"Sem Projeção")</f>
        <v>43.571428571428569</v>
      </c>
      <c r="O117" s="177">
        <f>IF(OR(Olfa[[#This Row],[Status]]="Em Linha",Olfa[[#This Row],[Status]]="Componente",Olfa[[#This Row],[Status]]="Materia Prima"),Olfa[[#This Row],[Proj. de V. No prox. mes]]*10,"-")</f>
        <v>28.000000000000004</v>
      </c>
      <c r="P117" s="34">
        <f>IF(OR(Olfa[[#This Row],[Status]]="Em Linha",Olfa[[#This Row],[Status]]="Componente",Olfa[[#This Row],[Status]]="Materia Prima"),Olfa[[#This Row],[estoque 10 meses]]-Olfa[[#This Row],[Estoque+Importação]],0)</f>
        <v>-94</v>
      </c>
      <c r="Q117" s="75">
        <f>Olfa[[#This Row],[Colunas1]]+Olfa[[#This Row],[Colunas2]]</f>
        <v>2.8000000000000003</v>
      </c>
      <c r="R117" s="43">
        <f>VLOOKUP(Olfa[[#This Row],[Código]],Projeção[#All],14,FALSE)</f>
        <v>0</v>
      </c>
      <c r="S117" s="24">
        <f>IFERROR(VLOOKUP(Olfa[[#This Row],[Código]],Vendas!A113:B274,2,FALSE),0)</f>
        <v>8</v>
      </c>
      <c r="T117" s="104" t="str">
        <f>IFERROR(Olfa[[#This Row],[V. No mes]]/Olfa[[#This Row],[Proj. de V. No mes]],"")</f>
        <v/>
      </c>
      <c r="U117" s="43">
        <f>VLOOKUP(Olfa[[#This Row],[Código]],Projeção[#All],14,FALSE)+VLOOKUP(Olfa[[#This Row],[Código]],Projeção[#All],13,FALSE)+VLOOKUP(Olfa[[#This Row],[Código]],Projeção[#All],12,FALSE)</f>
        <v>0</v>
      </c>
      <c r="V117" s="24">
        <f>IFERROR(VLOOKUP(Olfa[[#This Row],[Código]],Venda_3meses[],2,FALSE),0)</f>
        <v>14</v>
      </c>
      <c r="W117" s="44" t="str">
        <f>IFERROR(Olfa[[#This Row],[V. 3 meses]]/Olfa[[#This Row],[Proj. de V. 3 meses]],"")</f>
        <v/>
      </c>
      <c r="X117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17" s="107">
        <f>IFERROR(VLOOKUP(Olfa[[#This Row],[Código]],Venda_6meses[],2,FALSE),0)</f>
        <v>14</v>
      </c>
      <c r="Z117" s="108" t="str">
        <f>IFERROR(Olfa[[#This Row],[V. 6 meses]]/Olfa[[#This Row],[Proj. de V. 6 meses]],"")</f>
        <v/>
      </c>
      <c r="AA11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17" s="24">
        <f>IFERROR(VLOOKUP(Olfa[[#This Row],[Código]],Venda_12meses[],2,FALSE),0)</f>
        <v>14</v>
      </c>
      <c r="AC117" s="171">
        <f>Olfa[[#This Row],[V. 12 meses]]/6</f>
        <v>2.3333333333333335</v>
      </c>
      <c r="AD117" s="171">
        <f>Olfa[[#This Row],[Colunas1]]*0.2</f>
        <v>0.46666666666666673</v>
      </c>
      <c r="AE117" s="44" t="str">
        <f>IFERROR(Olfa[[#This Row],[V. 12 meses]]/Olfa[[#This Row],[Proj. de V. 12 meses]],"")</f>
        <v/>
      </c>
      <c r="AF117" s="22"/>
    </row>
    <row r="118" spans="1:32" hidden="1" x14ac:dyDescent="0.25">
      <c r="A118" s="22" t="s">
        <v>2129</v>
      </c>
      <c r="B118" s="66" t="str">
        <f>IF(OR(Olfa[[#This Row],[Status]]="Em linha",Olfa[[#This Row],[Status]]="Materia Prima",Olfa[[#This Row],[Status]]="Componente"),"ok",IF(Olfa[[#This Row],[Estoque+Importação]]&lt;1,"Tirar","ok"))</f>
        <v>ok</v>
      </c>
      <c r="C118" s="23">
        <v>33070665293</v>
      </c>
      <c r="D118" s="105" t="s">
        <v>3080</v>
      </c>
      <c r="E118" s="111" t="str">
        <f>VLOOKUP(Olfa[[#This Row],[Código]],BD_Produto[],3,FALSE)</f>
        <v>Estilete Heavy Duty</v>
      </c>
      <c r="F118" s="111" t="str">
        <f>VLOOKUP(Olfa[[#This Row],[Código]],BD_Produto[],4,FALSE)</f>
        <v>Heavy Duty</v>
      </c>
      <c r="G118" s="24">
        <v>120</v>
      </c>
      <c r="H118" s="28"/>
      <c r="I118" s="22" t="s">
        <v>2849</v>
      </c>
      <c r="J118" s="98"/>
      <c r="K118" s="24"/>
      <c r="L118" s="177">
        <f>IFERROR(VLOOKUP(Olfa[[#This Row],[Código]],Saldo[],3,FALSE),0)</f>
        <v>2110</v>
      </c>
      <c r="M118" s="24">
        <f>SUM(Olfa[[#This Row],[Produção]:[Estoque]])</f>
        <v>2110</v>
      </c>
      <c r="N118" s="177" t="str">
        <f>IFERROR(Olfa[[#This Row],[Estoque+Importação]]/Olfa[[#This Row],[Proj. de V. No prox. mes]],"Sem Projeção")</f>
        <v>Sem Projeção</v>
      </c>
      <c r="O118" s="177">
        <f>IF(OR(Olfa[[#This Row],[Status]]="Em Linha",Olfa[[#This Row],[Status]]="Componente",Olfa[[#This Row],[Status]]="Materia Prima"),Olfa[[#This Row],[Proj. de V. No prox. mes]]*10,"-")</f>
        <v>0</v>
      </c>
      <c r="P118" s="34">
        <f>IF(OR(Olfa[[#This Row],[Status]]="Em Linha",Olfa[[#This Row],[Status]]="Componente",Olfa[[#This Row],[Status]]="Materia Prima"),Olfa[[#This Row],[estoque 10 meses]]-Olfa[[#This Row],[Estoque+Importação]],0)</f>
        <v>-2110</v>
      </c>
      <c r="Q118" s="75">
        <f>Olfa[[#This Row],[Colunas1]]+Olfa[[#This Row],[Colunas2]]</f>
        <v>0</v>
      </c>
      <c r="R118" s="43">
        <f>VLOOKUP(Olfa[[#This Row],[Código]],Projeção[#All],14,FALSE)</f>
        <v>0</v>
      </c>
      <c r="S118" s="39">
        <f>IFERROR(VLOOKUP(Olfa[[#This Row],[Código]],Vendas!A114:B275,2,FALSE),0)</f>
        <v>0</v>
      </c>
      <c r="T118" s="104" t="str">
        <f>IFERROR(Olfa[[#This Row],[V. No mes]]/Olfa[[#This Row],[Proj. de V. No mes]],"")</f>
        <v/>
      </c>
      <c r="U118" s="43">
        <f>VLOOKUP(Olfa[[#This Row],[Código]],Projeção[#All],14,FALSE)+VLOOKUP(Olfa[[#This Row],[Código]],Projeção[#All],13,FALSE)+VLOOKUP(Olfa[[#This Row],[Código]],Projeção[#All],12,FALSE)</f>
        <v>0</v>
      </c>
      <c r="V118" s="39">
        <f>IFERROR(VLOOKUP(Olfa[[#This Row],[Código]],Venda_3meses[],2,FALSE),0)</f>
        <v>0</v>
      </c>
      <c r="W118" s="44" t="str">
        <f>IFERROR(Olfa[[#This Row],[V. 3 meses]]/Olfa[[#This Row],[Proj. de V. 3 meses]],"")</f>
        <v/>
      </c>
      <c r="X11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18" s="101">
        <f>IFERROR(VLOOKUP(Olfa[[#This Row],[Código]],Venda_6meses[],2,FALSE),0)</f>
        <v>0</v>
      </c>
      <c r="Z118" s="103" t="str">
        <f>IFERROR(Olfa[[#This Row],[V. 6 meses]]/Olfa[[#This Row],[Proj. de V. 6 meses]],"")</f>
        <v/>
      </c>
      <c r="AA11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18" s="39">
        <f>IFERROR(VLOOKUP(Olfa[[#This Row],[Código]],Venda_12meses[],2,FALSE),0)</f>
        <v>0</v>
      </c>
      <c r="AC118" s="171">
        <f>Olfa[[#This Row],[V. 12 meses]]/6</f>
        <v>0</v>
      </c>
      <c r="AD118" s="171">
        <f>Olfa[[#This Row],[Colunas1]]*0.2</f>
        <v>0</v>
      </c>
      <c r="AE118" s="44" t="str">
        <f>IFERROR(Olfa[[#This Row],[V. 12 meses]]/Olfa[[#This Row],[Proj. de V. 12 meses]],"")</f>
        <v/>
      </c>
      <c r="AF118" s="22"/>
    </row>
    <row r="119" spans="1:32" x14ac:dyDescent="0.25">
      <c r="A119" s="22" t="s">
        <v>1732</v>
      </c>
      <c r="B119" s="66" t="str">
        <f>IF(OR(Olfa[[#This Row],[Status]]="Em linha",Olfa[[#This Row],[Status]]="Materia Prima",Olfa[[#This Row],[Status]]="Componente"),"ok",IF(Olfa[[#This Row],[Estoque+Importação]]&lt;1,"Tirar","ok"))</f>
        <v>Tirar</v>
      </c>
      <c r="C119" s="23">
        <v>33070665294</v>
      </c>
      <c r="D119" s="105" t="s">
        <v>3059</v>
      </c>
      <c r="E119" s="111" t="str">
        <f>VLOOKUP(Olfa[[#This Row],[Código]],BD_Produto[],3,FALSE)</f>
        <v>Estilete Heavy Duty</v>
      </c>
      <c r="F119" s="111" t="str">
        <f>VLOOKUP(Olfa[[#This Row],[Código]],BD_Produto[],4,FALSE)</f>
        <v>Heavy Duty</v>
      </c>
      <c r="G119" s="24">
        <v>120</v>
      </c>
      <c r="H119" s="28"/>
      <c r="I119" s="22" t="s">
        <v>2849</v>
      </c>
      <c r="J119" s="98"/>
      <c r="K119" s="24"/>
      <c r="L119" s="177">
        <f>IFERROR(VLOOKUP(Olfa[[#This Row],[Código]],Saldo[],3,FALSE),0)</f>
        <v>0</v>
      </c>
      <c r="M119" s="24">
        <f>SUM(Olfa[[#This Row],[Produção]:[Estoque]])</f>
        <v>0</v>
      </c>
      <c r="N119" s="177" t="str">
        <f>IFERROR(Olfa[[#This Row],[Estoque+Importação]]/Olfa[[#This Row],[Proj. de V. No prox. mes]],"Sem Projeção")</f>
        <v>Sem Projeção</v>
      </c>
      <c r="O119" s="177" t="str">
        <f>IF(OR(Olfa[[#This Row],[Status]]="Em Linha",Olfa[[#This Row],[Status]]="Componente",Olfa[[#This Row],[Status]]="Materia Prima"),Olfa[[#This Row],[Proj. de V. No prox. mes]]*10,"-")</f>
        <v>-</v>
      </c>
      <c r="P119" s="34">
        <f>IF(OR(Olfa[[#This Row],[Status]]="Em Linha",Olfa[[#This Row],[Status]]="Componente",Olfa[[#This Row],[Status]]="Materia Prima"),Olfa[[#This Row],[estoque 10 meses]]-Olfa[[#This Row],[Estoque+Importação]],0)</f>
        <v>0</v>
      </c>
      <c r="Q119" s="75">
        <f>Olfa[[#This Row],[Colunas1]]+Olfa[[#This Row],[Colunas2]]</f>
        <v>0</v>
      </c>
      <c r="R119" s="43">
        <f>VLOOKUP(Olfa[[#This Row],[Código]],Projeção[#All],14,FALSE)</f>
        <v>0</v>
      </c>
      <c r="S119" s="24">
        <f>IFERROR(VLOOKUP(Olfa[[#This Row],[Código]],Vendas!A115:B276,2,FALSE),0)</f>
        <v>0</v>
      </c>
      <c r="T119" s="104" t="str">
        <f>IFERROR(Olfa[[#This Row],[V. No mes]]/Olfa[[#This Row],[Proj. de V. No mes]],"")</f>
        <v/>
      </c>
      <c r="U119" s="43">
        <f>VLOOKUP(Olfa[[#This Row],[Código]],Projeção[#All],14,FALSE)+VLOOKUP(Olfa[[#This Row],[Código]],Projeção[#All],13,FALSE)+VLOOKUP(Olfa[[#This Row],[Código]],Projeção[#All],12,FALSE)</f>
        <v>0</v>
      </c>
      <c r="V119" s="24">
        <f>IFERROR(VLOOKUP(Olfa[[#This Row],[Código]],Venda_3meses[],2,FALSE),0)</f>
        <v>0</v>
      </c>
      <c r="W119" s="44" t="str">
        <f>IFERROR(Olfa[[#This Row],[V. 3 meses]]/Olfa[[#This Row],[Proj. de V. 3 meses]],"")</f>
        <v/>
      </c>
      <c r="X119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19" s="107">
        <f>IFERROR(VLOOKUP(Olfa[[#This Row],[Código]],Venda_6meses[],2,FALSE),0)</f>
        <v>0</v>
      </c>
      <c r="Z119" s="108" t="str">
        <f>IFERROR(Olfa[[#This Row],[V. 6 meses]]/Olfa[[#This Row],[Proj. de V. 6 meses]],"")</f>
        <v/>
      </c>
      <c r="AA11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19" s="24">
        <f>IFERROR(VLOOKUP(Olfa[[#This Row],[Código]],Venda_12meses[],2,FALSE),0)</f>
        <v>0</v>
      </c>
      <c r="AC119" s="171">
        <f>Olfa[[#This Row],[V. 12 meses]]/6</f>
        <v>0</v>
      </c>
      <c r="AD119" s="171">
        <f>Olfa[[#This Row],[Colunas1]]*0.2</f>
        <v>0</v>
      </c>
      <c r="AE119" s="44" t="str">
        <f>IFERROR(Olfa[[#This Row],[V. 12 meses]]/Olfa[[#This Row],[Proj. de V. 12 meses]],"")</f>
        <v/>
      </c>
      <c r="AF119" s="22"/>
    </row>
    <row r="120" spans="1:32" hidden="1" x14ac:dyDescent="0.25">
      <c r="A120" s="22" t="s">
        <v>2129</v>
      </c>
      <c r="B120" s="66" t="str">
        <f>IF(OR(Olfa[[#This Row],[Status]]="Em linha",Olfa[[#This Row],[Status]]="Materia Prima",Olfa[[#This Row],[Status]]="Componente"),"ok",IF(Olfa[[#This Row],[Estoque+Importação]]&lt;1,"Tirar","ok"))</f>
        <v>ok</v>
      </c>
      <c r="C120" s="23">
        <v>33070665296</v>
      </c>
      <c r="D120" s="106" t="s">
        <v>3061</v>
      </c>
      <c r="E120" s="106" t="str">
        <f>VLOOKUP(Olfa[[#This Row],[Código]],BD_Produto[],3,FALSE)</f>
        <v>Tesoura</v>
      </c>
      <c r="F120" s="106" t="str">
        <f>VLOOKUP(Olfa[[#This Row],[Código]],BD_Produto[],4,FALSE)</f>
        <v>Tesoura</v>
      </c>
      <c r="G120" s="24"/>
      <c r="H120" s="28"/>
      <c r="I120" s="22" t="s">
        <v>2849</v>
      </c>
      <c r="J120" s="98"/>
      <c r="K120" s="24"/>
      <c r="L120" s="177">
        <f>IFERROR(VLOOKUP(Olfa[[#This Row],[Código]],Saldo[],3,FALSE),0)</f>
        <v>0</v>
      </c>
      <c r="M120" s="24">
        <f>SUM(Olfa[[#This Row],[Produção]:[Estoque]])</f>
        <v>0</v>
      </c>
      <c r="N120" s="177">
        <f>IFERROR(Olfa[[#This Row],[Estoque+Importação]]/Olfa[[#This Row],[Proj. de V. No prox. mes]],"Sem Projeção")</f>
        <v>0</v>
      </c>
      <c r="O120" s="177">
        <f>IF(OR(Olfa[[#This Row],[Status]]="Em Linha",Olfa[[#This Row],[Status]]="Componente",Olfa[[#This Row],[Status]]="Materia Prima"),Olfa[[#This Row],[Proj. de V. No prox. mes]]*10,"-")</f>
        <v>48</v>
      </c>
      <c r="P120" s="34">
        <f>IF(OR(Olfa[[#This Row],[Status]]="Em Linha",Olfa[[#This Row],[Status]]="Componente",Olfa[[#This Row],[Status]]="Materia Prima"),Olfa[[#This Row],[estoque 10 meses]]-Olfa[[#This Row],[Estoque+Importação]],0)</f>
        <v>48</v>
      </c>
      <c r="Q120" s="75">
        <f>Olfa[[#This Row],[Colunas1]]+Olfa[[#This Row],[Colunas2]]</f>
        <v>4.8</v>
      </c>
      <c r="R120" s="43">
        <f>VLOOKUP(Olfa[[#This Row],[Código]],Projeção[#All],14,FALSE)</f>
        <v>0</v>
      </c>
      <c r="S120" s="24">
        <f>IFERROR(VLOOKUP(Olfa[[#This Row],[Código]],Vendas!A116:B277,2,FALSE),0)</f>
        <v>18</v>
      </c>
      <c r="T120" s="104" t="str">
        <f>IFERROR(Olfa[[#This Row],[V. No mes]]/Olfa[[#This Row],[Proj. de V. No mes]],"")</f>
        <v/>
      </c>
      <c r="U120" s="43">
        <f>VLOOKUP(Olfa[[#This Row],[Código]],Projeção[#All],14,FALSE)+VLOOKUP(Olfa[[#This Row],[Código]],Projeção[#All],13,FALSE)+VLOOKUP(Olfa[[#This Row],[Código]],Projeção[#All],12,FALSE)</f>
        <v>0</v>
      </c>
      <c r="V120" s="24">
        <f>IFERROR(VLOOKUP(Olfa[[#This Row],[Código]],Venda_3meses[],2,FALSE),0)</f>
        <v>24</v>
      </c>
      <c r="W120" s="44" t="str">
        <f>IFERROR(Olfa[[#This Row],[V. 3 meses]]/Olfa[[#This Row],[Proj. de V. 3 meses]],"")</f>
        <v/>
      </c>
      <c r="X120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20" s="107">
        <f>IFERROR(VLOOKUP(Olfa[[#This Row],[Código]],Venda_6meses[],2,FALSE),0)</f>
        <v>24</v>
      </c>
      <c r="Z120" s="108" t="str">
        <f>IFERROR(Olfa[[#This Row],[V. 6 meses]]/Olfa[[#This Row],[Proj. de V. 6 meses]],"")</f>
        <v/>
      </c>
      <c r="AA12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20" s="24">
        <f>IFERROR(VLOOKUP(Olfa[[#This Row],[Código]],Venda_12meses[],2,FALSE),0)</f>
        <v>24</v>
      </c>
      <c r="AC120" s="171">
        <f>Olfa[[#This Row],[V. 12 meses]]/6</f>
        <v>4</v>
      </c>
      <c r="AD120" s="171">
        <f>Olfa[[#This Row],[Colunas1]]*0.2</f>
        <v>0.8</v>
      </c>
      <c r="AE120" s="44" t="str">
        <f>IFERROR(Olfa[[#This Row],[V. 12 meses]]/Olfa[[#This Row],[Proj. de V. 12 meses]],"")</f>
        <v/>
      </c>
      <c r="AF120" s="22"/>
    </row>
    <row r="121" spans="1:32" hidden="1" x14ac:dyDescent="0.25">
      <c r="A121" s="22" t="s">
        <v>2129</v>
      </c>
      <c r="B121" s="22" t="str">
        <f>IF(OR(Olfa[[#This Row],[Status]]="Em linha",Olfa[[#This Row],[Status]]="Materia Prima",Olfa[[#This Row],[Status]]="Componente"),"ok",IF(Olfa[[#This Row],[Estoque+Importação]]&lt;1,"Tirar","ok"))</f>
        <v>ok</v>
      </c>
      <c r="C121" s="23">
        <v>33070663726</v>
      </c>
      <c r="D121" s="22" t="s">
        <v>1006</v>
      </c>
      <c r="E121" s="22" t="str">
        <f>VLOOKUP(Olfa[[#This Row],[Código]],BD_Produto[],3,FALSE)</f>
        <v>Estojo de Lâminas</v>
      </c>
      <c r="F121" s="22" t="str">
        <f>VLOOKUP(Olfa[[#This Row],[Código]],BD_Produto[],4,FALSE)</f>
        <v>Especial</v>
      </c>
      <c r="G121" s="24">
        <v>240</v>
      </c>
      <c r="H121" s="28">
        <v>135</v>
      </c>
      <c r="I121" s="22" t="s">
        <v>2849</v>
      </c>
      <c r="J121" s="24"/>
      <c r="K121" s="24"/>
      <c r="L121" s="177">
        <f>IFERROR(VLOOKUP(Olfa[[#This Row],[Código]],Saldo[],3,FALSE),0)</f>
        <v>190</v>
      </c>
      <c r="M121" s="24">
        <f>SUM(Olfa[[#This Row],[Produção]:[Estoque]])</f>
        <v>190</v>
      </c>
      <c r="N121" s="177">
        <f>IFERROR(Olfa[[#This Row],[Estoque+Importação]]/Olfa[[#This Row],[Proj. de V. No prox. mes]],"Sem Projeção")</f>
        <v>79.166666666666671</v>
      </c>
      <c r="O121" s="177">
        <f>IF(OR(Olfa[[#This Row],[Status]]="Em Linha",Olfa[[#This Row],[Status]]="Componente",Olfa[[#This Row],[Status]]="Materia Prima"),Olfa[[#This Row],[Proj. de V. No prox. mes]]*10,"-")</f>
        <v>24</v>
      </c>
      <c r="P121" s="34">
        <f>IF(OR(Olfa[[#This Row],[Status]]="Em Linha",Olfa[[#This Row],[Status]]="Componente",Olfa[[#This Row],[Status]]="Materia Prima"),Olfa[[#This Row],[estoque 10 meses]]-Olfa[[#This Row],[Estoque+Importação]],0)</f>
        <v>-166</v>
      </c>
      <c r="Q121" s="75">
        <f>Olfa[[#This Row],[Colunas1]]+Olfa[[#This Row],[Colunas2]]</f>
        <v>2.4</v>
      </c>
      <c r="R121" s="43">
        <f>VLOOKUP(Olfa[[#This Row],[Código]],Projeção[#All],14,FALSE)</f>
        <v>0</v>
      </c>
      <c r="S121" s="39">
        <f>IFERROR(VLOOKUP(Olfa[[#This Row],[Código]],Vendas!A117:B278,2,FALSE),0)</f>
        <v>0</v>
      </c>
      <c r="T121" s="44" t="str">
        <f>IFERROR(Olfa[[#This Row],[V. No mes]]/Olfa[[#This Row],[Proj. de V. No mes]],"")</f>
        <v/>
      </c>
      <c r="U121" s="43">
        <f>VLOOKUP(Olfa[[#This Row],[Código]],Projeção[#All],14,FALSE)+VLOOKUP(Olfa[[#This Row],[Código]],Projeção[#All],13,FALSE)+VLOOKUP(Olfa[[#This Row],[Código]],Projeção[#All],12,FALSE)</f>
        <v>0.16666666666666666</v>
      </c>
      <c r="V121" s="39">
        <f>IFERROR(VLOOKUP(Olfa[[#This Row],[Código]],Venda_3meses[],2,FALSE),0)</f>
        <v>6</v>
      </c>
      <c r="W121" s="44">
        <f>IFERROR(Olfa[[#This Row],[V. 3 meses]]/Olfa[[#This Row],[Proj. de V. 3 meses]],"")</f>
        <v>36</v>
      </c>
      <c r="X12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1.0666666666666667</v>
      </c>
      <c r="Y121" s="101">
        <f>IFERROR(VLOOKUP(Olfa[[#This Row],[Código]],Venda_6meses[],2,FALSE),0)</f>
        <v>12</v>
      </c>
      <c r="Z121" s="45">
        <f>IFERROR(Olfa[[#This Row],[V. 6 meses]]/Olfa[[#This Row],[Proj. de V. 6 meses]],"")</f>
        <v>11.25</v>
      </c>
      <c r="AA12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4.2666666666666657</v>
      </c>
      <c r="AB121" s="39">
        <f>IFERROR(VLOOKUP(Olfa[[#This Row],[Código]],Venda_12meses[],2,FALSE),0)</f>
        <v>12</v>
      </c>
      <c r="AC121" s="171">
        <f>Olfa[[#This Row],[V. 12 meses]]/6</f>
        <v>2</v>
      </c>
      <c r="AD121" s="171">
        <f>Olfa[[#This Row],[Colunas1]]*0.2</f>
        <v>0.4</v>
      </c>
      <c r="AE121" s="44">
        <f>IFERROR(Olfa[[#This Row],[V. 12 meses]]/Olfa[[#This Row],[Proj. de V. 12 meses]],"")</f>
        <v>2.8125000000000004</v>
      </c>
      <c r="AF121" s="22"/>
    </row>
    <row r="122" spans="1:32" hidden="1" x14ac:dyDescent="0.25">
      <c r="A122" s="22" t="s">
        <v>2129</v>
      </c>
      <c r="B122" s="22" t="str">
        <f>IF(OR(Olfa[[#This Row],[Status]]="Em linha",Olfa[[#This Row],[Status]]="Materia Prima",Olfa[[#This Row],[Status]]="Componente"),"ok",IF(Olfa[[#This Row],[Estoque+Importação]]&lt;1,"Tirar","ok"))</f>
        <v>ok</v>
      </c>
      <c r="C122" s="23">
        <v>33070663725</v>
      </c>
      <c r="D122" s="22" t="s">
        <v>696</v>
      </c>
      <c r="E122" s="22" t="str">
        <f>VLOOKUP(Olfa[[#This Row],[Código]],BD_Produto[],3,FALSE)</f>
        <v>Estojo de Lâminas</v>
      </c>
      <c r="F122" s="22" t="str">
        <f>VLOOKUP(Olfa[[#This Row],[Código]],BD_Produto[],4,FALSE)</f>
        <v>Especial</v>
      </c>
      <c r="G122" s="24">
        <v>240</v>
      </c>
      <c r="H122" s="28">
        <v>135</v>
      </c>
      <c r="I122" s="22" t="s">
        <v>2849</v>
      </c>
      <c r="J122" s="24"/>
      <c r="K122" s="24"/>
      <c r="L122" s="177">
        <f>IFERROR(VLOOKUP(Olfa[[#This Row],[Código]],Saldo[],3,FALSE),0)</f>
        <v>189</v>
      </c>
      <c r="M122" s="24">
        <f>SUM(Olfa[[#This Row],[Produção]:[Estoque]])</f>
        <v>189</v>
      </c>
      <c r="N122" s="177">
        <f>IFERROR(Olfa[[#This Row],[Estoque+Importação]]/Olfa[[#This Row],[Proj. de V. No prox. mes]],"Sem Projeção")</f>
        <v>52.5</v>
      </c>
      <c r="O122" s="177">
        <f>IF(OR(Olfa[[#This Row],[Status]]="Em Linha",Olfa[[#This Row],[Status]]="Componente",Olfa[[#This Row],[Status]]="Materia Prima"),Olfa[[#This Row],[Proj. de V. No prox. mes]]*10,"-")</f>
        <v>36</v>
      </c>
      <c r="P122" s="34">
        <f>IF(OR(Olfa[[#This Row],[Status]]="Em Linha",Olfa[[#This Row],[Status]]="Componente",Olfa[[#This Row],[Status]]="Materia Prima"),Olfa[[#This Row],[estoque 10 meses]]-Olfa[[#This Row],[Estoque+Importação]],0)</f>
        <v>-153</v>
      </c>
      <c r="Q122" s="75">
        <f>Olfa[[#This Row],[Colunas1]]+Olfa[[#This Row],[Colunas2]]</f>
        <v>3.6</v>
      </c>
      <c r="R122" s="43">
        <f>VLOOKUP(Olfa[[#This Row],[Código]],Projeção[#All],14,FALSE)</f>
        <v>0</v>
      </c>
      <c r="S122" s="39">
        <f>IFERROR(VLOOKUP(Olfa[[#This Row],[Código]],Vendas!A118:B279,2,FALSE),0)</f>
        <v>0</v>
      </c>
      <c r="T122" s="44" t="str">
        <f>IFERROR(Olfa[[#This Row],[V. No mes]]/Olfa[[#This Row],[Proj. de V. No mes]],"")</f>
        <v/>
      </c>
      <c r="U122" s="43">
        <f>VLOOKUP(Olfa[[#This Row],[Código]],Projeção[#All],14,FALSE)+VLOOKUP(Olfa[[#This Row],[Código]],Projeção[#All],13,FALSE)+VLOOKUP(Olfa[[#This Row],[Código]],Projeção[#All],12,FALSE)</f>
        <v>0.16666666666666666</v>
      </c>
      <c r="V122" s="39">
        <f>IFERROR(VLOOKUP(Olfa[[#This Row],[Código]],Venda_3meses[],2,FALSE),0)</f>
        <v>6</v>
      </c>
      <c r="W122" s="44">
        <f>IFERROR(Olfa[[#This Row],[V. 3 meses]]/Olfa[[#This Row],[Proj. de V. 3 meses]],"")</f>
        <v>36</v>
      </c>
      <c r="X12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1.0666666666666667</v>
      </c>
      <c r="Y122" s="101">
        <f>IFERROR(VLOOKUP(Olfa[[#This Row],[Código]],Venda_6meses[],2,FALSE),0)</f>
        <v>12</v>
      </c>
      <c r="Z122" s="45">
        <f>IFERROR(Olfa[[#This Row],[V. 6 meses]]/Olfa[[#This Row],[Proj. de V. 6 meses]],"")</f>
        <v>11.25</v>
      </c>
      <c r="AA12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3.2666666666666666</v>
      </c>
      <c r="AB122" s="39">
        <f>IFERROR(VLOOKUP(Olfa[[#This Row],[Código]],Venda_12meses[],2,FALSE),0)</f>
        <v>18</v>
      </c>
      <c r="AC122" s="171">
        <f>Olfa[[#This Row],[V. 12 meses]]/6</f>
        <v>3</v>
      </c>
      <c r="AD122" s="171">
        <f>Olfa[[#This Row],[Colunas1]]*0.2</f>
        <v>0.60000000000000009</v>
      </c>
      <c r="AE122" s="44">
        <f>IFERROR(Olfa[[#This Row],[V. 12 meses]]/Olfa[[#This Row],[Proj. de V. 12 meses]],"")</f>
        <v>5.5102040816326534</v>
      </c>
      <c r="AF122" s="22"/>
    </row>
    <row r="123" spans="1:32" hidden="1" x14ac:dyDescent="0.25">
      <c r="A123" s="22" t="s">
        <v>2129</v>
      </c>
      <c r="B123" s="22" t="str">
        <f>IF(OR(Olfa[[#This Row],[Status]]="Em linha",Olfa[[#This Row],[Status]]="Materia Prima",Olfa[[#This Row],[Status]]="Componente"),"ok",IF(Olfa[[#This Row],[Estoque+Importação]]&lt;1,"Tirar","ok"))</f>
        <v>ok</v>
      </c>
      <c r="C123" s="23">
        <v>33070663720</v>
      </c>
      <c r="D123" s="22" t="s">
        <v>979</v>
      </c>
      <c r="E123" s="22" t="str">
        <f>VLOOKUP(Olfa[[#This Row],[Código]],BD_Produto[],3,FALSE)</f>
        <v>Estojo de Lâminas</v>
      </c>
      <c r="F123" s="22" t="str">
        <f>VLOOKUP(Olfa[[#This Row],[Código]],BD_Produto[],4,FALSE)</f>
        <v>Segurança</v>
      </c>
      <c r="G123" s="24">
        <v>240</v>
      </c>
      <c r="H123" s="28">
        <v>250</v>
      </c>
      <c r="I123" s="22" t="s">
        <v>2849</v>
      </c>
      <c r="J123" s="24"/>
      <c r="K123" s="24"/>
      <c r="L123" s="177">
        <f>IFERROR(VLOOKUP(Olfa[[#This Row],[Código]],Saldo[],3,FALSE),0)</f>
        <v>672</v>
      </c>
      <c r="M123" s="24">
        <f>SUM(Olfa[[#This Row],[Produção]:[Estoque]])</f>
        <v>672</v>
      </c>
      <c r="N123" s="177">
        <f>IFERROR(Olfa[[#This Row],[Estoque+Importação]]/Olfa[[#This Row],[Proj. de V. No prox. mes]],"Sem Projeção")</f>
        <v>101.81818181818183</v>
      </c>
      <c r="O123" s="177">
        <f>IF(OR(Olfa[[#This Row],[Status]]="Em Linha",Olfa[[#This Row],[Status]]="Componente",Olfa[[#This Row],[Status]]="Materia Prima"),Olfa[[#This Row],[Proj. de V. No prox. mes]]*10,"-")</f>
        <v>66</v>
      </c>
      <c r="P123" s="34">
        <f>IF(OR(Olfa[[#This Row],[Status]]="Em Linha",Olfa[[#This Row],[Status]]="Componente",Olfa[[#This Row],[Status]]="Materia Prima"),Olfa[[#This Row],[estoque 10 meses]]-Olfa[[#This Row],[Estoque+Importação]],0)</f>
        <v>-606</v>
      </c>
      <c r="Q123" s="75">
        <f>Olfa[[#This Row],[Colunas1]]+Olfa[[#This Row],[Colunas2]]</f>
        <v>6.6</v>
      </c>
      <c r="R123" s="43">
        <f>VLOOKUP(Olfa[[#This Row],[Código]],Projeção[#All],14,FALSE)</f>
        <v>0</v>
      </c>
      <c r="S123" s="39">
        <f>IFERROR(VLOOKUP(Olfa[[#This Row],[Código]],Vendas!A119:B280,2,FALSE),0)</f>
        <v>24</v>
      </c>
      <c r="T123" s="44" t="str">
        <f>IFERROR(Olfa[[#This Row],[V. No mes]]/Olfa[[#This Row],[Proj. de V. No mes]],"")</f>
        <v/>
      </c>
      <c r="U123" s="43">
        <f>VLOOKUP(Olfa[[#This Row],[Código]],Projeção[#All],14,FALSE)+VLOOKUP(Olfa[[#This Row],[Código]],Projeção[#All],13,FALSE)+VLOOKUP(Olfa[[#This Row],[Código]],Projeção[#All],12,FALSE)</f>
        <v>0</v>
      </c>
      <c r="V123" s="39">
        <f>IFERROR(VLOOKUP(Olfa[[#This Row],[Código]],Venda_3meses[],2,FALSE),0)</f>
        <v>33</v>
      </c>
      <c r="W123" s="44" t="str">
        <f>IFERROR(Olfa[[#This Row],[V. 3 meses]]/Olfa[[#This Row],[Proj. de V. 3 meses]],"")</f>
        <v/>
      </c>
      <c r="X12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0.39999999999999997</v>
      </c>
      <c r="Y123" s="101">
        <f>IFERROR(VLOOKUP(Olfa[[#This Row],[Código]],Venda_6meses[],2,FALSE),0)</f>
        <v>33</v>
      </c>
      <c r="Z123" s="45">
        <f>IFERROR(Olfa[[#This Row],[V. 6 meses]]/Olfa[[#This Row],[Proj. de V. 6 meses]],"")</f>
        <v>82.5</v>
      </c>
      <c r="AA12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1.5999999999999999</v>
      </c>
      <c r="AB123" s="39">
        <f>IFERROR(VLOOKUP(Olfa[[#This Row],[Código]],Venda_12meses[],2,FALSE),0)</f>
        <v>33</v>
      </c>
      <c r="AC123" s="171">
        <f>Olfa[[#This Row],[V. 12 meses]]/6</f>
        <v>5.5</v>
      </c>
      <c r="AD123" s="171">
        <f>Olfa[[#This Row],[Colunas1]]*0.2</f>
        <v>1.1000000000000001</v>
      </c>
      <c r="AE123" s="44">
        <f>IFERROR(Olfa[[#This Row],[V. 12 meses]]/Olfa[[#This Row],[Proj. de V. 12 meses]],"")</f>
        <v>20.625</v>
      </c>
      <c r="AF123" s="22"/>
    </row>
    <row r="124" spans="1:32" x14ac:dyDescent="0.25">
      <c r="A124" s="22" t="s">
        <v>2129</v>
      </c>
      <c r="B124" s="22" t="str">
        <f>IF(OR(Olfa[[#This Row],[Status]]="Em linha",Olfa[[#This Row],[Status]]="Materia Prima",Olfa[[#This Row],[Status]]="Componente"),"ok",IF(Olfa[[#This Row],[Estoque+Importação]]&lt;1,"Tirar","ok"))</f>
        <v>ok</v>
      </c>
      <c r="C124" s="23">
        <v>33070614753</v>
      </c>
      <c r="D124" s="22" t="s">
        <v>635</v>
      </c>
      <c r="E124" s="22" t="str">
        <f>VLOOKUP(Olfa[[#This Row],[Código]],BD_Produto[],3,FALSE)</f>
        <v>Estojo de Lâminas</v>
      </c>
      <c r="F124" s="22" t="str">
        <f>VLOOKUP(Olfa[[#This Row],[Código]],BD_Produto[],4,FALSE)</f>
        <v>Especial</v>
      </c>
      <c r="G124" s="24">
        <v>240</v>
      </c>
      <c r="H124" s="28">
        <v>392</v>
      </c>
      <c r="I124" s="22" t="s">
        <v>2849</v>
      </c>
      <c r="J124" s="24"/>
      <c r="K124" s="24"/>
      <c r="L124" s="177">
        <f>IFERROR(VLOOKUP(Olfa[[#This Row],[Código]],Saldo[],3,FALSE),0)</f>
        <v>91</v>
      </c>
      <c r="M124" s="24">
        <f>SUM(Olfa[[#This Row],[Produção]:[Estoque]])</f>
        <v>91</v>
      </c>
      <c r="N124" s="177">
        <f>IFERROR(Olfa[[#This Row],[Estoque+Importação]]/Olfa[[#This Row],[Proj. de V. No prox. mes]],"Sem Projeção")</f>
        <v>37.916666666666671</v>
      </c>
      <c r="O124" s="177">
        <f>IF(OR(Olfa[[#This Row],[Status]]="Em Linha",Olfa[[#This Row],[Status]]="Componente",Olfa[[#This Row],[Status]]="Materia Prima"),Olfa[[#This Row],[Proj. de V. No prox. mes]]*10,"-")</f>
        <v>24</v>
      </c>
      <c r="P124" s="34">
        <f>IF(OR(Olfa[[#This Row],[Status]]="Em Linha",Olfa[[#This Row],[Status]]="Componente",Olfa[[#This Row],[Status]]="Materia Prima"),Olfa[[#This Row],[estoque 10 meses]]-Olfa[[#This Row],[Estoque+Importação]],0)</f>
        <v>-67</v>
      </c>
      <c r="Q124" s="75">
        <f>Olfa[[#This Row],[Colunas1]]+Olfa[[#This Row],[Colunas2]]</f>
        <v>2.4</v>
      </c>
      <c r="R124" s="43">
        <f>VLOOKUP(Olfa[[#This Row],[Código]],Projeção[#All],14,FALSE)</f>
        <v>0</v>
      </c>
      <c r="S124" s="39">
        <f>IFERROR(VLOOKUP(Olfa[[#This Row],[Código]],Vendas!A120:B281,2,FALSE),0)</f>
        <v>0</v>
      </c>
      <c r="T124" s="44" t="str">
        <f>IFERROR(Olfa[[#This Row],[V. No mes]]/Olfa[[#This Row],[Proj. de V. No mes]],"")</f>
        <v/>
      </c>
      <c r="U124" s="43">
        <f>VLOOKUP(Olfa[[#This Row],[Código]],Projeção[#All],14,FALSE)+VLOOKUP(Olfa[[#This Row],[Código]],Projeção[#All],13,FALSE)+VLOOKUP(Olfa[[#This Row],[Código]],Projeção[#All],12,FALSE)</f>
        <v>0</v>
      </c>
      <c r="V124" s="39">
        <f>IFERROR(VLOOKUP(Olfa[[#This Row],[Código]],Venda_3meses[],2,FALSE),0)</f>
        <v>6</v>
      </c>
      <c r="W124" s="44" t="str">
        <f>IFERROR(Olfa[[#This Row],[V. 3 meses]]/Olfa[[#This Row],[Proj. de V. 3 meses]],"")</f>
        <v/>
      </c>
      <c r="X12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0.39999999999999997</v>
      </c>
      <c r="Y124" s="101">
        <f>IFERROR(VLOOKUP(Olfa[[#This Row],[Código]],Venda_6meses[],2,FALSE),0)</f>
        <v>6</v>
      </c>
      <c r="Z124" s="45">
        <f>IFERROR(Olfa[[#This Row],[V. 6 meses]]/Olfa[[#This Row],[Proj. de V. 6 meses]],"")</f>
        <v>15.000000000000002</v>
      </c>
      <c r="AA12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2.6</v>
      </c>
      <c r="AB124" s="39">
        <f>IFERROR(VLOOKUP(Olfa[[#This Row],[Código]],Venda_12meses[],2,FALSE),0)</f>
        <v>12</v>
      </c>
      <c r="AC124" s="171">
        <f>Olfa[[#This Row],[V. 12 meses]]/6</f>
        <v>2</v>
      </c>
      <c r="AD124" s="171">
        <f>Olfa[[#This Row],[Colunas1]]*0.2</f>
        <v>0.4</v>
      </c>
      <c r="AE124" s="44">
        <f>IFERROR(Olfa[[#This Row],[V. 12 meses]]/Olfa[[#This Row],[Proj. de V. 12 meses]],"")</f>
        <v>4.615384615384615</v>
      </c>
      <c r="AF124" s="22"/>
    </row>
    <row r="125" spans="1:32" x14ac:dyDescent="0.25">
      <c r="A125" s="22" t="s">
        <v>2129</v>
      </c>
      <c r="B125" s="22" t="str">
        <f>IF(OR(Olfa[[#This Row],[Status]]="Em linha",Olfa[[#This Row],[Status]]="Materia Prima",Olfa[[#This Row],[Status]]="Componente"),"ok",IF(Olfa[[#This Row],[Estoque+Importação]]&lt;1,"Tirar","ok"))</f>
        <v>ok</v>
      </c>
      <c r="C125" s="23">
        <v>33070665327</v>
      </c>
      <c r="D125" s="22" t="s">
        <v>3078</v>
      </c>
      <c r="E125" s="22" t="str">
        <f>VLOOKUP(Olfa[[#This Row],[Código]],BD_Produto[],3,FALSE)</f>
        <v>Estojo de Lâminas</v>
      </c>
      <c r="F125" s="22" t="str">
        <f>VLOOKUP(Olfa[[#This Row],[Código]],BD_Produto[],4,FALSE)</f>
        <v>Segurança</v>
      </c>
      <c r="G125" s="24"/>
      <c r="H125" s="28"/>
      <c r="I125" s="22" t="s">
        <v>2849</v>
      </c>
      <c r="J125" s="24"/>
      <c r="K125" s="24"/>
      <c r="L125" s="177">
        <f>IFERROR(VLOOKUP(Olfa[[#This Row],[Código]],Saldo[],3,FALSE),0)</f>
        <v>240</v>
      </c>
      <c r="M125" s="24">
        <f>SUM(Olfa[[#This Row],[Produção]:[Estoque]])</f>
        <v>240</v>
      </c>
      <c r="N125" s="177">
        <f>IFERROR(Olfa[[#This Row],[Estoque+Importação]]/Olfa[[#This Row],[Proj. de V. No prox. mes]],"Sem Projeção")</f>
        <v>200</v>
      </c>
      <c r="O125" s="177">
        <f>IF(OR(Olfa[[#This Row],[Status]]="Em Linha",Olfa[[#This Row],[Status]]="Componente",Olfa[[#This Row],[Status]]="Materia Prima"),Olfa[[#This Row],[Proj. de V. No prox. mes]]*10,"-")</f>
        <v>12</v>
      </c>
      <c r="P125" s="34">
        <f>IF(OR(Olfa[[#This Row],[Status]]="Em Linha",Olfa[[#This Row],[Status]]="Componente",Olfa[[#This Row],[Status]]="Materia Prima"),Olfa[[#This Row],[estoque 10 meses]]-Olfa[[#This Row],[Estoque+Importação]],0)</f>
        <v>-228</v>
      </c>
      <c r="Q125" s="75">
        <f>Olfa[[#This Row],[Colunas1]]+Olfa[[#This Row],[Colunas2]]</f>
        <v>1.2</v>
      </c>
      <c r="R125" s="43">
        <f>VLOOKUP(Olfa[[#This Row],[Código]],Projeção[#All],14,FALSE)</f>
        <v>0</v>
      </c>
      <c r="S125" s="39">
        <f>IFERROR(VLOOKUP(Olfa[[#This Row],[Código]],Vendas!A121:B282,2,FALSE),0)</f>
        <v>6</v>
      </c>
      <c r="T125" s="44" t="str">
        <f>IFERROR(Olfa[[#This Row],[V. No mes]]/Olfa[[#This Row],[Proj. de V. No mes]],"")</f>
        <v/>
      </c>
      <c r="U125" s="43">
        <f>VLOOKUP(Olfa[[#This Row],[Código]],Projeção[#All],14,FALSE)+VLOOKUP(Olfa[[#This Row],[Código]],Projeção[#All],13,FALSE)+VLOOKUP(Olfa[[#This Row],[Código]],Projeção[#All],12,FALSE)</f>
        <v>0</v>
      </c>
      <c r="V125" s="39">
        <f>IFERROR(VLOOKUP(Olfa[[#This Row],[Código]],Venda_3meses[],2,FALSE),0)</f>
        <v>6</v>
      </c>
      <c r="W125" s="44" t="str">
        <f>IFERROR(Olfa[[#This Row],[V. 3 meses]]/Olfa[[#This Row],[Proj. de V. 3 meses]],"")</f>
        <v/>
      </c>
      <c r="X12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25" s="101">
        <f>IFERROR(VLOOKUP(Olfa[[#This Row],[Código]],Venda_6meses[],2,FALSE),0)</f>
        <v>6</v>
      </c>
      <c r="Z125" s="45" t="str">
        <f>IFERROR(Olfa[[#This Row],[V. 6 meses]]/Olfa[[#This Row],[Proj. de V. 6 meses]],"")</f>
        <v/>
      </c>
      <c r="AA12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25" s="39">
        <f>IFERROR(VLOOKUP(Olfa[[#This Row],[Código]],Venda_12meses[],2,FALSE),0)</f>
        <v>6</v>
      </c>
      <c r="AC125" s="171">
        <f>Olfa[[#This Row],[V. 12 meses]]/6</f>
        <v>1</v>
      </c>
      <c r="AD125" s="171">
        <f>Olfa[[#This Row],[Colunas1]]*0.2</f>
        <v>0.2</v>
      </c>
      <c r="AE125" s="44" t="str">
        <f>IFERROR(Olfa[[#This Row],[V. 12 meses]]/Olfa[[#This Row],[Proj. de V. 12 meses]],"")</f>
        <v/>
      </c>
      <c r="AF125" s="22"/>
    </row>
    <row r="126" spans="1:32" x14ac:dyDescent="0.25">
      <c r="A126" s="22" t="s">
        <v>1732</v>
      </c>
      <c r="B126" s="22" t="str">
        <f>IF(OR(Olfa[[#This Row],[Status]]="Em linha",Olfa[[#This Row],[Status]]="Materia Prima",Olfa[[#This Row],[Status]]="Componente"),"ok",IF(Olfa[[#This Row],[Estoque+Importação]]&lt;1,"Tirar","ok"))</f>
        <v>Tirar</v>
      </c>
      <c r="C126" s="23">
        <v>33070665325</v>
      </c>
      <c r="D126" s="22" t="s">
        <v>3082</v>
      </c>
      <c r="E126" s="22" t="str">
        <f>VLOOKUP(Olfa[[#This Row],[Código]],BD_Produto[],3,FALSE)</f>
        <v>Estilete Heavy Duty</v>
      </c>
      <c r="F126" s="22" t="str">
        <f>VLOOKUP(Olfa[[#This Row],[Código]],BD_Produto[],4,FALSE)</f>
        <v>Heavy Duty</v>
      </c>
      <c r="G126" s="24"/>
      <c r="H126" s="28"/>
      <c r="I126" s="22" t="s">
        <v>2849</v>
      </c>
      <c r="J126" s="24"/>
      <c r="K126" s="24"/>
      <c r="L126" s="177">
        <f>IFERROR(VLOOKUP(Olfa[[#This Row],[Código]],Saldo[],3,FALSE),0)</f>
        <v>0</v>
      </c>
      <c r="M126" s="24">
        <f>SUM(Olfa[[#This Row],[Produção]:[Estoque]])</f>
        <v>0</v>
      </c>
      <c r="N126" s="177" t="str">
        <f>IFERROR(Olfa[[#This Row],[Estoque+Importação]]/Olfa[[#This Row],[Proj. de V. No prox. mes]],"Sem Projeção")</f>
        <v>Sem Projeção</v>
      </c>
      <c r="O126" s="177" t="str">
        <f>IF(OR(Olfa[[#This Row],[Status]]="Em Linha",Olfa[[#This Row],[Status]]="Componente",Olfa[[#This Row],[Status]]="Materia Prima"),Olfa[[#This Row],[Proj. de V. No prox. mes]]*10,"-")</f>
        <v>-</v>
      </c>
      <c r="P126" s="34">
        <f>IF(OR(Olfa[[#This Row],[Status]]="Em Linha",Olfa[[#This Row],[Status]]="Componente",Olfa[[#This Row],[Status]]="Materia Prima"),Olfa[[#This Row],[estoque 10 meses]]-Olfa[[#This Row],[Estoque+Importação]],0)</f>
        <v>0</v>
      </c>
      <c r="Q126" s="75">
        <f>Olfa[[#This Row],[Colunas1]]+Olfa[[#This Row],[Colunas2]]</f>
        <v>0</v>
      </c>
      <c r="R126" s="43">
        <f>VLOOKUP(Olfa[[#This Row],[Código]],Projeção[#All],14,FALSE)</f>
        <v>0</v>
      </c>
      <c r="S126" s="39">
        <f>IFERROR(VLOOKUP(Olfa[[#This Row],[Código]],Vendas!A122:B283,2,FALSE),0)</f>
        <v>0</v>
      </c>
      <c r="T126" s="44" t="str">
        <f>IFERROR(Olfa[[#This Row],[V. No mes]]/Olfa[[#This Row],[Proj. de V. No mes]],"")</f>
        <v/>
      </c>
      <c r="U126" s="43">
        <f>VLOOKUP(Olfa[[#This Row],[Código]],Projeção[#All],14,FALSE)+VLOOKUP(Olfa[[#This Row],[Código]],Projeção[#All],13,FALSE)+VLOOKUP(Olfa[[#This Row],[Código]],Projeção[#All],12,FALSE)</f>
        <v>0</v>
      </c>
      <c r="V126" s="39">
        <f>IFERROR(VLOOKUP(Olfa[[#This Row],[Código]],Venda_3meses[],2,FALSE),0)</f>
        <v>0</v>
      </c>
      <c r="W126" s="44" t="str">
        <f>IFERROR(Olfa[[#This Row],[V. 3 meses]]/Olfa[[#This Row],[Proj. de V. 3 meses]],"")</f>
        <v/>
      </c>
      <c r="X12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26" s="101">
        <f>IFERROR(VLOOKUP(Olfa[[#This Row],[Código]],Venda_6meses[],2,FALSE),0)</f>
        <v>0</v>
      </c>
      <c r="Z126" s="45" t="str">
        <f>IFERROR(Olfa[[#This Row],[V. 6 meses]]/Olfa[[#This Row],[Proj. de V. 6 meses]],"")</f>
        <v/>
      </c>
      <c r="AA12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26" s="39">
        <f>IFERROR(VLOOKUP(Olfa[[#This Row],[Código]],Venda_12meses[],2,FALSE),0)</f>
        <v>0</v>
      </c>
      <c r="AC126" s="171">
        <f>Olfa[[#This Row],[V. 12 meses]]/6</f>
        <v>0</v>
      </c>
      <c r="AD126" s="171">
        <f>Olfa[[#This Row],[Colunas1]]*0.2</f>
        <v>0</v>
      </c>
      <c r="AE126" s="44" t="str">
        <f>IFERROR(Olfa[[#This Row],[V. 12 meses]]/Olfa[[#This Row],[Proj. de V. 12 meses]],"")</f>
        <v/>
      </c>
      <c r="AF126" s="22"/>
    </row>
    <row r="127" spans="1:32" hidden="1" x14ac:dyDescent="0.25">
      <c r="A127" s="22" t="s">
        <v>2129</v>
      </c>
      <c r="B127" s="22" t="str">
        <f>IF(OR(Olfa[[#This Row],[Status]]="Em linha",Olfa[[#This Row],[Status]]="Materia Prima",Olfa[[#This Row],[Status]]="Componente"),"ok",IF(Olfa[[#This Row],[Estoque+Importação]]&lt;1,"Tirar","ok"))</f>
        <v>ok</v>
      </c>
      <c r="C127" s="23">
        <v>33070665326</v>
      </c>
      <c r="D127" s="22" t="s">
        <v>3080</v>
      </c>
      <c r="E127" s="22" t="str">
        <f>VLOOKUP(Olfa[[#This Row],[Código]],BD_Produto[],3,FALSE)</f>
        <v>Estilete Heavy Duty</v>
      </c>
      <c r="F127" s="22" t="str">
        <f>VLOOKUP(Olfa[[#This Row],[Código]],BD_Produto[],4,FALSE)</f>
        <v>Heavy Duty</v>
      </c>
      <c r="G127" s="24"/>
      <c r="H127" s="28"/>
      <c r="I127" s="22" t="s">
        <v>2849</v>
      </c>
      <c r="J127" s="24"/>
      <c r="K127" s="24"/>
      <c r="L127" s="177">
        <f>IFERROR(VLOOKUP(Olfa[[#This Row],[Código]],Saldo[],3,FALSE),0)</f>
        <v>94</v>
      </c>
      <c r="M127" s="24">
        <f>SUM(Olfa[[#This Row],[Produção]:[Estoque]])</f>
        <v>94</v>
      </c>
      <c r="N127" s="177" t="str">
        <f>IFERROR(Olfa[[#This Row],[Estoque+Importação]]/Olfa[[#This Row],[Proj. de V. No prox. mes]],"Sem Projeção")</f>
        <v>Sem Projeção</v>
      </c>
      <c r="O127" s="177">
        <f>IF(OR(Olfa[[#This Row],[Status]]="Em Linha",Olfa[[#This Row],[Status]]="Componente",Olfa[[#This Row],[Status]]="Materia Prima"),Olfa[[#This Row],[Proj. de V. No prox. mes]]*10,"-")</f>
        <v>0</v>
      </c>
      <c r="P127" s="34">
        <f>IF(OR(Olfa[[#This Row],[Status]]="Em Linha",Olfa[[#This Row],[Status]]="Componente",Olfa[[#This Row],[Status]]="Materia Prima"),Olfa[[#This Row],[estoque 10 meses]]-Olfa[[#This Row],[Estoque+Importação]],0)</f>
        <v>-94</v>
      </c>
      <c r="Q127" s="75">
        <f>Olfa[[#This Row],[Colunas1]]+Olfa[[#This Row],[Colunas2]]</f>
        <v>0</v>
      </c>
      <c r="R127" s="43">
        <f>VLOOKUP(Olfa[[#This Row],[Código]],Projeção[#All],14,FALSE)</f>
        <v>0</v>
      </c>
      <c r="S127" s="39">
        <f>IFERROR(VLOOKUP(Olfa[[#This Row],[Código]],Vendas!A123:B284,2,FALSE),0)</f>
        <v>0</v>
      </c>
      <c r="T127" s="44" t="str">
        <f>IFERROR(Olfa[[#This Row],[V. No mes]]/Olfa[[#This Row],[Proj. de V. No mes]],"")</f>
        <v/>
      </c>
      <c r="U127" s="43">
        <f>VLOOKUP(Olfa[[#This Row],[Código]],Projeção[#All],14,FALSE)+VLOOKUP(Olfa[[#This Row],[Código]],Projeção[#All],13,FALSE)+VLOOKUP(Olfa[[#This Row],[Código]],Projeção[#All],12,FALSE)</f>
        <v>0</v>
      </c>
      <c r="V127" s="39">
        <f>IFERROR(VLOOKUP(Olfa[[#This Row],[Código]],Venda_3meses[],2,FALSE),0)</f>
        <v>0</v>
      </c>
      <c r="W127" s="44" t="str">
        <f>IFERROR(Olfa[[#This Row],[V. 3 meses]]/Olfa[[#This Row],[Proj. de V. 3 meses]],"")</f>
        <v/>
      </c>
      <c r="X12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27" s="101">
        <f>IFERROR(VLOOKUP(Olfa[[#This Row],[Código]],Venda_6meses[],2,FALSE),0)</f>
        <v>0</v>
      </c>
      <c r="Z127" s="45" t="str">
        <f>IFERROR(Olfa[[#This Row],[V. 6 meses]]/Olfa[[#This Row],[Proj. de V. 6 meses]],"")</f>
        <v/>
      </c>
      <c r="AA12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27" s="39">
        <f>IFERROR(VLOOKUP(Olfa[[#This Row],[Código]],Venda_12meses[],2,FALSE),0)</f>
        <v>0</v>
      </c>
      <c r="AC127" s="171">
        <f>Olfa[[#This Row],[V. 12 meses]]/6</f>
        <v>0</v>
      </c>
      <c r="AD127" s="171">
        <f>Olfa[[#This Row],[Colunas1]]*0.2</f>
        <v>0</v>
      </c>
      <c r="AE127" s="44" t="str">
        <f>IFERROR(Olfa[[#This Row],[V. 12 meses]]/Olfa[[#This Row],[Proj. de V. 12 meses]],"")</f>
        <v/>
      </c>
      <c r="AF127" s="22"/>
    </row>
    <row r="128" spans="1:32" hidden="1" x14ac:dyDescent="0.25">
      <c r="A128" s="22" t="s">
        <v>2185</v>
      </c>
      <c r="B128" s="22" t="str">
        <f>IF(OR(Olfa[[#This Row],[Status]]="Em linha",Olfa[[#This Row],[Status]]="Materia Prima",Olfa[[#This Row],[Status]]="Componente"),"ok",IF(Olfa[[#This Row],[Estoque+Importação]]&lt;1,"Tirar","ok"))</f>
        <v>ok</v>
      </c>
      <c r="C128" s="23">
        <v>33070665095</v>
      </c>
      <c r="D128" s="22" t="s">
        <v>721</v>
      </c>
      <c r="E128" s="22" t="str">
        <f>VLOOKUP(Olfa[[#This Row],[Código]],BD_Produto[],3,FALSE)</f>
        <v>Estilete Heavy Duty</v>
      </c>
      <c r="F128" s="22" t="str">
        <f>VLOOKUP(Olfa[[#This Row],[Código]],BD_Produto[],4,FALSE)</f>
        <v>Heavy Duty</v>
      </c>
      <c r="G128" s="24"/>
      <c r="H128" s="28">
        <v>271</v>
      </c>
      <c r="I128" s="22" t="s">
        <v>2849</v>
      </c>
      <c r="J128" s="24"/>
      <c r="K128" s="24"/>
      <c r="L128" s="177">
        <f>IFERROR(VLOOKUP(Olfa[[#This Row],[Código]],Saldo[],3,FALSE),0)</f>
        <v>2075</v>
      </c>
      <c r="M128" s="24">
        <f>SUM(Olfa[[#This Row],[Produção]:[Estoque]])</f>
        <v>2075</v>
      </c>
      <c r="N128" s="177">
        <f>IFERROR(Olfa[[#This Row],[Estoque+Importação]]/Olfa[[#This Row],[Proj. de V. No prox. mes]],"Sem Projeção")</f>
        <v>38.143382352941174</v>
      </c>
      <c r="O128" s="177" t="str">
        <f>IF(OR(Olfa[[#This Row],[Status]]="Em Linha",Olfa[[#This Row],[Status]]="Componente",Olfa[[#This Row],[Status]]="Materia Prima"),Olfa[[#This Row],[Proj. de V. No prox. mes]]*10,"-")</f>
        <v>-</v>
      </c>
      <c r="P128" s="34">
        <f>IF(OR(Olfa[[#This Row],[Status]]="Em Linha",Olfa[[#This Row],[Status]]="Componente",Olfa[[#This Row],[Status]]="Materia Prima"),Olfa[[#This Row],[estoque 10 meses]]-Olfa[[#This Row],[Estoque+Importação]],0)</f>
        <v>0</v>
      </c>
      <c r="Q128" s="75">
        <f>Olfa[[#This Row],[Colunas1]]+Olfa[[#This Row],[Colunas2]]</f>
        <v>54.400000000000006</v>
      </c>
      <c r="R128" s="43">
        <f>VLOOKUP(Olfa[[#This Row],[Código]],Projeção[#All],14,FALSE)</f>
        <v>17.099999999999998</v>
      </c>
      <c r="S128" s="39">
        <f>IFERROR(VLOOKUP(Olfa[[#This Row],[Código]],Vendas!A124:B285,2,FALSE),0)</f>
        <v>14</v>
      </c>
      <c r="T128" s="44">
        <f>IFERROR(Olfa[[#This Row],[V. No mes]]/Olfa[[#This Row],[Proj. de V. No mes]],"")</f>
        <v>0.81871345029239773</v>
      </c>
      <c r="U128" s="43">
        <f>VLOOKUP(Olfa[[#This Row],[Código]],Projeção[#All],14,FALSE)+VLOOKUP(Olfa[[#This Row],[Código]],Projeção[#All],13,FALSE)+VLOOKUP(Olfa[[#This Row],[Código]],Projeção[#All],12,FALSE)</f>
        <v>32.099999999999994</v>
      </c>
      <c r="V128" s="39">
        <f>IFERROR(VLOOKUP(Olfa[[#This Row],[Código]],Venda_3meses[],2,FALSE),0)</f>
        <v>96</v>
      </c>
      <c r="W128" s="44">
        <f>IFERROR(Olfa[[#This Row],[V. 3 meses]]/Olfa[[#This Row],[Proj. de V. 3 meses]],"")</f>
        <v>2.990654205607477</v>
      </c>
      <c r="X12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32.599999999999994</v>
      </c>
      <c r="Y128" s="101">
        <f>IFERROR(VLOOKUP(Olfa[[#This Row],[Código]],Venda_6meses[],2,FALSE),0)</f>
        <v>117</v>
      </c>
      <c r="Z128" s="45">
        <f>IFERROR(Olfa[[#This Row],[V. 6 meses]]/Olfa[[#This Row],[Proj. de V. 6 meses]],"")</f>
        <v>3.5889570552147245</v>
      </c>
      <c r="AA12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32.599999999999994</v>
      </c>
      <c r="AB128" s="39">
        <f>IFERROR(VLOOKUP(Olfa[[#This Row],[Código]],Venda_12meses[],2,FALSE),0)</f>
        <v>272</v>
      </c>
      <c r="AC128" s="171">
        <f>Olfa[[#This Row],[V. 12 meses]]/6</f>
        <v>45.333333333333336</v>
      </c>
      <c r="AD128" s="171">
        <f>Olfa[[#This Row],[Colunas1]]*0.2</f>
        <v>9.0666666666666682</v>
      </c>
      <c r="AE128" s="44">
        <f>IFERROR(Olfa[[#This Row],[V. 12 meses]]/Olfa[[#This Row],[Proj. de V. 12 meses]],"")</f>
        <v>8.3435582822085905</v>
      </c>
      <c r="AF128" s="22"/>
    </row>
    <row r="129" spans="1:32" hidden="1" x14ac:dyDescent="0.25">
      <c r="A129" s="22" t="s">
        <v>2185</v>
      </c>
      <c r="B129" s="22" t="str">
        <f>IF(OR(Olfa[[#This Row],[Status]]="Em linha",Olfa[[#This Row],[Status]]="Materia Prima",Olfa[[#This Row],[Status]]="Componente"),"ok",IF(Olfa[[#This Row],[Estoque+Importação]]&lt;1,"Tirar","ok"))</f>
        <v>ok</v>
      </c>
      <c r="C129" s="23">
        <v>33070663714</v>
      </c>
      <c r="D129" s="22" t="s">
        <v>1234</v>
      </c>
      <c r="E129" s="22" t="str">
        <f>VLOOKUP(Olfa[[#This Row],[Código]],BD_Produto[],3,FALSE)</f>
        <v>Estilete Heavy Duty</v>
      </c>
      <c r="F129" s="22" t="str">
        <f>VLOOKUP(Olfa[[#This Row],[Código]],BD_Produto[],4,FALSE)</f>
        <v>Heavy Duty</v>
      </c>
      <c r="G129" s="24" t="s">
        <v>1653</v>
      </c>
      <c r="H129" s="28">
        <v>234</v>
      </c>
      <c r="I129" s="22" t="s">
        <v>2849</v>
      </c>
      <c r="J129" s="98"/>
      <c r="K129" s="24"/>
      <c r="L129" s="177">
        <f>IFERROR(VLOOKUP(Olfa[[#This Row],[Código]],Saldo[],3,FALSE),0)</f>
        <v>7826</v>
      </c>
      <c r="M129" s="24">
        <f>SUM(Olfa[[#This Row],[Produção]:[Estoque]])</f>
        <v>7826</v>
      </c>
      <c r="N129" s="177">
        <f>IFERROR(Olfa[[#This Row],[Estoque+Importação]]/Olfa[[#This Row],[Proj. de V. No prox. mes]],"Sem Projeção")</f>
        <v>49.220125786163521</v>
      </c>
      <c r="O129" s="177" t="str">
        <f>IF(OR(Olfa[[#This Row],[Status]]="Em Linha",Olfa[[#This Row],[Status]]="Componente",Olfa[[#This Row],[Status]]="Materia Prima"),Olfa[[#This Row],[Proj. de V. No prox. mes]]*10,"-")</f>
        <v>-</v>
      </c>
      <c r="P129" s="34">
        <f>IF(OR(Olfa[[#This Row],[Status]]="Em Linha",Olfa[[#This Row],[Status]]="Componente",Olfa[[#This Row],[Status]]="Materia Prima"),Olfa[[#This Row],[estoque 10 meses]]-Olfa[[#This Row],[Estoque+Importação]],0)</f>
        <v>0</v>
      </c>
      <c r="Q129" s="75">
        <f>Olfa[[#This Row],[Colunas1]]+Olfa[[#This Row],[Colunas2]]</f>
        <v>159</v>
      </c>
      <c r="R129" s="43">
        <f>VLOOKUP(Olfa[[#This Row],[Código]],Projeção[#All],14,FALSE)</f>
        <v>90.300000000000011</v>
      </c>
      <c r="S129" s="39">
        <f>IFERROR(VLOOKUP(Olfa[[#This Row],[Código]],Vendas!A125:B286,2,FALSE),0)</f>
        <v>52</v>
      </c>
      <c r="T129" s="44">
        <f>IFERROR(Olfa[[#This Row],[V. No mes]]/Olfa[[#This Row],[Proj. de V. No mes]],"")</f>
        <v>0.57585825027685489</v>
      </c>
      <c r="U129" s="43">
        <f>VLOOKUP(Olfa[[#This Row],[Código]],Projeção[#All],14,FALSE)+VLOOKUP(Olfa[[#This Row],[Código]],Projeção[#All],13,FALSE)+VLOOKUP(Olfa[[#This Row],[Código]],Projeção[#All],12,FALSE)</f>
        <v>199.16666666666669</v>
      </c>
      <c r="V129" s="39">
        <f>IFERROR(VLOOKUP(Olfa[[#This Row],[Código]],Venda_3meses[],2,FALSE),0)</f>
        <v>124</v>
      </c>
      <c r="W129" s="44">
        <f>IFERROR(Olfa[[#This Row],[V. 3 meses]]/Olfa[[#This Row],[Proj. de V. 3 meses]],"")</f>
        <v>0.62259414225941412</v>
      </c>
      <c r="X12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353.93333333333339</v>
      </c>
      <c r="Y129" s="101">
        <f>IFERROR(VLOOKUP(Olfa[[#This Row],[Código]],Venda_6meses[],2,FALSE),0)</f>
        <v>356</v>
      </c>
      <c r="Z129" s="45">
        <f>IFERROR(Olfa[[#This Row],[V. 6 meses]]/Olfa[[#This Row],[Proj. de V. 6 meses]],"")</f>
        <v>1.0058391410811827</v>
      </c>
      <c r="AA12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682.36666666666679</v>
      </c>
      <c r="AB129" s="39">
        <f>IFERROR(VLOOKUP(Olfa[[#This Row],[Código]],Venda_12meses[],2,FALSE),0)</f>
        <v>795</v>
      </c>
      <c r="AC129" s="171">
        <f>Olfa[[#This Row],[V. 12 meses]]/6</f>
        <v>132.5</v>
      </c>
      <c r="AD129" s="171">
        <f>Olfa[[#This Row],[Colunas1]]*0.2</f>
        <v>26.5</v>
      </c>
      <c r="AE129" s="44">
        <f>IFERROR(Olfa[[#This Row],[V. 12 meses]]/Olfa[[#This Row],[Proj. de V. 12 meses]],"")</f>
        <v>1.1650627717258559</v>
      </c>
      <c r="AF129" s="22"/>
    </row>
    <row r="130" spans="1:32" hidden="1" x14ac:dyDescent="0.25">
      <c r="A130" s="22" t="s">
        <v>2185</v>
      </c>
      <c r="B130" s="22" t="str">
        <f>IF(OR(Olfa[[#This Row],[Status]]="Em linha",Olfa[[#This Row],[Status]]="Materia Prima",Olfa[[#This Row],[Status]]="Componente"),"ok",IF(Olfa[[#This Row],[Estoque+Importação]]&lt;1,"Tirar","ok"))</f>
        <v>ok</v>
      </c>
      <c r="C130" s="23">
        <v>33070663687</v>
      </c>
      <c r="D130" s="22" t="s">
        <v>1119</v>
      </c>
      <c r="E130" s="22" t="str">
        <f>VLOOKUP(Olfa[[#This Row],[Código]],BD_Produto[],3,FALSE)</f>
        <v>Estilete Heavy Duty</v>
      </c>
      <c r="F130" s="22" t="str">
        <f>VLOOKUP(Olfa[[#This Row],[Código]],BD_Produto[],4,FALSE)</f>
        <v>Heavy Duty</v>
      </c>
      <c r="G130" s="24">
        <v>0</v>
      </c>
      <c r="H130" s="28">
        <v>271</v>
      </c>
      <c r="I130" s="22" t="s">
        <v>2849</v>
      </c>
      <c r="J130" s="24"/>
      <c r="K130" s="24"/>
      <c r="L130" s="177">
        <f>IFERROR(VLOOKUP(Olfa[[#This Row],[Código]],Saldo[],3,FALSE),0)</f>
        <v>2152</v>
      </c>
      <c r="M130" s="24">
        <f>SUM(Olfa[[#This Row],[Produção]:[Estoque]])</f>
        <v>2152</v>
      </c>
      <c r="N130" s="177">
        <f>IFERROR(Olfa[[#This Row],[Estoque+Importação]]/Olfa[[#This Row],[Proj. de V. No prox. mes]],"Sem Projeção")</f>
        <v>42.362204724409445</v>
      </c>
      <c r="O130" s="177" t="str">
        <f>IF(OR(Olfa[[#This Row],[Status]]="Em Linha",Olfa[[#This Row],[Status]]="Componente",Olfa[[#This Row],[Status]]="Materia Prima"),Olfa[[#This Row],[Proj. de V. No prox. mes]]*10,"-")</f>
        <v>-</v>
      </c>
      <c r="P130" s="34">
        <f>IF(OR(Olfa[[#This Row],[Status]]="Em Linha",Olfa[[#This Row],[Status]]="Componente",Olfa[[#This Row],[Status]]="Materia Prima"),Olfa[[#This Row],[estoque 10 meses]]-Olfa[[#This Row],[Estoque+Importação]],0)</f>
        <v>0</v>
      </c>
      <c r="Q130" s="75">
        <f>Olfa[[#This Row],[Colunas1]]+Olfa[[#This Row],[Colunas2]]</f>
        <v>50.800000000000004</v>
      </c>
      <c r="R130" s="43">
        <f>VLOOKUP(Olfa[[#This Row],[Código]],Projeção[#All],14,FALSE)</f>
        <v>6.8999999999999995</v>
      </c>
      <c r="S130" s="39">
        <f>IFERROR(VLOOKUP(Olfa[[#This Row],[Código]],Vendas!A126:B287,2,FALSE),0)</f>
        <v>49</v>
      </c>
      <c r="T130" s="44">
        <f>IFERROR(Olfa[[#This Row],[V. No mes]]/Olfa[[#This Row],[Proj. de V. No mes]],"")</f>
        <v>7.1014492753623193</v>
      </c>
      <c r="U130" s="43">
        <f>VLOOKUP(Olfa[[#This Row],[Código]],Projeção[#All],14,FALSE)+VLOOKUP(Olfa[[#This Row],[Código]],Projeção[#All],13,FALSE)+VLOOKUP(Olfa[[#This Row],[Código]],Projeção[#All],12,FALSE)</f>
        <v>13.899999999999999</v>
      </c>
      <c r="V130" s="39">
        <f>IFERROR(VLOOKUP(Olfa[[#This Row],[Código]],Venda_3meses[],2,FALSE),0)</f>
        <v>137</v>
      </c>
      <c r="W130" s="44">
        <f>IFERROR(Olfa[[#This Row],[V. 3 meses]]/Olfa[[#This Row],[Proj. de V. 3 meses]],"")</f>
        <v>9.85611510791367</v>
      </c>
      <c r="X13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14.899999999999999</v>
      </c>
      <c r="Y130" s="101">
        <f>IFERROR(VLOOKUP(Olfa[[#This Row],[Código]],Venda_6meses[],2,FALSE),0)</f>
        <v>149</v>
      </c>
      <c r="Z130" s="45">
        <f>IFERROR(Olfa[[#This Row],[V. 6 meses]]/Olfa[[#This Row],[Proj. de V. 6 meses]],"")</f>
        <v>10.000000000000002</v>
      </c>
      <c r="AA13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14.899999999999999</v>
      </c>
      <c r="AB130" s="39">
        <f>IFERROR(VLOOKUP(Olfa[[#This Row],[Código]],Venda_12meses[],2,FALSE),0)</f>
        <v>254</v>
      </c>
      <c r="AC130" s="171">
        <f>Olfa[[#This Row],[V. 12 meses]]/6</f>
        <v>42.333333333333336</v>
      </c>
      <c r="AD130" s="171">
        <f>Olfa[[#This Row],[Colunas1]]*0.2</f>
        <v>8.4666666666666668</v>
      </c>
      <c r="AE130" s="44">
        <f>IFERROR(Olfa[[#This Row],[V. 12 meses]]/Olfa[[#This Row],[Proj. de V. 12 meses]],"")</f>
        <v>17.046979865771814</v>
      </c>
      <c r="AF130" s="22"/>
    </row>
    <row r="131" spans="1:32" hidden="1" x14ac:dyDescent="0.25">
      <c r="A131" s="22" t="s">
        <v>2185</v>
      </c>
      <c r="B131" s="22" t="str">
        <f>IF(OR(Olfa[[#This Row],[Status]]="Em linha",Olfa[[#This Row],[Status]]="Materia Prima",Olfa[[#This Row],[Status]]="Componente"),"ok",IF(Olfa[[#This Row],[Estoque+Importação]]&lt;1,"Tirar","ok"))</f>
        <v>ok</v>
      </c>
      <c r="C131" s="23">
        <v>33070664797</v>
      </c>
      <c r="D131" s="22" t="s">
        <v>720</v>
      </c>
      <c r="E131" s="22" t="str">
        <f>VLOOKUP(Olfa[[#This Row],[Código]],BD_Produto[],3,FALSE)</f>
        <v>Estilete Heavy Duty</v>
      </c>
      <c r="F131" s="22" t="str">
        <f>VLOOKUP(Olfa[[#This Row],[Código]],BD_Produto[],4,FALSE)</f>
        <v>Heavy Duty</v>
      </c>
      <c r="G131" s="24">
        <v>1080</v>
      </c>
      <c r="H131" s="28">
        <v>234</v>
      </c>
      <c r="I131" s="22" t="s">
        <v>2849</v>
      </c>
      <c r="J131" s="24"/>
      <c r="K131" s="24"/>
      <c r="L131" s="177">
        <f>IFERROR(VLOOKUP(Olfa[[#This Row],[Código]],Saldo[],3,FALSE),0)</f>
        <v>9446</v>
      </c>
      <c r="M131" s="24">
        <f>SUM(Olfa[[#This Row],[Produção]:[Estoque]])</f>
        <v>9446</v>
      </c>
      <c r="N131" s="177">
        <f>IFERROR(Olfa[[#This Row],[Estoque+Importação]]/Olfa[[#This Row],[Proj. de V. No prox. mes]],"Sem Projeção")</f>
        <v>199.28270042194094</v>
      </c>
      <c r="O131" s="177" t="str">
        <f>IF(OR(Olfa[[#This Row],[Status]]="Em Linha",Olfa[[#This Row],[Status]]="Componente",Olfa[[#This Row],[Status]]="Materia Prima"),Olfa[[#This Row],[Proj. de V. No prox. mes]]*10,"-")</f>
        <v>-</v>
      </c>
      <c r="P131" s="34">
        <f>IF(OR(Olfa[[#This Row],[Status]]="Em Linha",Olfa[[#This Row],[Status]]="Componente",Olfa[[#This Row],[Status]]="Materia Prima"),Olfa[[#This Row],[estoque 10 meses]]-Olfa[[#This Row],[Estoque+Importação]],0)</f>
        <v>0</v>
      </c>
      <c r="Q131" s="75">
        <f>Olfa[[#This Row],[Colunas1]]+Olfa[[#This Row],[Colunas2]]</f>
        <v>47.4</v>
      </c>
      <c r="R131" s="43">
        <f>VLOOKUP(Olfa[[#This Row],[Código]],Projeção[#All],14,FALSE)</f>
        <v>27.033333333333328</v>
      </c>
      <c r="S131" s="39">
        <f>IFERROR(VLOOKUP(Olfa[[#This Row],[Código]],Vendas!A127:B288,2,FALSE),0)</f>
        <v>19</v>
      </c>
      <c r="T131" s="44">
        <f>IFERROR(Olfa[[#This Row],[V. No mes]]/Olfa[[#This Row],[Proj. de V. No mes]],"")</f>
        <v>0.70283600493218268</v>
      </c>
      <c r="U131" s="43">
        <f>VLOOKUP(Olfa[[#This Row],[Código]],Projeção[#All],14,FALSE)+VLOOKUP(Olfa[[#This Row],[Código]],Projeção[#All],13,FALSE)+VLOOKUP(Olfa[[#This Row],[Código]],Projeção[#All],12,FALSE)</f>
        <v>65.633333333333326</v>
      </c>
      <c r="V131" s="39">
        <f>IFERROR(VLOOKUP(Olfa[[#This Row],[Código]],Venda_3meses[],2,FALSE),0)</f>
        <v>141</v>
      </c>
      <c r="W131" s="44">
        <f>IFERROR(Olfa[[#This Row],[V. 3 meses]]/Olfa[[#This Row],[Proj. de V. 3 meses]],"")</f>
        <v>2.1482986287455565</v>
      </c>
      <c r="X13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105.93333333333332</v>
      </c>
      <c r="Y131" s="101">
        <f>IFERROR(VLOOKUP(Olfa[[#This Row],[Código]],Venda_6meses[],2,FALSE),0)</f>
        <v>147</v>
      </c>
      <c r="Z131" s="45">
        <f>IFERROR(Olfa[[#This Row],[V. 6 meses]]/Olfa[[#This Row],[Proj. de V. 6 meses]],"")</f>
        <v>1.3876651982378856</v>
      </c>
      <c r="AA13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271.36666666666667</v>
      </c>
      <c r="AB131" s="39">
        <f>IFERROR(VLOOKUP(Olfa[[#This Row],[Código]],Venda_12meses[],2,FALSE),0)</f>
        <v>237</v>
      </c>
      <c r="AC131" s="171">
        <f>Olfa[[#This Row],[V. 12 meses]]/6</f>
        <v>39.5</v>
      </c>
      <c r="AD131" s="171">
        <f>Olfa[[#This Row],[Colunas1]]*0.2</f>
        <v>7.9</v>
      </c>
      <c r="AE131" s="44">
        <f>IFERROR(Olfa[[#This Row],[V. 12 meses]]/Olfa[[#This Row],[Proj. de V. 12 meses]],"")</f>
        <v>0.87335708143962654</v>
      </c>
      <c r="AF131" s="22"/>
    </row>
    <row r="132" spans="1:32" hidden="1" x14ac:dyDescent="0.25">
      <c r="A132" s="22" t="s">
        <v>2185</v>
      </c>
      <c r="B132" s="22" t="str">
        <f>IF(OR(Olfa[[#This Row],[Status]]="Em linha",Olfa[[#This Row],[Status]]="Materia Prima",Olfa[[#This Row],[Status]]="Componente"),"ok",IF(Olfa[[#This Row],[Estoque+Importação]]&lt;1,"Tirar","ok"))</f>
        <v>ok</v>
      </c>
      <c r="C132" s="23">
        <v>33070664796</v>
      </c>
      <c r="D132" s="22" t="s">
        <v>1151</v>
      </c>
      <c r="E132" s="22" t="str">
        <f>VLOOKUP(Olfa[[#This Row],[Código]],BD_Produto[],3,FALSE)</f>
        <v>Estilete Heavy Duty</v>
      </c>
      <c r="F132" s="22" t="str">
        <f>VLOOKUP(Olfa[[#This Row],[Código]],BD_Produto[],4,FALSE)</f>
        <v>Heavy Duty</v>
      </c>
      <c r="G132" s="24">
        <v>1080</v>
      </c>
      <c r="H132" s="28">
        <v>306</v>
      </c>
      <c r="I132" s="22" t="s">
        <v>2849</v>
      </c>
      <c r="J132" s="24"/>
      <c r="K132" s="24"/>
      <c r="L132" s="177">
        <f>IFERROR(VLOOKUP(Olfa[[#This Row],[Código]],Saldo[],3,FALSE),0)</f>
        <v>9697</v>
      </c>
      <c r="M132" s="24">
        <f>SUM(Olfa[[#This Row],[Produção]:[Estoque]])</f>
        <v>9697</v>
      </c>
      <c r="N132" s="177">
        <f>IFERROR(Olfa[[#This Row],[Estoque+Importação]]/Olfa[[#This Row],[Proj. de V. No prox. mes]],"Sem Projeção")</f>
        <v>414.40170940170941</v>
      </c>
      <c r="O132" s="177" t="str">
        <f>IF(OR(Olfa[[#This Row],[Status]]="Em Linha",Olfa[[#This Row],[Status]]="Componente",Olfa[[#This Row],[Status]]="Materia Prima"),Olfa[[#This Row],[Proj. de V. No prox. mes]]*10,"-")</f>
        <v>-</v>
      </c>
      <c r="P132" s="34">
        <f>IF(OR(Olfa[[#This Row],[Status]]="Em Linha",Olfa[[#This Row],[Status]]="Componente",Olfa[[#This Row],[Status]]="Materia Prima"),Olfa[[#This Row],[estoque 10 meses]]-Olfa[[#This Row],[Estoque+Importação]],0)</f>
        <v>0</v>
      </c>
      <c r="Q132" s="75">
        <f>Olfa[[#This Row],[Colunas1]]+Olfa[[#This Row],[Colunas2]]</f>
        <v>23.4</v>
      </c>
      <c r="R132" s="43">
        <f>VLOOKUP(Olfa[[#This Row],[Código]],Projeção[#All],14,FALSE)</f>
        <v>24.966666666666669</v>
      </c>
      <c r="S132" s="39">
        <f>IFERROR(VLOOKUP(Olfa[[#This Row],[Código]],Vendas!A128:B289,2,FALSE),0)</f>
        <v>15</v>
      </c>
      <c r="T132" s="44">
        <f>IFERROR(Olfa[[#This Row],[V. No mes]]/Olfa[[#This Row],[Proj. de V. No mes]],"")</f>
        <v>0.6008010680907877</v>
      </c>
      <c r="U132" s="43">
        <f>VLOOKUP(Olfa[[#This Row],[Código]],Projeção[#All],14,FALSE)+VLOOKUP(Olfa[[#This Row],[Código]],Projeção[#All],13,FALSE)+VLOOKUP(Olfa[[#This Row],[Código]],Projeção[#All],12,FALSE)</f>
        <v>59.766666666666666</v>
      </c>
      <c r="V132" s="39">
        <f>IFERROR(VLOOKUP(Olfa[[#This Row],[Código]],Venda_3meses[],2,FALSE),0)</f>
        <v>21</v>
      </c>
      <c r="W132" s="44">
        <f>IFERROR(Olfa[[#This Row],[V. 3 meses]]/Olfa[[#This Row],[Proj. de V. 3 meses]],"")</f>
        <v>0.35136642498605691</v>
      </c>
      <c r="X13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95.266666666666666</v>
      </c>
      <c r="Y132" s="101">
        <f>IFERROR(VLOOKUP(Olfa[[#This Row],[Código]],Venda_6meses[],2,FALSE),0)</f>
        <v>27</v>
      </c>
      <c r="Z132" s="45">
        <f>IFERROR(Olfa[[#This Row],[V. 6 meses]]/Olfa[[#This Row],[Proj. de V. 6 meses]],"")</f>
        <v>0.28341497550734779</v>
      </c>
      <c r="AA13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209.8</v>
      </c>
      <c r="AB132" s="39">
        <f>IFERROR(VLOOKUP(Olfa[[#This Row],[Código]],Venda_12meses[],2,FALSE),0)</f>
        <v>117</v>
      </c>
      <c r="AC132" s="171">
        <f>Olfa[[#This Row],[V. 12 meses]]/6</f>
        <v>19.5</v>
      </c>
      <c r="AD132" s="171">
        <f>Olfa[[#This Row],[Colunas1]]*0.2</f>
        <v>3.9000000000000004</v>
      </c>
      <c r="AE132" s="44">
        <f>IFERROR(Olfa[[#This Row],[V. 12 meses]]/Olfa[[#This Row],[Proj. de V. 12 meses]],"")</f>
        <v>0.55767397521448991</v>
      </c>
      <c r="AF132" s="22"/>
    </row>
    <row r="133" spans="1:32" hidden="1" x14ac:dyDescent="0.25">
      <c r="A133" s="22" t="s">
        <v>2185</v>
      </c>
      <c r="B133" s="22" t="str">
        <f>IF(OR(Olfa[[#This Row],[Status]]="Em linha",Olfa[[#This Row],[Status]]="Materia Prima",Olfa[[#This Row],[Status]]="Componente"),"ok",IF(Olfa[[#This Row],[Estoque+Importação]]&lt;1,"Tirar","ok"))</f>
        <v>ok</v>
      </c>
      <c r="C133" s="23">
        <v>33070664795</v>
      </c>
      <c r="D133" s="22" t="s">
        <v>1152</v>
      </c>
      <c r="E133" s="22" t="str">
        <f>VLOOKUP(Olfa[[#This Row],[Código]],BD_Produto[],3,FALSE)</f>
        <v>Estilete Multiuso</v>
      </c>
      <c r="F133" s="22" t="str">
        <f>VLOOKUP(Olfa[[#This Row],[Código]],BD_Produto[],4,FALSE)</f>
        <v>Multiuso</v>
      </c>
      <c r="G133" s="24">
        <v>1080</v>
      </c>
      <c r="H133" s="28">
        <v>198</v>
      </c>
      <c r="I133" s="22" t="s">
        <v>2849</v>
      </c>
      <c r="J133" s="24"/>
      <c r="K133" s="24"/>
      <c r="L133" s="177">
        <f>IFERROR(VLOOKUP(Olfa[[#This Row],[Código]],Saldo[],3,FALSE),0)</f>
        <v>9871</v>
      </c>
      <c r="M133" s="24">
        <f>SUM(Olfa[[#This Row],[Produção]:[Estoque]])</f>
        <v>9871</v>
      </c>
      <c r="N133" s="177">
        <f>IFERROR(Olfa[[#This Row],[Estoque+Importação]]/Olfa[[#This Row],[Proj. de V. No prox. mes]],"Sem Projeção")</f>
        <v>649.40789473684208</v>
      </c>
      <c r="O133" s="177" t="str">
        <f>IF(OR(Olfa[[#This Row],[Status]]="Em Linha",Olfa[[#This Row],[Status]]="Componente",Olfa[[#This Row],[Status]]="Materia Prima"),Olfa[[#This Row],[Proj. de V. No prox. mes]]*10,"-")</f>
        <v>-</v>
      </c>
      <c r="P133" s="34">
        <f>IF(OR(Olfa[[#This Row],[Status]]="Em Linha",Olfa[[#This Row],[Status]]="Componente",Olfa[[#This Row],[Status]]="Materia Prima"),Olfa[[#This Row],[estoque 10 meses]]-Olfa[[#This Row],[Estoque+Importação]],0)</f>
        <v>0</v>
      </c>
      <c r="Q133" s="75">
        <f>Olfa[[#This Row],[Colunas1]]+Olfa[[#This Row],[Colunas2]]</f>
        <v>15.2</v>
      </c>
      <c r="R133" s="43">
        <f>VLOOKUP(Olfa[[#This Row],[Código]],Projeção[#All],14,FALSE)</f>
        <v>7.1999999999999993</v>
      </c>
      <c r="S133" s="39">
        <f>IFERROR(VLOOKUP(Olfa[[#This Row],[Código]],Vendas!A129:B290,2,FALSE),0)</f>
        <v>12</v>
      </c>
      <c r="T133" s="44">
        <f>IFERROR(Olfa[[#This Row],[V. No mes]]/Olfa[[#This Row],[Proj. de V. No mes]],"")</f>
        <v>1.6666666666666667</v>
      </c>
      <c r="U133" s="43">
        <f>VLOOKUP(Olfa[[#This Row],[Código]],Projeção[#All],14,FALSE)+VLOOKUP(Olfa[[#This Row],[Código]],Projeção[#All],13,FALSE)+VLOOKUP(Olfa[[#This Row],[Código]],Projeção[#All],12,FALSE)</f>
        <v>13.2</v>
      </c>
      <c r="V133" s="39">
        <f>IFERROR(VLOOKUP(Olfa[[#This Row],[Código]],Venda_3meses[],2,FALSE),0)</f>
        <v>22</v>
      </c>
      <c r="W133" s="44">
        <f>IFERROR(Olfa[[#This Row],[V. 3 meses]]/Olfa[[#This Row],[Proj. de V. 3 meses]],"")</f>
        <v>1.6666666666666667</v>
      </c>
      <c r="X13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18.399999999999999</v>
      </c>
      <c r="Y133" s="101">
        <f>IFERROR(VLOOKUP(Olfa[[#This Row],[Código]],Venda_6meses[],2,FALSE),0)</f>
        <v>28</v>
      </c>
      <c r="Z133" s="45">
        <f>IFERROR(Olfa[[#This Row],[V. 6 meses]]/Olfa[[#This Row],[Proj. de V. 6 meses]],"")</f>
        <v>1.5217391304347827</v>
      </c>
      <c r="AA13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51.6</v>
      </c>
      <c r="AB133" s="39">
        <f>IFERROR(VLOOKUP(Olfa[[#This Row],[Código]],Venda_12meses[],2,FALSE),0)</f>
        <v>76</v>
      </c>
      <c r="AC133" s="171">
        <f>Olfa[[#This Row],[V. 12 meses]]/6</f>
        <v>12.666666666666666</v>
      </c>
      <c r="AD133" s="171">
        <f>Olfa[[#This Row],[Colunas1]]*0.2</f>
        <v>2.5333333333333332</v>
      </c>
      <c r="AE133" s="44">
        <f>IFERROR(Olfa[[#This Row],[V. 12 meses]]/Olfa[[#This Row],[Proj. de V. 12 meses]],"")</f>
        <v>1.4728682170542635</v>
      </c>
      <c r="AF133" s="22"/>
    </row>
    <row r="134" spans="1:32" x14ac:dyDescent="0.25">
      <c r="A134" s="22" t="s">
        <v>2129</v>
      </c>
      <c r="B134" s="22" t="str">
        <f>IF(OR(Olfa[[#This Row],[Status]]="Em linha",Olfa[[#This Row],[Status]]="Materia Prima",Olfa[[#This Row],[Status]]="Componente"),"ok",IF(Olfa[[#This Row],[Estoque+Importação]]&lt;1,"Tirar","ok"))</f>
        <v>ok</v>
      </c>
      <c r="C134" s="23">
        <v>33070614922</v>
      </c>
      <c r="D134" s="22" t="s">
        <v>659</v>
      </c>
      <c r="E134" s="22" t="str">
        <f>VLOOKUP(Olfa[[#This Row],[Código]],BD_Produto[],3,FALSE)</f>
        <v>Espátula</v>
      </c>
      <c r="F134" s="22" t="str">
        <f>VLOOKUP(Olfa[[#This Row],[Código]],BD_Produto[],4,FALSE)</f>
        <v>Espátula</v>
      </c>
      <c r="G134" s="24">
        <v>120</v>
      </c>
      <c r="H134" s="28">
        <v>158</v>
      </c>
      <c r="I134" s="22" t="s">
        <v>2849</v>
      </c>
      <c r="J134" s="24"/>
      <c r="K134" s="24"/>
      <c r="L134" s="177">
        <f>IFERROR(VLOOKUP(Olfa[[#This Row],[Código]],Saldo[],3,FALSE),0)</f>
        <v>130</v>
      </c>
      <c r="M134" s="24">
        <f>SUM(Olfa[[#This Row],[Produção]:[Estoque]])</f>
        <v>130</v>
      </c>
      <c r="N134" s="177">
        <f>IFERROR(Olfa[[#This Row],[Estoque+Importação]]/Olfa[[#This Row],[Proj. de V. No prox. mes]],"Sem Projeção")</f>
        <v>13.829787234042552</v>
      </c>
      <c r="O134" s="177">
        <f>IF(OR(Olfa[[#This Row],[Status]]="Em Linha",Olfa[[#This Row],[Status]]="Componente",Olfa[[#This Row],[Status]]="Materia Prima"),Olfa[[#This Row],[Proj. de V. No prox. mes]]*10,"-")</f>
        <v>94</v>
      </c>
      <c r="P134" s="34">
        <f>IF(OR(Olfa[[#This Row],[Status]]="Em Linha",Olfa[[#This Row],[Status]]="Componente",Olfa[[#This Row],[Status]]="Materia Prima"),Olfa[[#This Row],[estoque 10 meses]]-Olfa[[#This Row],[Estoque+Importação]],0)</f>
        <v>-36</v>
      </c>
      <c r="Q134" s="75">
        <f>Olfa[[#This Row],[Colunas1]]+Olfa[[#This Row],[Colunas2]]</f>
        <v>9.4</v>
      </c>
      <c r="R134" s="43">
        <f>VLOOKUP(Olfa[[#This Row],[Código]],Projeção[#All],14,FALSE)</f>
        <v>5.8</v>
      </c>
      <c r="S134" s="39">
        <f>IFERROR(VLOOKUP(Olfa[[#This Row],[Código]],Vendas!A130:B291,2,FALSE),0)</f>
        <v>0</v>
      </c>
      <c r="T134" s="44">
        <f>IFERROR(Olfa[[#This Row],[V. No mes]]/Olfa[[#This Row],[Proj. de V. No mes]],"")</f>
        <v>0</v>
      </c>
      <c r="U134" s="43">
        <f>VLOOKUP(Olfa[[#This Row],[Código]],Projeção[#All],14,FALSE)+VLOOKUP(Olfa[[#This Row],[Código]],Projeção[#All],13,FALSE)+VLOOKUP(Olfa[[#This Row],[Código]],Projeção[#All],12,FALSE)</f>
        <v>14.666666666666668</v>
      </c>
      <c r="V134" s="39">
        <f>IFERROR(VLOOKUP(Olfa[[#This Row],[Código]],Venda_3meses[],2,FALSE),0)</f>
        <v>25</v>
      </c>
      <c r="W134" s="44">
        <f>IFERROR(Olfa[[#This Row],[V. 3 meses]]/Olfa[[#This Row],[Proj. de V. 3 meses]],"")</f>
        <v>1.7045454545454544</v>
      </c>
      <c r="X13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17.8</v>
      </c>
      <c r="Y134" s="101">
        <f>IFERROR(VLOOKUP(Olfa[[#This Row],[Código]],Venda_6meses[],2,FALSE),0)</f>
        <v>25</v>
      </c>
      <c r="Z134" s="45">
        <f>IFERROR(Olfa[[#This Row],[V. 6 meses]]/Olfa[[#This Row],[Proj. de V. 6 meses]],"")</f>
        <v>1.4044943820224718</v>
      </c>
      <c r="AA13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41</v>
      </c>
      <c r="AB134" s="39">
        <f>IFERROR(VLOOKUP(Olfa[[#This Row],[Código]],Venda_12meses[],2,FALSE),0)</f>
        <v>47</v>
      </c>
      <c r="AC134" s="171">
        <f>Olfa[[#This Row],[V. 12 meses]]/6</f>
        <v>7.833333333333333</v>
      </c>
      <c r="AD134" s="171">
        <f>Olfa[[#This Row],[Colunas1]]*0.2</f>
        <v>1.5666666666666667</v>
      </c>
      <c r="AE134" s="44">
        <f>IFERROR(Olfa[[#This Row],[V. 12 meses]]/Olfa[[#This Row],[Proj. de V. 12 meses]],"")</f>
        <v>1.1463414634146341</v>
      </c>
      <c r="AF134" s="22"/>
    </row>
    <row r="135" spans="1:32" x14ac:dyDescent="0.25">
      <c r="A135" s="22" t="s">
        <v>1732</v>
      </c>
      <c r="B135" s="22" t="str">
        <f>IF(OR(Olfa[[#This Row],[Status]]="Em linha",Olfa[[#This Row],[Status]]="Materia Prima",Olfa[[#This Row],[Status]]="Componente"),"ok",IF(Olfa[[#This Row],[Estoque+Importação]]&lt;1,"Tirar","ok"))</f>
        <v>ok</v>
      </c>
      <c r="C135" s="23">
        <v>33070614012</v>
      </c>
      <c r="D135" s="22" t="s">
        <v>593</v>
      </c>
      <c r="E135" s="22" t="str">
        <f>VLOOKUP(Olfa[[#This Row],[Código]],BD_Produto[],3,FALSE)</f>
        <v>Espátula</v>
      </c>
      <c r="F135" s="22" t="str">
        <f>VLOOKUP(Olfa[[#This Row],[Código]],BD_Produto[],4,FALSE)</f>
        <v>Espátula</v>
      </c>
      <c r="G135" s="24">
        <v>50</v>
      </c>
      <c r="H135" s="28">
        <v>947</v>
      </c>
      <c r="I135" s="22" t="s">
        <v>2849</v>
      </c>
      <c r="J135" s="24"/>
      <c r="K135" s="24"/>
      <c r="L135" s="177">
        <f>IFERROR(VLOOKUP(Olfa[[#This Row],[Código]],Saldo[],3,FALSE),0)</f>
        <v>14</v>
      </c>
      <c r="M135" s="24">
        <f>SUM(Olfa[[#This Row],[Produção]:[Estoque]])</f>
        <v>14</v>
      </c>
      <c r="N135" s="177">
        <f>IFERROR(Olfa[[#This Row],[Estoque+Importação]]/Olfa[[#This Row],[Proj. de V. No prox. mes]],"Sem Projeção")</f>
        <v>7</v>
      </c>
      <c r="O135" s="177" t="str">
        <f>IF(OR(Olfa[[#This Row],[Status]]="Em Linha",Olfa[[#This Row],[Status]]="Componente",Olfa[[#This Row],[Status]]="Materia Prima"),Olfa[[#This Row],[Proj. de V. No prox. mes]]*10,"-")</f>
        <v>-</v>
      </c>
      <c r="P135" s="34">
        <f>IF(OR(Olfa[[#This Row],[Status]]="Em Linha",Olfa[[#This Row],[Status]]="Componente",Olfa[[#This Row],[Status]]="Materia Prima"),Olfa[[#This Row],[estoque 10 meses]]-Olfa[[#This Row],[Estoque+Importação]],0)</f>
        <v>0</v>
      </c>
      <c r="Q135" s="75">
        <f>Olfa[[#This Row],[Colunas1]]+Olfa[[#This Row],[Colunas2]]</f>
        <v>2</v>
      </c>
      <c r="R135" s="43">
        <f>VLOOKUP(Olfa[[#This Row],[Código]],Projeção[#All],14,FALSE)</f>
        <v>1.4333333333333333</v>
      </c>
      <c r="S135" s="39">
        <f>IFERROR(VLOOKUP(Olfa[[#This Row],[Código]],Vendas!A131:B292,2,FALSE),0)</f>
        <v>0</v>
      </c>
      <c r="T135" s="44">
        <f>IFERROR(Olfa[[#This Row],[V. No mes]]/Olfa[[#This Row],[Proj. de V. No mes]],"")</f>
        <v>0</v>
      </c>
      <c r="U135" s="43">
        <f>VLOOKUP(Olfa[[#This Row],[Código]],Projeção[#All],14,FALSE)+VLOOKUP(Olfa[[#This Row],[Código]],Projeção[#All],13,FALSE)+VLOOKUP(Olfa[[#This Row],[Código]],Projeção[#All],12,FALSE)</f>
        <v>3.9000000000000004</v>
      </c>
      <c r="V135" s="39">
        <f>IFERROR(VLOOKUP(Olfa[[#This Row],[Código]],Venda_3meses[],2,FALSE),0)</f>
        <v>4</v>
      </c>
      <c r="W135" s="44">
        <f>IFERROR(Olfa[[#This Row],[V. 3 meses]]/Olfa[[#This Row],[Proj. de V. 3 meses]],"")</f>
        <v>1.0256410256410255</v>
      </c>
      <c r="X13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4.2666666666666675</v>
      </c>
      <c r="Y135" s="101">
        <f>IFERROR(VLOOKUP(Olfa[[#This Row],[Código]],Venda_6meses[],2,FALSE),0)</f>
        <v>4</v>
      </c>
      <c r="Z135" s="45">
        <f>IFERROR(Olfa[[#This Row],[V. 6 meses]]/Olfa[[#This Row],[Proj. de V. 6 meses]],"")</f>
        <v>0.93749999999999978</v>
      </c>
      <c r="AA13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5.2333333333333343</v>
      </c>
      <c r="AB135" s="39">
        <f>IFERROR(VLOOKUP(Olfa[[#This Row],[Código]],Venda_12meses[],2,FALSE),0)</f>
        <v>10</v>
      </c>
      <c r="AC135" s="171">
        <f>Olfa[[#This Row],[V. 12 meses]]/6</f>
        <v>1.6666666666666667</v>
      </c>
      <c r="AD135" s="171">
        <f>Olfa[[#This Row],[Colunas1]]*0.2</f>
        <v>0.33333333333333337</v>
      </c>
      <c r="AE135" s="44">
        <f>IFERROR(Olfa[[#This Row],[V. 12 meses]]/Olfa[[#This Row],[Proj. de V. 12 meses]],"")</f>
        <v>1.9108280254777066</v>
      </c>
      <c r="AF135" s="22"/>
    </row>
    <row r="136" spans="1:32" x14ac:dyDescent="0.25">
      <c r="A136" s="22" t="s">
        <v>2129</v>
      </c>
      <c r="B136" s="22" t="str">
        <f>IF(OR(Olfa[[#This Row],[Status]]="Em linha",Olfa[[#This Row],[Status]]="Materia Prima",Olfa[[#This Row],[Status]]="Componente"),"ok",IF(Olfa[[#This Row],[Estoque+Importação]]&lt;1,"Tirar","ok"))</f>
        <v>ok</v>
      </c>
      <c r="C136" s="23">
        <v>33070654030</v>
      </c>
      <c r="D136" s="22" t="s">
        <v>1257</v>
      </c>
      <c r="E136" s="22" t="str">
        <f>VLOOKUP(Olfa[[#This Row],[Código]],BD_Produto[],3,FALSE)</f>
        <v>Kit</v>
      </c>
      <c r="F136" s="22" t="str">
        <f>VLOOKUP(Olfa[[#This Row],[Código]],BD_Produto[],4,FALSE)</f>
        <v>Rotativo</v>
      </c>
      <c r="G136" s="24" t="s">
        <v>1655</v>
      </c>
      <c r="H136" s="28">
        <v>720.90422962361231</v>
      </c>
      <c r="I136" s="22" t="s">
        <v>2849</v>
      </c>
      <c r="J136" s="98"/>
      <c r="K136" s="24"/>
      <c r="L136" s="177">
        <f>IFERROR(VLOOKUP(Olfa[[#This Row],[Código]],Saldo[],3,FALSE),0)</f>
        <v>0</v>
      </c>
      <c r="M136" s="24">
        <f>SUM(Olfa[[#This Row],[Produção]:[Estoque]])</f>
        <v>0</v>
      </c>
      <c r="N136" s="177" t="str">
        <f>IFERROR(Olfa[[#This Row],[Estoque+Importação]]/Olfa[[#This Row],[Proj. de V. No prox. mes]],"Sem Projeção")</f>
        <v>Sem Projeção</v>
      </c>
      <c r="O136" s="177">
        <f>IF(OR(Olfa[[#This Row],[Status]]="Em Linha",Olfa[[#This Row],[Status]]="Componente",Olfa[[#This Row],[Status]]="Materia Prima"),Olfa[[#This Row],[Proj. de V. No prox. mes]]*10,"-")</f>
        <v>0</v>
      </c>
      <c r="P136" s="34">
        <f>IF(OR(Olfa[[#This Row],[Status]]="Em Linha",Olfa[[#This Row],[Status]]="Componente",Olfa[[#This Row],[Status]]="Materia Prima"),Olfa[[#This Row],[estoque 10 meses]]-Olfa[[#This Row],[Estoque+Importação]],0)</f>
        <v>0</v>
      </c>
      <c r="Q136" s="75">
        <f>Olfa[[#This Row],[Colunas1]]+Olfa[[#This Row],[Colunas2]]</f>
        <v>0</v>
      </c>
      <c r="R136" s="43">
        <f>VLOOKUP(Olfa[[#This Row],[Código]],Projeção[#All],14,FALSE)</f>
        <v>9.9999999999999992E-2</v>
      </c>
      <c r="S136" s="39">
        <f>IFERROR(VLOOKUP(Olfa[[#This Row],[Código]],Vendas!A132:B293,2,FALSE),0)</f>
        <v>0</v>
      </c>
      <c r="T136" s="44">
        <f>IFERROR(Olfa[[#This Row],[V. No mes]]/Olfa[[#This Row],[Proj. de V. No mes]],"")</f>
        <v>0</v>
      </c>
      <c r="U136" s="43">
        <f>VLOOKUP(Olfa[[#This Row],[Código]],Projeção[#All],14,FALSE)+VLOOKUP(Olfa[[#This Row],[Código]],Projeção[#All],13,FALSE)+VLOOKUP(Olfa[[#This Row],[Código]],Projeção[#All],12,FALSE)</f>
        <v>0.36666666666666659</v>
      </c>
      <c r="V136" s="39">
        <f>IFERROR(VLOOKUP(Olfa[[#This Row],[Código]],Venda_3meses[],2,FALSE),0)</f>
        <v>0</v>
      </c>
      <c r="W136" s="44">
        <f>IFERROR(Olfa[[#This Row],[V. 3 meses]]/Olfa[[#This Row],[Proj. de V. 3 meses]],"")</f>
        <v>0</v>
      </c>
      <c r="X13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0.53333333333333321</v>
      </c>
      <c r="Y136" s="101">
        <f>IFERROR(VLOOKUP(Olfa[[#This Row],[Código]],Venda_6meses[],2,FALSE),0)</f>
        <v>0</v>
      </c>
      <c r="Z136" s="45">
        <f>IFERROR(Olfa[[#This Row],[V. 6 meses]]/Olfa[[#This Row],[Proj. de V. 6 meses]],"")</f>
        <v>0</v>
      </c>
      <c r="AA13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0.53333333333333321</v>
      </c>
      <c r="AB136" s="39">
        <f>IFERROR(VLOOKUP(Olfa[[#This Row],[Código]],Venda_12meses[],2,FALSE),0)</f>
        <v>0</v>
      </c>
      <c r="AC136" s="171">
        <f>Olfa[[#This Row],[V. 12 meses]]/6</f>
        <v>0</v>
      </c>
      <c r="AD136" s="171">
        <f>Olfa[[#This Row],[Colunas1]]*0.2</f>
        <v>0</v>
      </c>
      <c r="AE136" s="44">
        <f>IFERROR(Olfa[[#This Row],[V. 12 meses]]/Olfa[[#This Row],[Proj. de V. 12 meses]],"")</f>
        <v>0</v>
      </c>
      <c r="AF136" s="22"/>
    </row>
    <row r="137" spans="1:32" x14ac:dyDescent="0.25">
      <c r="A137" s="22" t="s">
        <v>2129</v>
      </c>
      <c r="B137" s="66" t="str">
        <f>IF(OR(Olfa[[#This Row],[Status]]="Em linha",Olfa[[#This Row],[Status]]="Materia Prima",Olfa[[#This Row],[Status]]="Componente"),"ok",IF(Olfa[[#This Row],[Estoque+Importação]]&lt;1,"Tirar","ok"))</f>
        <v>ok</v>
      </c>
      <c r="C137" s="23">
        <v>33070665298</v>
      </c>
      <c r="D137" s="105" t="s">
        <v>3063</v>
      </c>
      <c r="E137" s="111" t="str">
        <f>VLOOKUP(Olfa[[#This Row],[Código]],BD_Produto[],3,FALSE)</f>
        <v>Estilete de Segurança</v>
      </c>
      <c r="F137" s="111" t="str">
        <f>VLOOKUP(Olfa[[#This Row],[Código]],BD_Produto[],4,FALSE)</f>
        <v>Segurança</v>
      </c>
      <c r="G137" s="24">
        <v>120</v>
      </c>
      <c r="H137" s="28"/>
      <c r="I137" s="22" t="s">
        <v>2849</v>
      </c>
      <c r="J137" s="98"/>
      <c r="K137" s="24"/>
      <c r="L137" s="177">
        <f>IFERROR(VLOOKUP(Olfa[[#This Row],[Código]],Saldo[],3,FALSE),0)</f>
        <v>594</v>
      </c>
      <c r="M137" s="24">
        <f>SUM(Olfa[[#This Row],[Produção]:[Estoque]])</f>
        <v>594</v>
      </c>
      <c r="N137" s="177">
        <f>IFERROR(Olfa[[#This Row],[Estoque+Importação]]/Olfa[[#This Row],[Proj. de V. No prox. mes]],"Sem Projeção")</f>
        <v>495</v>
      </c>
      <c r="O137" s="177">
        <f>IF(OR(Olfa[[#This Row],[Status]]="Em Linha",Olfa[[#This Row],[Status]]="Componente",Olfa[[#This Row],[Status]]="Materia Prima"),Olfa[[#This Row],[Proj. de V. No prox. mes]]*10,"-")</f>
        <v>12</v>
      </c>
      <c r="P137" s="34">
        <f>IF(OR(Olfa[[#This Row],[Status]]="Em Linha",Olfa[[#This Row],[Status]]="Componente",Olfa[[#This Row],[Status]]="Materia Prima"),Olfa[[#This Row],[estoque 10 meses]]-Olfa[[#This Row],[Estoque+Importação]],0)</f>
        <v>-582</v>
      </c>
      <c r="Q137" s="75">
        <f>Olfa[[#This Row],[Colunas1]]+Olfa[[#This Row],[Colunas2]]</f>
        <v>1.2</v>
      </c>
      <c r="R137" s="43">
        <f>VLOOKUP(Olfa[[#This Row],[Código]],Projeção[#All],14,FALSE)</f>
        <v>0</v>
      </c>
      <c r="S137" s="24">
        <f>IFERROR(VLOOKUP(Olfa[[#This Row],[Código]],Vendas!A133:B294,2,FALSE),0)</f>
        <v>6</v>
      </c>
      <c r="T137" s="104" t="str">
        <f>IFERROR(Olfa[[#This Row],[V. No mes]]/Olfa[[#This Row],[Proj. de V. No mes]],"")</f>
        <v/>
      </c>
      <c r="U137" s="43">
        <f>VLOOKUP(Olfa[[#This Row],[Código]],Projeção[#All],14,FALSE)+VLOOKUP(Olfa[[#This Row],[Código]],Projeção[#All],13,FALSE)+VLOOKUP(Olfa[[#This Row],[Código]],Projeção[#All],12,FALSE)</f>
        <v>0</v>
      </c>
      <c r="V137" s="24">
        <f>IFERROR(VLOOKUP(Olfa[[#This Row],[Código]],Venda_3meses[],2,FALSE),0)</f>
        <v>6</v>
      </c>
      <c r="W137" s="44" t="str">
        <f>IFERROR(Olfa[[#This Row],[V. 3 meses]]/Olfa[[#This Row],[Proj. de V. 3 meses]],"")</f>
        <v/>
      </c>
      <c r="X137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37" s="107">
        <f>IFERROR(VLOOKUP(Olfa[[#This Row],[Código]],Venda_6meses[],2,FALSE),0)</f>
        <v>6</v>
      </c>
      <c r="Z137" s="108" t="str">
        <f>IFERROR(Olfa[[#This Row],[V. 6 meses]]/Olfa[[#This Row],[Proj. de V. 6 meses]],"")</f>
        <v/>
      </c>
      <c r="AA13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37" s="24">
        <f>IFERROR(VLOOKUP(Olfa[[#This Row],[Código]],Venda_12meses[],2,FALSE),0)</f>
        <v>6</v>
      </c>
      <c r="AC137" s="171">
        <f>Olfa[[#This Row],[V. 12 meses]]/6</f>
        <v>1</v>
      </c>
      <c r="AD137" s="171">
        <f>Olfa[[#This Row],[Colunas1]]*0.2</f>
        <v>0.2</v>
      </c>
      <c r="AE137" s="44" t="str">
        <f>IFERROR(Olfa[[#This Row],[V. 12 meses]]/Olfa[[#This Row],[Proj. de V. 12 meses]],"")</f>
        <v/>
      </c>
      <c r="AF137" s="22"/>
    </row>
    <row r="138" spans="1:32" x14ac:dyDescent="0.25">
      <c r="A138" s="22" t="s">
        <v>2129</v>
      </c>
      <c r="B138" s="66" t="str">
        <f>IF(OR(Olfa[[#This Row],[Status]]="Em linha",Olfa[[#This Row],[Status]]="Materia Prima",Olfa[[#This Row],[Status]]="Componente"),"ok",IF(Olfa[[#This Row],[Estoque+Importação]]&lt;1,"Tirar","ok"))</f>
        <v>ok</v>
      </c>
      <c r="C138" s="23">
        <v>33070665319</v>
      </c>
      <c r="D138" s="66" t="s">
        <v>3076</v>
      </c>
      <c r="E138" s="66" t="str">
        <f>VLOOKUP(Olfa[[#This Row],[Código]],BD_Produto[],3,FALSE)</f>
        <v>Espátula</v>
      </c>
      <c r="F138" s="66" t="str">
        <f>VLOOKUP(Olfa[[#This Row],[Código]],BD_Produto[],4,FALSE)</f>
        <v>Espátula</v>
      </c>
      <c r="G138" s="24">
        <v>36</v>
      </c>
      <c r="H138" s="28"/>
      <c r="I138" s="22" t="s">
        <v>2849</v>
      </c>
      <c r="J138" s="98"/>
      <c r="K138" s="24"/>
      <c r="L138" s="177">
        <f>IFERROR(VLOOKUP(Olfa[[#This Row],[Código]],Saldo[],3,FALSE),0)</f>
        <v>120</v>
      </c>
      <c r="M138" s="24">
        <f>SUM(Olfa[[#This Row],[Produção]:[Estoque]])</f>
        <v>120</v>
      </c>
      <c r="N138" s="177">
        <f>IFERROR(Olfa[[#This Row],[Estoque+Importação]]/Olfa[[#This Row],[Proj. de V. No prox. mes]],"Sem Projeção")</f>
        <v>85.714285714285708</v>
      </c>
      <c r="O138" s="177">
        <f>IF(OR(Olfa[[#This Row],[Status]]="Em Linha",Olfa[[#This Row],[Status]]="Componente",Olfa[[#This Row],[Status]]="Materia Prima"),Olfa[[#This Row],[Proj. de V. No prox. mes]]*10,"-")</f>
        <v>14.000000000000002</v>
      </c>
      <c r="P138" s="34">
        <f>IF(OR(Olfa[[#This Row],[Status]]="Em Linha",Olfa[[#This Row],[Status]]="Componente",Olfa[[#This Row],[Status]]="Materia Prima"),Olfa[[#This Row],[estoque 10 meses]]-Olfa[[#This Row],[Estoque+Importação]],0)</f>
        <v>-106</v>
      </c>
      <c r="Q138" s="75">
        <f>Olfa[[#This Row],[Colunas1]]+Olfa[[#This Row],[Colunas2]]</f>
        <v>1.4000000000000001</v>
      </c>
      <c r="R138" s="43">
        <f>VLOOKUP(Olfa[[#This Row],[Código]],Projeção[#All],14,FALSE)</f>
        <v>0</v>
      </c>
      <c r="S138" s="24">
        <f>IFERROR(VLOOKUP(Olfa[[#This Row],[Código]],Vendas!A134:B295,2,FALSE),0)</f>
        <v>7</v>
      </c>
      <c r="T138" s="104" t="str">
        <f>IFERROR(Olfa[[#This Row],[V. No mes]]/Olfa[[#This Row],[Proj. de V. No mes]],"")</f>
        <v/>
      </c>
      <c r="U138" s="43">
        <f>VLOOKUP(Olfa[[#This Row],[Código]],Projeção[#All],14,FALSE)+VLOOKUP(Olfa[[#This Row],[Código]],Projeção[#All],13,FALSE)+VLOOKUP(Olfa[[#This Row],[Código]],Projeção[#All],12,FALSE)</f>
        <v>0</v>
      </c>
      <c r="V138" s="24">
        <f>IFERROR(VLOOKUP(Olfa[[#This Row],[Código]],Venda_3meses[],2,FALSE),0)</f>
        <v>7</v>
      </c>
      <c r="W138" s="44" t="str">
        <f>IFERROR(Olfa[[#This Row],[V. 3 meses]]/Olfa[[#This Row],[Proj. de V. 3 meses]],"")</f>
        <v/>
      </c>
      <c r="X138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38" s="107">
        <f>IFERROR(VLOOKUP(Olfa[[#This Row],[Código]],Venda_6meses[],2,FALSE),0)</f>
        <v>7</v>
      </c>
      <c r="Z138" s="108" t="str">
        <f>IFERROR(Olfa[[#This Row],[V. 6 meses]]/Olfa[[#This Row],[Proj. de V. 6 meses]],"")</f>
        <v/>
      </c>
      <c r="AA13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38" s="24">
        <f>IFERROR(VLOOKUP(Olfa[[#This Row],[Código]],Venda_12meses[],2,FALSE),0)</f>
        <v>7</v>
      </c>
      <c r="AC138" s="171">
        <f>Olfa[[#This Row],[V. 12 meses]]/6</f>
        <v>1.1666666666666667</v>
      </c>
      <c r="AD138" s="171">
        <f>Olfa[[#This Row],[Colunas1]]*0.2</f>
        <v>0.23333333333333336</v>
      </c>
      <c r="AE138" s="44" t="str">
        <f>IFERROR(Olfa[[#This Row],[V. 12 meses]]/Olfa[[#This Row],[Proj. de V. 12 meses]],"")</f>
        <v/>
      </c>
      <c r="AF138" s="22"/>
    </row>
    <row r="139" spans="1:32" x14ac:dyDescent="0.25">
      <c r="A139" s="22" t="s">
        <v>2129</v>
      </c>
      <c r="B139" s="66" t="str">
        <f>IF(OR(Olfa[[#This Row],[Status]]="Em linha",Olfa[[#This Row],[Status]]="Materia Prima",Olfa[[#This Row],[Status]]="Componente"),"ok",IF(Olfa[[#This Row],[Estoque+Importação]]&lt;1,"Tirar","ok"))</f>
        <v>ok</v>
      </c>
      <c r="C139" s="23">
        <v>33070665320</v>
      </c>
      <c r="D139" s="66" t="s">
        <v>3077</v>
      </c>
      <c r="E139" s="66" t="str">
        <f>VLOOKUP(Olfa[[#This Row],[Código]],BD_Produto[],3,FALSE)</f>
        <v>Estojo de Lâminas</v>
      </c>
      <c r="F139" s="66" t="str">
        <f>VLOOKUP(Olfa[[#This Row],[Código]],BD_Produto[],4,FALSE)</f>
        <v>Espátula</v>
      </c>
      <c r="G139" s="24">
        <v>60</v>
      </c>
      <c r="H139" s="28">
        <v>503</v>
      </c>
      <c r="I139" s="22" t="s">
        <v>2849</v>
      </c>
      <c r="J139" s="98"/>
      <c r="K139" s="24"/>
      <c r="L139" s="177">
        <f>IFERROR(VLOOKUP(Olfa[[#This Row],[Código]],Saldo[],3,FALSE),0)</f>
        <v>144</v>
      </c>
      <c r="M139" s="24">
        <f>SUM(Olfa[[#This Row],[Produção]:[Estoque]])</f>
        <v>144</v>
      </c>
      <c r="N139" s="177">
        <f>IFERROR(Olfa[[#This Row],[Estoque+Importação]]/Olfa[[#This Row],[Proj. de V. No prox. mes]],"Sem Projeção")</f>
        <v>120</v>
      </c>
      <c r="O139" s="177">
        <f>IF(OR(Olfa[[#This Row],[Status]]="Em Linha",Olfa[[#This Row],[Status]]="Componente",Olfa[[#This Row],[Status]]="Materia Prima"),Olfa[[#This Row],[Proj. de V. No prox. mes]]*10,"-")</f>
        <v>12</v>
      </c>
      <c r="P139" s="34">
        <f>IF(OR(Olfa[[#This Row],[Status]]="Em Linha",Olfa[[#This Row],[Status]]="Componente",Olfa[[#This Row],[Status]]="Materia Prima"),Olfa[[#This Row],[estoque 10 meses]]-Olfa[[#This Row],[Estoque+Importação]],0)</f>
        <v>-132</v>
      </c>
      <c r="Q139" s="75">
        <f>Olfa[[#This Row],[Colunas1]]+Olfa[[#This Row],[Colunas2]]</f>
        <v>1.2</v>
      </c>
      <c r="R139" s="43">
        <f>VLOOKUP(Olfa[[#This Row],[Código]],Projeção[#All],14,FALSE)</f>
        <v>0</v>
      </c>
      <c r="S139" s="24">
        <f>IFERROR(VLOOKUP(Olfa[[#This Row],[Código]],Vendas!A135:B296,2,FALSE),0)</f>
        <v>6</v>
      </c>
      <c r="T139" s="104" t="str">
        <f>IFERROR(Olfa[[#This Row],[V. No mes]]/Olfa[[#This Row],[Proj. de V. No mes]],"")</f>
        <v/>
      </c>
      <c r="U139" s="43">
        <f>VLOOKUP(Olfa[[#This Row],[Código]],Projeção[#All],14,FALSE)+VLOOKUP(Olfa[[#This Row],[Código]],Projeção[#All],13,FALSE)+VLOOKUP(Olfa[[#This Row],[Código]],Projeção[#All],12,FALSE)</f>
        <v>0</v>
      </c>
      <c r="V139" s="24">
        <f>IFERROR(VLOOKUP(Olfa[[#This Row],[Código]],Venda_3meses[],2,FALSE),0)</f>
        <v>6</v>
      </c>
      <c r="W139" s="44" t="str">
        <f>IFERROR(Olfa[[#This Row],[V. 3 meses]]/Olfa[[#This Row],[Proj. de V. 3 meses]],"")</f>
        <v/>
      </c>
      <c r="X139" s="107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39" s="107">
        <f>IFERROR(VLOOKUP(Olfa[[#This Row],[Código]],Venda_6meses[],2,FALSE),0)</f>
        <v>6</v>
      </c>
      <c r="Z139" s="108" t="str">
        <f>IFERROR(Olfa[[#This Row],[V. 6 meses]]/Olfa[[#This Row],[Proj. de V. 6 meses]],"")</f>
        <v/>
      </c>
      <c r="AA13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39" s="24">
        <f>IFERROR(VLOOKUP(Olfa[[#This Row],[Código]],Venda_12meses[],2,FALSE),0)</f>
        <v>6</v>
      </c>
      <c r="AC139" s="171">
        <f>Olfa[[#This Row],[V. 12 meses]]/6</f>
        <v>1</v>
      </c>
      <c r="AD139" s="171">
        <f>Olfa[[#This Row],[Colunas1]]*0.2</f>
        <v>0.2</v>
      </c>
      <c r="AE139" s="44" t="str">
        <f>IFERROR(Olfa[[#This Row],[V. 12 meses]]/Olfa[[#This Row],[Proj. de V. 12 meses]],"")</f>
        <v/>
      </c>
      <c r="AF139" s="22"/>
    </row>
    <row r="140" spans="1:32" x14ac:dyDescent="0.25">
      <c r="A140" s="22" t="s">
        <v>2129</v>
      </c>
      <c r="B140" s="22" t="str">
        <f>IF(OR(Olfa[[#This Row],[Status]]="Em linha",Olfa[[#This Row],[Status]]="Materia Prima",Olfa[[#This Row],[Status]]="Componente"),"ok",IF(Olfa[[#This Row],[Estoque+Importação]]&lt;1,"Tirar","ok"))</f>
        <v>ok</v>
      </c>
      <c r="C140" s="23">
        <v>33070614828</v>
      </c>
      <c r="D140" s="22" t="s">
        <v>645</v>
      </c>
      <c r="E140" s="22" t="str">
        <f>VLOOKUP(Olfa[[#This Row],[Código]],BD_Produto[],3,FALSE)</f>
        <v>Acessório</v>
      </c>
      <c r="F140" s="22" t="str">
        <f>VLOOKUP(Olfa[[#This Row],[Código]],BD_Produto[],4,FALSE)</f>
        <v>Rotativo</v>
      </c>
      <c r="G140" s="24" t="s">
        <v>1655</v>
      </c>
      <c r="H140" s="28">
        <v>0</v>
      </c>
      <c r="I140" s="22" t="s">
        <v>2849</v>
      </c>
      <c r="J140" s="98"/>
      <c r="K140" s="24"/>
      <c r="L140" s="177">
        <f>IFERROR(VLOOKUP(Olfa[[#This Row],[Código]],Saldo[],3,FALSE),0)</f>
        <v>87</v>
      </c>
      <c r="M140" s="24">
        <f>SUM(Olfa[[#This Row],[Produção]:[Estoque]])</f>
        <v>87</v>
      </c>
      <c r="N140" s="177">
        <f>IFERROR(Olfa[[#This Row],[Estoque+Importação]]/Olfa[[#This Row],[Proj. de V. No prox. mes]],"Sem Projeção")</f>
        <v>435.00000000000006</v>
      </c>
      <c r="O140" s="177">
        <f>IF(OR(Olfa[[#This Row],[Status]]="Em Linha",Olfa[[#This Row],[Status]]="Componente",Olfa[[#This Row],[Status]]="Materia Prima"),Olfa[[#This Row],[Proj. de V. No prox. mes]]*10,"-")</f>
        <v>1.9999999999999998</v>
      </c>
      <c r="P140" s="34">
        <f>IF(OR(Olfa[[#This Row],[Status]]="Em Linha",Olfa[[#This Row],[Status]]="Componente",Olfa[[#This Row],[Status]]="Materia Prima"),Olfa[[#This Row],[estoque 10 meses]]-Olfa[[#This Row],[Estoque+Importação]],0)</f>
        <v>-85</v>
      </c>
      <c r="Q140" s="75">
        <f>Olfa[[#This Row],[Colunas1]]+Olfa[[#This Row],[Colunas2]]</f>
        <v>0.19999999999999998</v>
      </c>
      <c r="R140" s="43">
        <f>VLOOKUP(Olfa[[#This Row],[Código]],Projeção[#All],14,FALSE)</f>
        <v>0</v>
      </c>
      <c r="S140" s="39">
        <f>IFERROR(VLOOKUP(Olfa[[#This Row],[Código]],Vendas!A136:B297,2,FALSE),0)</f>
        <v>0</v>
      </c>
      <c r="T140" s="44" t="str">
        <f>IFERROR(Olfa[[#This Row],[V. No mes]]/Olfa[[#This Row],[Proj. de V. No mes]],"")</f>
        <v/>
      </c>
      <c r="U140" s="43">
        <f>VLOOKUP(Olfa[[#This Row],[Código]],Projeção[#All],14,FALSE)+VLOOKUP(Olfa[[#This Row],[Código]],Projeção[#All],13,FALSE)+VLOOKUP(Olfa[[#This Row],[Código]],Projeção[#All],12,FALSE)</f>
        <v>0.19999999999999998</v>
      </c>
      <c r="V140" s="39">
        <f>IFERROR(VLOOKUP(Olfa[[#This Row],[Código]],Venda_3meses[],2,FALSE),0)</f>
        <v>1</v>
      </c>
      <c r="W140" s="44">
        <f>IFERROR(Olfa[[#This Row],[V. 3 meses]]/Olfa[[#This Row],[Proj. de V. 3 meses]],"")</f>
        <v>5</v>
      </c>
      <c r="X14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1.2</v>
      </c>
      <c r="Y140" s="101">
        <f>IFERROR(VLOOKUP(Olfa[[#This Row],[Código]],Venda_6meses[],2,FALSE),0)</f>
        <v>1</v>
      </c>
      <c r="Z140" s="45">
        <f>IFERROR(Olfa[[#This Row],[V. 6 meses]]/Olfa[[#This Row],[Proj. de V. 6 meses]],"")</f>
        <v>0.83333333333333337</v>
      </c>
      <c r="AA14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4.3999999999999995</v>
      </c>
      <c r="AB140" s="39">
        <f>IFERROR(VLOOKUP(Olfa[[#This Row],[Código]],Venda_12meses[],2,FALSE),0)</f>
        <v>1</v>
      </c>
      <c r="AC140" s="171">
        <f>Olfa[[#This Row],[V. 12 meses]]/6</f>
        <v>0.16666666666666666</v>
      </c>
      <c r="AD140" s="171">
        <f>Olfa[[#This Row],[Colunas1]]*0.2</f>
        <v>3.3333333333333333E-2</v>
      </c>
      <c r="AE140" s="44">
        <f>IFERROR(Olfa[[#This Row],[V. 12 meses]]/Olfa[[#This Row],[Proj. de V. 12 meses]],"")</f>
        <v>0.22727272727272729</v>
      </c>
      <c r="AF140" s="22"/>
    </row>
    <row r="141" spans="1:32" hidden="1" x14ac:dyDescent="0.25">
      <c r="A141" s="22" t="s">
        <v>2129</v>
      </c>
      <c r="B141" s="22" t="str">
        <f>IF(OR(Olfa[[#This Row],[Status]]="Em linha",Olfa[[#This Row],[Status]]="Materia Prima",Olfa[[#This Row],[Status]]="Componente"),"ok",IF(Olfa[[#This Row],[Estoque+Importação]]&lt;1,"Tirar","ok"))</f>
        <v>ok</v>
      </c>
      <c r="C141" s="23">
        <v>33070614736</v>
      </c>
      <c r="D141" s="22" t="s">
        <v>624</v>
      </c>
      <c r="E141" s="22" t="str">
        <f>VLOOKUP(Olfa[[#This Row],[Código]],BD_Produto[],3,FALSE)</f>
        <v>Estilete Especial</v>
      </c>
      <c r="F141" s="22" t="str">
        <f>VLOOKUP(Olfa[[#This Row],[Código]],BD_Produto[],4,FALSE)</f>
        <v>Especial</v>
      </c>
      <c r="G141" s="24" t="s">
        <v>1655</v>
      </c>
      <c r="H141" s="28" t="s">
        <v>1655</v>
      </c>
      <c r="I141" s="22" t="s">
        <v>2849</v>
      </c>
      <c r="J141" s="98"/>
      <c r="K141" s="24"/>
      <c r="L141" s="177">
        <f>IFERROR(VLOOKUP(Olfa[[#This Row],[Código]],Saldo[],3,FALSE),0)</f>
        <v>151</v>
      </c>
      <c r="M141" s="24">
        <f>SUM(Olfa[[#This Row],[Produção]:[Estoque]])</f>
        <v>151</v>
      </c>
      <c r="N141" s="177" t="str">
        <f>IFERROR(Olfa[[#This Row],[Estoque+Importação]]/Olfa[[#This Row],[Proj. de V. No prox. mes]],"Sem Projeção")</f>
        <v>Sem Projeção</v>
      </c>
      <c r="O141" s="177">
        <f>IF(OR(Olfa[[#This Row],[Status]]="Em Linha",Olfa[[#This Row],[Status]]="Componente",Olfa[[#This Row],[Status]]="Materia Prima"),Olfa[[#This Row],[Proj. de V. No prox. mes]]*10,"-")</f>
        <v>0</v>
      </c>
      <c r="P141" s="34">
        <f>IF(OR(Olfa[[#This Row],[Status]]="Em Linha",Olfa[[#This Row],[Status]]="Componente",Olfa[[#This Row],[Status]]="Materia Prima"),Olfa[[#This Row],[estoque 10 meses]]-Olfa[[#This Row],[Estoque+Importação]],0)</f>
        <v>-151</v>
      </c>
      <c r="Q141" s="75">
        <f>Olfa[[#This Row],[Colunas1]]+Olfa[[#This Row],[Colunas2]]</f>
        <v>0</v>
      </c>
      <c r="R141" s="43">
        <f>VLOOKUP(Olfa[[#This Row],[Código]],Projeção[#All],14,FALSE)</f>
        <v>0</v>
      </c>
      <c r="S141" s="39">
        <f>IFERROR(VLOOKUP(Olfa[[#This Row],[Código]],Vendas!A137:B298,2,FALSE),0)</f>
        <v>0</v>
      </c>
      <c r="T141" s="44" t="str">
        <f>IFERROR(Olfa[[#This Row],[V. No mes]]/Olfa[[#This Row],[Proj. de V. No mes]],"")</f>
        <v/>
      </c>
      <c r="U141" s="43">
        <f>VLOOKUP(Olfa[[#This Row],[Código]],Projeção[#All],14,FALSE)+VLOOKUP(Olfa[[#This Row],[Código]],Projeção[#All],13,FALSE)+VLOOKUP(Olfa[[#This Row],[Código]],Projeção[#All],12,FALSE)</f>
        <v>0</v>
      </c>
      <c r="V141" s="39">
        <f>IFERROR(VLOOKUP(Olfa[[#This Row],[Código]],Venda_3meses[],2,FALSE),0)</f>
        <v>0</v>
      </c>
      <c r="W141" s="44" t="str">
        <f>IFERROR(Olfa[[#This Row],[V. 3 meses]]/Olfa[[#This Row],[Proj. de V. 3 meses]],"")</f>
        <v/>
      </c>
      <c r="X14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1" s="101">
        <f>IFERROR(VLOOKUP(Olfa[[#This Row],[Código]],Venda_6meses[],2,FALSE),0)</f>
        <v>0</v>
      </c>
      <c r="Z141" s="45" t="str">
        <f>IFERROR(Olfa[[#This Row],[V. 6 meses]]/Olfa[[#This Row],[Proj. de V. 6 meses]],"")</f>
        <v/>
      </c>
      <c r="AA14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41" s="39">
        <f>IFERROR(VLOOKUP(Olfa[[#This Row],[Código]],Venda_12meses[],2,FALSE),0)</f>
        <v>0</v>
      </c>
      <c r="AC141" s="171">
        <f>Olfa[[#This Row],[V. 12 meses]]/6</f>
        <v>0</v>
      </c>
      <c r="AD141" s="171">
        <f>Olfa[[#This Row],[Colunas1]]*0.2</f>
        <v>0</v>
      </c>
      <c r="AE141" s="44" t="str">
        <f>IFERROR(Olfa[[#This Row],[V. 12 meses]]/Olfa[[#This Row],[Proj. de V. 12 meses]],"")</f>
        <v/>
      </c>
      <c r="AF141" s="22" t="s">
        <v>1663</v>
      </c>
    </row>
    <row r="142" spans="1:32" x14ac:dyDescent="0.25">
      <c r="A142" s="22" t="s">
        <v>2129</v>
      </c>
      <c r="B142" s="22" t="str">
        <f>IF(OR(Olfa[[#This Row],[Status]]="Em linha",Olfa[[#This Row],[Status]]="Materia Prima",Olfa[[#This Row],[Status]]="Componente"),"ok",IF(Olfa[[#This Row],[Estoque+Importação]]&lt;1,"Tirar","ok"))</f>
        <v>ok</v>
      </c>
      <c r="C142" s="23">
        <v>33070614735</v>
      </c>
      <c r="D142" s="22" t="s">
        <v>623</v>
      </c>
      <c r="E142" s="22" t="str">
        <f>VLOOKUP(Olfa[[#This Row],[Código]],BD_Produto[],3,FALSE)</f>
        <v>Estilete Especial</v>
      </c>
      <c r="F142" s="22" t="str">
        <f>VLOOKUP(Olfa[[#This Row],[Código]],BD_Produto[],4,FALSE)</f>
        <v>Especial</v>
      </c>
      <c r="G142" s="24" t="s">
        <v>1655</v>
      </c>
      <c r="H142" s="28" t="s">
        <v>1655</v>
      </c>
      <c r="I142" s="22" t="s">
        <v>2849</v>
      </c>
      <c r="J142" s="98"/>
      <c r="K142" s="24"/>
      <c r="L142" s="177">
        <f>IFERROR(VLOOKUP(Olfa[[#This Row],[Código]],Saldo[],3,FALSE),0)</f>
        <v>45</v>
      </c>
      <c r="M142" s="24">
        <f>SUM(Olfa[[#This Row],[Produção]:[Estoque]])</f>
        <v>45</v>
      </c>
      <c r="N142" s="177">
        <f>IFERROR(Olfa[[#This Row],[Estoque+Importação]]/Olfa[[#This Row],[Proj. de V. No prox. mes]],"Sem Projeção")</f>
        <v>18.75</v>
      </c>
      <c r="O142" s="177">
        <f>IF(OR(Olfa[[#This Row],[Status]]="Em Linha",Olfa[[#This Row],[Status]]="Componente",Olfa[[#This Row],[Status]]="Materia Prima"),Olfa[[#This Row],[Proj. de V. No prox. mes]]*10,"-")</f>
        <v>24</v>
      </c>
      <c r="P142" s="34">
        <f>IF(OR(Olfa[[#This Row],[Status]]="Em Linha",Olfa[[#This Row],[Status]]="Componente",Olfa[[#This Row],[Status]]="Materia Prima"),Olfa[[#This Row],[estoque 10 meses]]-Olfa[[#This Row],[Estoque+Importação]],0)</f>
        <v>-21</v>
      </c>
      <c r="Q142" s="75">
        <f>Olfa[[#This Row],[Colunas1]]+Olfa[[#This Row],[Colunas2]]</f>
        <v>2.4</v>
      </c>
      <c r="R142" s="43">
        <f>VLOOKUP(Olfa[[#This Row],[Código]],Projeção[#All],14,FALSE)</f>
        <v>0</v>
      </c>
      <c r="S142" s="39">
        <f>IFERROR(VLOOKUP(Olfa[[#This Row],[Código]],Vendas!A138:B299,2,FALSE),0)</f>
        <v>0</v>
      </c>
      <c r="T142" s="44" t="str">
        <f>IFERROR(Olfa[[#This Row],[V. No mes]]/Olfa[[#This Row],[Proj. de V. No mes]],"")</f>
        <v/>
      </c>
      <c r="U142" s="43">
        <f>VLOOKUP(Olfa[[#This Row],[Código]],Projeção[#All],14,FALSE)+VLOOKUP(Olfa[[#This Row],[Código]],Projeção[#All],13,FALSE)+VLOOKUP(Olfa[[#This Row],[Código]],Projeção[#All],12,FALSE)</f>
        <v>0</v>
      </c>
      <c r="V142" s="39">
        <f>IFERROR(VLOOKUP(Olfa[[#This Row],[Código]],Venda_3meses[],2,FALSE),0)</f>
        <v>12</v>
      </c>
      <c r="W142" s="44" t="str">
        <f>IFERROR(Olfa[[#This Row],[V. 3 meses]]/Olfa[[#This Row],[Proj. de V. 3 meses]],"")</f>
        <v/>
      </c>
      <c r="X14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2" s="101">
        <f>IFERROR(VLOOKUP(Olfa[[#This Row],[Código]],Venda_6meses[],2,FALSE),0)</f>
        <v>12</v>
      </c>
      <c r="Z142" s="45" t="str">
        <f>IFERROR(Olfa[[#This Row],[V. 6 meses]]/Olfa[[#This Row],[Proj. de V. 6 meses]],"")</f>
        <v/>
      </c>
      <c r="AA14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9.9999999999999992E-2</v>
      </c>
      <c r="AB142" s="39">
        <f>IFERROR(VLOOKUP(Olfa[[#This Row],[Código]],Venda_12meses[],2,FALSE),0)</f>
        <v>12</v>
      </c>
      <c r="AC142" s="171">
        <f>Olfa[[#This Row],[V. 12 meses]]/6</f>
        <v>2</v>
      </c>
      <c r="AD142" s="171">
        <f>Olfa[[#This Row],[Colunas1]]*0.2</f>
        <v>0.4</v>
      </c>
      <c r="AE142" s="44">
        <f>IFERROR(Olfa[[#This Row],[V. 12 meses]]/Olfa[[#This Row],[Proj. de V. 12 meses]],"")</f>
        <v>120.00000000000001</v>
      </c>
      <c r="AF142" s="22"/>
    </row>
    <row r="143" spans="1:32" hidden="1" x14ac:dyDescent="0.25">
      <c r="A143" s="22" t="s">
        <v>2129</v>
      </c>
      <c r="B143" s="22" t="str">
        <f>IF(OR(Olfa[[#This Row],[Status]]="Em linha",Olfa[[#This Row],[Status]]="Materia Prima",Olfa[[#This Row],[Status]]="Componente"),"ok",IF(Olfa[[#This Row],[Estoque+Importação]]&lt;1,"Tirar","ok"))</f>
        <v>ok</v>
      </c>
      <c r="C143" s="23">
        <v>33070614014</v>
      </c>
      <c r="D143" s="22" t="s">
        <v>595</v>
      </c>
      <c r="E143" s="22" t="str">
        <f>VLOOKUP(Olfa[[#This Row],[Código]],BD_Produto[],3,FALSE)</f>
        <v>Estojo de Lâminas</v>
      </c>
      <c r="F143" s="22" t="str">
        <f>VLOOKUP(Olfa[[#This Row],[Código]],BD_Produto[],4,FALSE)</f>
        <v>Rotativo</v>
      </c>
      <c r="G143" s="24">
        <v>240</v>
      </c>
      <c r="H143" s="28">
        <v>158</v>
      </c>
      <c r="I143" s="22" t="s">
        <v>2849</v>
      </c>
      <c r="J143" s="24"/>
      <c r="K143" s="24"/>
      <c r="L143" s="177">
        <f>IFERROR(VLOOKUP(Olfa[[#This Row],[Código]],Saldo[],3,FALSE),0)</f>
        <v>1003</v>
      </c>
      <c r="M143" s="24">
        <f>SUM(Olfa[[#This Row],[Produção]:[Estoque]])</f>
        <v>1003</v>
      </c>
      <c r="N143" s="177" t="str">
        <f>IFERROR(Olfa[[#This Row],[Estoque+Importação]]/Olfa[[#This Row],[Proj. de V. No prox. mes]],"Sem Projeção")</f>
        <v>Sem Projeção</v>
      </c>
      <c r="O143" s="177">
        <f>IF(OR(Olfa[[#This Row],[Status]]="Em Linha",Olfa[[#This Row],[Status]]="Componente",Olfa[[#This Row],[Status]]="Materia Prima"),Olfa[[#This Row],[Proj. de V. No prox. mes]]*10,"-")</f>
        <v>0</v>
      </c>
      <c r="P143" s="34">
        <f>IF(OR(Olfa[[#This Row],[Status]]="Em Linha",Olfa[[#This Row],[Status]]="Componente",Olfa[[#This Row],[Status]]="Materia Prima"),Olfa[[#This Row],[estoque 10 meses]]-Olfa[[#This Row],[Estoque+Importação]],0)</f>
        <v>-1003</v>
      </c>
      <c r="Q143" s="75">
        <f>Olfa[[#This Row],[Colunas1]]+Olfa[[#This Row],[Colunas2]]</f>
        <v>0</v>
      </c>
      <c r="R143" s="43">
        <f>VLOOKUP(Olfa[[#This Row],[Código]],Projeção[#All],14,FALSE)</f>
        <v>0</v>
      </c>
      <c r="S143" s="39">
        <f>IFERROR(VLOOKUP(Olfa[[#This Row],[Código]],Vendas!A139:B300,2,FALSE),0)</f>
        <v>0</v>
      </c>
      <c r="T143" s="44" t="str">
        <f>IFERROR(Olfa[[#This Row],[V. No mes]]/Olfa[[#This Row],[Proj. de V. No mes]],"")</f>
        <v/>
      </c>
      <c r="U143" s="43">
        <f>VLOOKUP(Olfa[[#This Row],[Código]],Projeção[#All],14,FALSE)+VLOOKUP(Olfa[[#This Row],[Código]],Projeção[#All],13,FALSE)+VLOOKUP(Olfa[[#This Row],[Código]],Projeção[#All],12,FALSE)</f>
        <v>0</v>
      </c>
      <c r="V143" s="39">
        <f>IFERROR(VLOOKUP(Olfa[[#This Row],[Código]],Venda_3meses[],2,FALSE),0)</f>
        <v>0</v>
      </c>
      <c r="W143" s="44" t="str">
        <f>IFERROR(Olfa[[#This Row],[V. 3 meses]]/Olfa[[#This Row],[Proj. de V. 3 meses]],"")</f>
        <v/>
      </c>
      <c r="X14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3" s="101">
        <f>IFERROR(VLOOKUP(Olfa[[#This Row],[Código]],Venda_6meses[],2,FALSE),0)</f>
        <v>0</v>
      </c>
      <c r="Z143" s="45" t="str">
        <f>IFERROR(Olfa[[#This Row],[V. 6 meses]]/Olfa[[#This Row],[Proj. de V. 6 meses]],"")</f>
        <v/>
      </c>
      <c r="AA14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0.99999999999999989</v>
      </c>
      <c r="AB143" s="39">
        <f>IFERROR(VLOOKUP(Olfa[[#This Row],[Código]],Venda_12meses[],2,FALSE),0)</f>
        <v>0</v>
      </c>
      <c r="AC143" s="171">
        <f>Olfa[[#This Row],[V. 12 meses]]/6</f>
        <v>0</v>
      </c>
      <c r="AD143" s="171">
        <f>Olfa[[#This Row],[Colunas1]]*0.2</f>
        <v>0</v>
      </c>
      <c r="AE143" s="44">
        <f>IFERROR(Olfa[[#This Row],[V. 12 meses]]/Olfa[[#This Row],[Proj. de V. 12 meses]],"")</f>
        <v>0</v>
      </c>
      <c r="AF143" s="22"/>
    </row>
    <row r="144" spans="1:32" hidden="1" x14ac:dyDescent="0.25">
      <c r="A144" s="22" t="s">
        <v>2129</v>
      </c>
      <c r="B144" s="22" t="str">
        <f>IF(OR(Olfa[[#This Row],[Status]]="Em linha",Olfa[[#This Row],[Status]]="Materia Prima",Olfa[[#This Row],[Status]]="Componente"),"ok",IF(Olfa[[#This Row],[Estoque+Importação]]&lt;1,"Tirar","ok"))</f>
        <v>ok</v>
      </c>
      <c r="C144" s="23">
        <v>33070614777</v>
      </c>
      <c r="D144" s="22" t="s">
        <v>641</v>
      </c>
      <c r="E144" s="22" t="str">
        <f>VLOOKUP(Olfa[[#This Row],[Código]],BD_Produto[],3,FALSE)</f>
        <v>Estojo de Lâminas</v>
      </c>
      <c r="F144" s="22" t="str">
        <f>VLOOKUP(Olfa[[#This Row],[Código]],BD_Produto[],4,FALSE)</f>
        <v>Especial</v>
      </c>
      <c r="G144" s="24">
        <v>240</v>
      </c>
      <c r="H144" s="28">
        <v>93</v>
      </c>
      <c r="I144" s="22" t="s">
        <v>2849</v>
      </c>
      <c r="J144" s="24"/>
      <c r="K144" s="24"/>
      <c r="L144" s="177">
        <f>IFERROR(VLOOKUP(Olfa[[#This Row],[Código]],Saldo[],3,FALSE),0)</f>
        <v>438</v>
      </c>
      <c r="M144" s="24">
        <f>SUM(Olfa[[#This Row],[Produção]:[Estoque]])</f>
        <v>438</v>
      </c>
      <c r="N144" s="177" t="str">
        <f>IFERROR(Olfa[[#This Row],[Estoque+Importação]]/Olfa[[#This Row],[Proj. de V. No prox. mes]],"Sem Projeção")</f>
        <v>Sem Projeção</v>
      </c>
      <c r="O144" s="177">
        <f>IF(OR(Olfa[[#This Row],[Status]]="Em Linha",Olfa[[#This Row],[Status]]="Componente",Olfa[[#This Row],[Status]]="Materia Prima"),Olfa[[#This Row],[Proj. de V. No prox. mes]]*10,"-")</f>
        <v>0</v>
      </c>
      <c r="P144" s="34">
        <f>IF(OR(Olfa[[#This Row],[Status]]="Em Linha",Olfa[[#This Row],[Status]]="Componente",Olfa[[#This Row],[Status]]="Materia Prima"),Olfa[[#This Row],[estoque 10 meses]]-Olfa[[#This Row],[Estoque+Importação]],0)</f>
        <v>-438</v>
      </c>
      <c r="Q144" s="75">
        <f>Olfa[[#This Row],[Colunas1]]+Olfa[[#This Row],[Colunas2]]</f>
        <v>0</v>
      </c>
      <c r="R144" s="43">
        <f>VLOOKUP(Olfa[[#This Row],[Código]],Projeção[#All],14,FALSE)</f>
        <v>0</v>
      </c>
      <c r="S144" s="39">
        <f>IFERROR(VLOOKUP(Olfa[[#This Row],[Código]],Vendas!A140:B301,2,FALSE),0)</f>
        <v>0</v>
      </c>
      <c r="T144" s="44" t="str">
        <f>IFERROR(Olfa[[#This Row],[V. No mes]]/Olfa[[#This Row],[Proj. de V. No mes]],"")</f>
        <v/>
      </c>
      <c r="U144" s="43">
        <f>VLOOKUP(Olfa[[#This Row],[Código]],Projeção[#All],14,FALSE)+VLOOKUP(Olfa[[#This Row],[Código]],Projeção[#All],13,FALSE)+VLOOKUP(Olfa[[#This Row],[Código]],Projeção[#All],12,FALSE)</f>
        <v>0</v>
      </c>
      <c r="V144" s="39">
        <f>IFERROR(VLOOKUP(Olfa[[#This Row],[Código]],Venda_3meses[],2,FALSE),0)</f>
        <v>0</v>
      </c>
      <c r="W144" s="44" t="str">
        <f>IFERROR(Olfa[[#This Row],[V. 3 meses]]/Olfa[[#This Row],[Proj. de V. 3 meses]],"")</f>
        <v/>
      </c>
      <c r="X14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4" s="101">
        <f>IFERROR(VLOOKUP(Olfa[[#This Row],[Código]],Venda_6meses[],2,FALSE),0)</f>
        <v>0</v>
      </c>
      <c r="Z144" s="45" t="str">
        <f>IFERROR(Olfa[[#This Row],[V. 6 meses]]/Olfa[[#This Row],[Proj. de V. 6 meses]],"")</f>
        <v/>
      </c>
      <c r="AA14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44" s="39">
        <f>IFERROR(VLOOKUP(Olfa[[#This Row],[Código]],Venda_12meses[],2,FALSE),0)</f>
        <v>0</v>
      </c>
      <c r="AC144" s="171">
        <f>Olfa[[#This Row],[V. 12 meses]]/6</f>
        <v>0</v>
      </c>
      <c r="AD144" s="171">
        <f>Olfa[[#This Row],[Colunas1]]*0.2</f>
        <v>0</v>
      </c>
      <c r="AE144" s="44" t="str">
        <f>IFERROR(Olfa[[#This Row],[V. 12 meses]]/Olfa[[#This Row],[Proj. de V. 12 meses]],"")</f>
        <v/>
      </c>
      <c r="AF144" s="22" t="s">
        <v>1664</v>
      </c>
    </row>
    <row r="145" spans="1:32" x14ac:dyDescent="0.25">
      <c r="A145" s="22" t="s">
        <v>1732</v>
      </c>
      <c r="B145" s="22" t="str">
        <f>IF(OR(Olfa[[#This Row],[Status]]="Em linha",Olfa[[#This Row],[Status]]="Materia Prima",Olfa[[#This Row],[Status]]="Componente"),"ok",IF(Olfa[[#This Row],[Estoque+Importação]]&lt;1,"Tirar","ok"))</f>
        <v>Tirar</v>
      </c>
      <c r="C145" s="23">
        <v>33070614725</v>
      </c>
      <c r="D145" s="22" t="s">
        <v>615</v>
      </c>
      <c r="E145" s="22" t="str">
        <f>VLOOKUP(Olfa[[#This Row],[Código]],BD_Produto[],3,FALSE)</f>
        <v>Estilete Especial</v>
      </c>
      <c r="F145" s="22" t="str">
        <f>VLOOKUP(Olfa[[#This Row],[Código]],BD_Produto[],4,FALSE)</f>
        <v>Especial</v>
      </c>
      <c r="G145" s="24">
        <v>60</v>
      </c>
      <c r="H145" s="28">
        <v>484</v>
      </c>
      <c r="I145" s="22" t="s">
        <v>2849</v>
      </c>
      <c r="J145" s="24"/>
      <c r="K145" s="24"/>
      <c r="L145" s="177">
        <f>IFERROR(VLOOKUP(Olfa[[#This Row],[Código]],Saldo[],3,FALSE),0)</f>
        <v>0</v>
      </c>
      <c r="M145" s="24">
        <f>SUM(Olfa[[#This Row],[Produção]:[Estoque]])</f>
        <v>0</v>
      </c>
      <c r="N145" s="177">
        <f>IFERROR(Olfa[[#This Row],[Estoque+Importação]]/Olfa[[#This Row],[Proj. de V. No prox. mes]],"Sem Projeção")</f>
        <v>0</v>
      </c>
      <c r="O145" s="177" t="str">
        <f>IF(OR(Olfa[[#This Row],[Status]]="Em Linha",Olfa[[#This Row],[Status]]="Componente",Olfa[[#This Row],[Status]]="Materia Prima"),Olfa[[#This Row],[Proj. de V. No prox. mes]]*10,"-")</f>
        <v>-</v>
      </c>
      <c r="P145" s="34">
        <f>IF(OR(Olfa[[#This Row],[Status]]="Em Linha",Olfa[[#This Row],[Status]]="Componente",Olfa[[#This Row],[Status]]="Materia Prima"),Olfa[[#This Row],[estoque 10 meses]]-Olfa[[#This Row],[Estoque+Importação]],0)</f>
        <v>0</v>
      </c>
      <c r="Q145" s="75">
        <f>Olfa[[#This Row],[Colunas1]]+Olfa[[#This Row],[Colunas2]]</f>
        <v>0.6</v>
      </c>
      <c r="R145" s="43">
        <f>VLOOKUP(Olfa[[#This Row],[Código]],Projeção[#All],14,FALSE)</f>
        <v>0</v>
      </c>
      <c r="S145" s="39">
        <f>IFERROR(VLOOKUP(Olfa[[#This Row],[Código]],Vendas!A141:B302,2,FALSE),0)</f>
        <v>0</v>
      </c>
      <c r="T145" s="44" t="str">
        <f>IFERROR(Olfa[[#This Row],[V. No mes]]/Olfa[[#This Row],[Proj. de V. No mes]],"")</f>
        <v/>
      </c>
      <c r="U145" s="43">
        <f>VLOOKUP(Olfa[[#This Row],[Código]],Projeção[#All],14,FALSE)+VLOOKUP(Olfa[[#This Row],[Código]],Projeção[#All],13,FALSE)+VLOOKUP(Olfa[[#This Row],[Código]],Projeção[#All],12,FALSE)</f>
        <v>0</v>
      </c>
      <c r="V145" s="39">
        <f>IFERROR(VLOOKUP(Olfa[[#This Row],[Código]],Venda_3meses[],2,FALSE),0)</f>
        <v>0</v>
      </c>
      <c r="W145" s="44" t="str">
        <f>IFERROR(Olfa[[#This Row],[V. 3 meses]]/Olfa[[#This Row],[Proj. de V. 3 meses]],"")</f>
        <v/>
      </c>
      <c r="X14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5" s="101">
        <f>IFERROR(VLOOKUP(Olfa[[#This Row],[Código]],Venda_6meses[],2,FALSE),0)</f>
        <v>3</v>
      </c>
      <c r="Z145" s="45" t="str">
        <f>IFERROR(Olfa[[#This Row],[V. 6 meses]]/Olfa[[#This Row],[Proj. de V. 6 meses]],"")</f>
        <v/>
      </c>
      <c r="AA14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45" s="39">
        <f>IFERROR(VLOOKUP(Olfa[[#This Row],[Código]],Venda_12meses[],2,FALSE),0)</f>
        <v>3</v>
      </c>
      <c r="AC145" s="171">
        <f>Olfa[[#This Row],[V. 12 meses]]/6</f>
        <v>0.5</v>
      </c>
      <c r="AD145" s="171">
        <f>Olfa[[#This Row],[Colunas1]]*0.2</f>
        <v>0.1</v>
      </c>
      <c r="AE145" s="44" t="str">
        <f>IFERROR(Olfa[[#This Row],[V. 12 meses]]/Olfa[[#This Row],[Proj. de V. 12 meses]],"")</f>
        <v/>
      </c>
      <c r="AF145" s="22"/>
    </row>
    <row r="146" spans="1:32" hidden="1" x14ac:dyDescent="0.25">
      <c r="A146" s="22" t="s">
        <v>2129</v>
      </c>
      <c r="B146" s="22" t="str">
        <f>IF(OR(Olfa[[#This Row],[Status]]="Em linha",Olfa[[#This Row],[Status]]="Materia Prima",Olfa[[#This Row],[Status]]="Componente"),"ok",IF(Olfa[[#This Row],[Estoque+Importação]]&lt;1,"Tirar","ok"))</f>
        <v>ok</v>
      </c>
      <c r="C146" s="23">
        <v>33070614013</v>
      </c>
      <c r="D146" s="22" t="s">
        <v>594</v>
      </c>
      <c r="E146" s="22" t="str">
        <f>VLOOKUP(Olfa[[#This Row],[Código]],BD_Produto[],3,FALSE)</f>
        <v>Estojo de Lâminas</v>
      </c>
      <c r="F146" s="22" t="str">
        <f>VLOOKUP(Olfa[[#This Row],[Código]],BD_Produto[],4,FALSE)</f>
        <v>Espátula</v>
      </c>
      <c r="G146" s="24">
        <v>200</v>
      </c>
      <c r="H146" s="28">
        <v>200</v>
      </c>
      <c r="I146" s="22" t="s">
        <v>2849</v>
      </c>
      <c r="J146" s="24"/>
      <c r="K146" s="24"/>
      <c r="L146" s="177">
        <f>IFERROR(VLOOKUP(Olfa[[#This Row],[Código]],Saldo[],3,FALSE),0)</f>
        <v>124</v>
      </c>
      <c r="M146" s="24">
        <f>SUM(Olfa[[#This Row],[Produção]:[Estoque]])</f>
        <v>124</v>
      </c>
      <c r="N146" s="177" t="str">
        <f>IFERROR(Olfa[[#This Row],[Estoque+Importação]]/Olfa[[#This Row],[Proj. de V. No prox. mes]],"Sem Projeção")</f>
        <v>Sem Projeção</v>
      </c>
      <c r="O146" s="177">
        <f>IF(OR(Olfa[[#This Row],[Status]]="Em Linha",Olfa[[#This Row],[Status]]="Componente",Olfa[[#This Row],[Status]]="Materia Prima"),Olfa[[#This Row],[Proj. de V. No prox. mes]]*10,"-")</f>
        <v>0</v>
      </c>
      <c r="P146" s="34">
        <f>IF(OR(Olfa[[#This Row],[Status]]="Em Linha",Olfa[[#This Row],[Status]]="Componente",Olfa[[#This Row],[Status]]="Materia Prima"),Olfa[[#This Row],[estoque 10 meses]]-Olfa[[#This Row],[Estoque+Importação]],0)</f>
        <v>-124</v>
      </c>
      <c r="Q146" s="75">
        <f>Olfa[[#This Row],[Colunas1]]+Olfa[[#This Row],[Colunas2]]</f>
        <v>0</v>
      </c>
      <c r="R146" s="43">
        <f>VLOOKUP(Olfa[[#This Row],[Código]],Projeção[#All],14,FALSE)</f>
        <v>0</v>
      </c>
      <c r="S146" s="39">
        <f>IFERROR(VLOOKUP(Olfa[[#This Row],[Código]],Vendas!A142:B303,2,FALSE),0)</f>
        <v>0</v>
      </c>
      <c r="T146" s="44" t="str">
        <f>IFERROR(Olfa[[#This Row],[V. No mes]]/Olfa[[#This Row],[Proj. de V. No mes]],"")</f>
        <v/>
      </c>
      <c r="U146" s="43">
        <f>VLOOKUP(Olfa[[#This Row],[Código]],Projeção[#All],14,FALSE)+VLOOKUP(Olfa[[#This Row],[Código]],Projeção[#All],13,FALSE)+VLOOKUP(Olfa[[#This Row],[Código]],Projeção[#All],12,FALSE)</f>
        <v>0</v>
      </c>
      <c r="V146" s="39">
        <f>IFERROR(VLOOKUP(Olfa[[#This Row],[Código]],Venda_3meses[],2,FALSE),0)</f>
        <v>0</v>
      </c>
      <c r="W146" s="44" t="str">
        <f>IFERROR(Olfa[[#This Row],[V. 3 meses]]/Olfa[[#This Row],[Proj. de V. 3 meses]],"")</f>
        <v/>
      </c>
      <c r="X14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6" s="101">
        <f>IFERROR(VLOOKUP(Olfa[[#This Row],[Código]],Venda_6meses[],2,FALSE),0)</f>
        <v>0</v>
      </c>
      <c r="Z146" s="45" t="str">
        <f>IFERROR(Olfa[[#This Row],[V. 6 meses]]/Olfa[[#This Row],[Proj. de V. 6 meses]],"")</f>
        <v/>
      </c>
      <c r="AA14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6.6666666666666666E-2</v>
      </c>
      <c r="AB146" s="39">
        <f>IFERROR(VLOOKUP(Olfa[[#This Row],[Código]],Venda_12meses[],2,FALSE),0)</f>
        <v>0</v>
      </c>
      <c r="AC146" s="171">
        <f>Olfa[[#This Row],[V. 12 meses]]/6</f>
        <v>0</v>
      </c>
      <c r="AD146" s="171">
        <f>Olfa[[#This Row],[Colunas1]]*0.2</f>
        <v>0</v>
      </c>
      <c r="AE146" s="44">
        <f>IFERROR(Olfa[[#This Row],[V. 12 meses]]/Olfa[[#This Row],[Proj. de V. 12 meses]],"")</f>
        <v>0</v>
      </c>
      <c r="AF146" s="22"/>
    </row>
    <row r="147" spans="1:32" x14ac:dyDescent="0.25">
      <c r="A147" s="22" t="s">
        <v>1732</v>
      </c>
      <c r="B147" s="22" t="str">
        <f>IF(OR(Olfa[[#This Row],[Status]]="Em linha",Olfa[[#This Row],[Status]]="Materia Prima",Olfa[[#This Row],[Status]]="Componente"),"ok",IF(Olfa[[#This Row],[Estoque+Importação]]&lt;1,"Tirar","ok"))</f>
        <v>ok</v>
      </c>
      <c r="C147" s="23">
        <v>33070661990</v>
      </c>
      <c r="D147" s="22" t="s">
        <v>679</v>
      </c>
      <c r="E147" s="22" t="str">
        <f>VLOOKUP(Olfa[[#This Row],[Código]],BD_Produto[],3,FALSE)</f>
        <v>Estilete Heavy Duty</v>
      </c>
      <c r="F147" s="22" t="str">
        <f>VLOOKUP(Olfa[[#This Row],[Código]],BD_Produto[],4,FALSE)</f>
        <v>Heavy Duty</v>
      </c>
      <c r="G147" s="24">
        <v>120</v>
      </c>
      <c r="H147" s="28">
        <v>242</v>
      </c>
      <c r="I147" s="22" t="s">
        <v>2849</v>
      </c>
      <c r="J147" s="24"/>
      <c r="K147" s="24"/>
      <c r="L147" s="177">
        <f>IFERROR(VLOOKUP(Olfa[[#This Row],[Código]],Saldo[],3,FALSE),0)</f>
        <v>4</v>
      </c>
      <c r="M147" s="24">
        <f>SUM(Olfa[[#This Row],[Produção]:[Estoque]])</f>
        <v>4</v>
      </c>
      <c r="N147" s="177" t="str">
        <f>IFERROR(Olfa[[#This Row],[Estoque+Importação]]/Olfa[[#This Row],[Proj. de V. No prox. mes]],"Sem Projeção")</f>
        <v>Sem Projeção</v>
      </c>
      <c r="O147" s="177" t="str">
        <f>IF(OR(Olfa[[#This Row],[Status]]="Em Linha",Olfa[[#This Row],[Status]]="Componente",Olfa[[#This Row],[Status]]="Materia Prima"),Olfa[[#This Row],[Proj. de V. No prox. mes]]*10,"-")</f>
        <v>-</v>
      </c>
      <c r="P147" s="34">
        <f>IF(OR(Olfa[[#This Row],[Status]]="Em Linha",Olfa[[#This Row],[Status]]="Componente",Olfa[[#This Row],[Status]]="Materia Prima"),Olfa[[#This Row],[estoque 10 meses]]-Olfa[[#This Row],[Estoque+Importação]],0)</f>
        <v>0</v>
      </c>
      <c r="Q147" s="75">
        <f>Olfa[[#This Row],[Colunas1]]+Olfa[[#This Row],[Colunas2]]</f>
        <v>0</v>
      </c>
      <c r="R147" s="43">
        <f>VLOOKUP(Olfa[[#This Row],[Código]],Projeção[#All],14,FALSE)</f>
        <v>0.16666666666666666</v>
      </c>
      <c r="S147" s="39">
        <f>IFERROR(VLOOKUP(Olfa[[#This Row],[Código]],Vendas!A143:B304,2,FALSE),0)</f>
        <v>0</v>
      </c>
      <c r="T147" s="44">
        <f>IFERROR(Olfa[[#This Row],[V. No mes]]/Olfa[[#This Row],[Proj. de V. No mes]],"")</f>
        <v>0</v>
      </c>
      <c r="U147" s="43">
        <f>VLOOKUP(Olfa[[#This Row],[Código]],Projeção[#All],14,FALSE)+VLOOKUP(Olfa[[#This Row],[Código]],Projeção[#All],13,FALSE)+VLOOKUP(Olfa[[#This Row],[Código]],Projeção[#All],12,FALSE)</f>
        <v>0.5</v>
      </c>
      <c r="V147" s="39">
        <f>IFERROR(VLOOKUP(Olfa[[#This Row],[Código]],Venda_3meses[],2,FALSE),0)</f>
        <v>0</v>
      </c>
      <c r="W147" s="44">
        <f>IFERROR(Olfa[[#This Row],[V. 3 meses]]/Olfa[[#This Row],[Proj. de V. 3 meses]],"")</f>
        <v>0</v>
      </c>
      <c r="X14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0.99999999999999989</v>
      </c>
      <c r="Y147" s="101">
        <f>IFERROR(VLOOKUP(Olfa[[#This Row],[Código]],Venda_6meses[],2,FALSE),0)</f>
        <v>0</v>
      </c>
      <c r="Z147" s="45">
        <f>IFERROR(Olfa[[#This Row],[V. 6 meses]]/Olfa[[#This Row],[Proj. de V. 6 meses]],"")</f>
        <v>0</v>
      </c>
      <c r="AA14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14</v>
      </c>
      <c r="AB147" s="39">
        <f>IFERROR(VLOOKUP(Olfa[[#This Row],[Código]],Venda_12meses[],2,FALSE),0)</f>
        <v>0</v>
      </c>
      <c r="AC147" s="171">
        <f>Olfa[[#This Row],[V. 12 meses]]/6</f>
        <v>0</v>
      </c>
      <c r="AD147" s="171">
        <f>Olfa[[#This Row],[Colunas1]]*0.2</f>
        <v>0</v>
      </c>
      <c r="AE147" s="44">
        <f>IFERROR(Olfa[[#This Row],[V. 12 meses]]/Olfa[[#This Row],[Proj. de V. 12 meses]],"")</f>
        <v>0</v>
      </c>
      <c r="AF147" s="22"/>
    </row>
    <row r="148" spans="1:32" x14ac:dyDescent="0.25">
      <c r="A148" s="22" t="s">
        <v>1732</v>
      </c>
      <c r="B148" s="22" t="str">
        <f>IF(OR(Olfa[[#This Row],[Status]]="Em linha",Olfa[[#This Row],[Status]]="Materia Prima",Olfa[[#This Row],[Status]]="Componente"),"ok",IF(Olfa[[#This Row],[Estoque+Importação]]&lt;1,"Tirar","ok"))</f>
        <v>Tirar</v>
      </c>
      <c r="C148" s="23">
        <v>33070664014</v>
      </c>
      <c r="D148" s="22" t="s">
        <v>1206</v>
      </c>
      <c r="E148" s="22" t="str">
        <f>VLOOKUP(Olfa[[#This Row],[Código]],BD_Produto[],3,FALSE)</f>
        <v>Kit</v>
      </c>
      <c r="F148" s="22" t="str">
        <f>VLOOKUP(Olfa[[#This Row],[Código]],BD_Produto[],4,FALSE)</f>
        <v>Rotativo</v>
      </c>
      <c r="G148" s="24">
        <v>25</v>
      </c>
      <c r="H148" s="28"/>
      <c r="I148" s="22" t="s">
        <v>2849</v>
      </c>
      <c r="J148" s="24"/>
      <c r="K148" s="24"/>
      <c r="L148" s="177">
        <f>IFERROR(VLOOKUP(Olfa[[#This Row],[Código]],Saldo[],3,FALSE),0)</f>
        <v>0</v>
      </c>
      <c r="M148" s="24">
        <f>SUM(Olfa[[#This Row],[Produção]:[Estoque]])</f>
        <v>0</v>
      </c>
      <c r="N148" s="177" t="str">
        <f>IFERROR(Olfa[[#This Row],[Estoque+Importação]]/Olfa[[#This Row],[Proj. de V. No prox. mes]],"Sem Projeção")</f>
        <v>Sem Projeção</v>
      </c>
      <c r="O148" s="177" t="str">
        <f>IF(OR(Olfa[[#This Row],[Status]]="Em Linha",Olfa[[#This Row],[Status]]="Componente",Olfa[[#This Row],[Status]]="Materia Prima"),Olfa[[#This Row],[Proj. de V. No prox. mes]]*10,"-")</f>
        <v>-</v>
      </c>
      <c r="P148" s="34">
        <f>IF(OR(Olfa[[#This Row],[Status]]="Em Linha",Olfa[[#This Row],[Status]]="Componente",Olfa[[#This Row],[Status]]="Materia Prima"),Olfa[[#This Row],[estoque 10 meses]]-Olfa[[#This Row],[Estoque+Importação]],0)</f>
        <v>0</v>
      </c>
      <c r="Q148" s="75">
        <f>Olfa[[#This Row],[Colunas1]]+Olfa[[#This Row],[Colunas2]]</f>
        <v>0</v>
      </c>
      <c r="R148" s="43">
        <f>VLOOKUP(Olfa[[#This Row],[Código]],Projeção[#All],14,FALSE)</f>
        <v>0</v>
      </c>
      <c r="S148" s="39">
        <f>IFERROR(VLOOKUP(Olfa[[#This Row],[Código]],Vendas!A144:B305,2,FALSE),0)</f>
        <v>0</v>
      </c>
      <c r="T148" s="44" t="str">
        <f>IFERROR(Olfa[[#This Row],[V. No mes]]/Olfa[[#This Row],[Proj. de V. No mes]],"")</f>
        <v/>
      </c>
      <c r="U148" s="43">
        <f>VLOOKUP(Olfa[[#This Row],[Código]],Projeção[#All],14,FALSE)+VLOOKUP(Olfa[[#This Row],[Código]],Projeção[#All],13,FALSE)+VLOOKUP(Olfa[[#This Row],[Código]],Projeção[#All],12,FALSE)</f>
        <v>0.56666666666666665</v>
      </c>
      <c r="V148" s="39">
        <f>IFERROR(VLOOKUP(Olfa[[#This Row],[Código]],Venda_3meses[],2,FALSE),0)</f>
        <v>0</v>
      </c>
      <c r="W148" s="44">
        <f>IFERROR(Olfa[[#This Row],[V. 3 meses]]/Olfa[[#This Row],[Proj. de V. 3 meses]],"")</f>
        <v>0</v>
      </c>
      <c r="X14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42.93333333333333</v>
      </c>
      <c r="Y148" s="101">
        <f>IFERROR(VLOOKUP(Olfa[[#This Row],[Código]],Venda_6meses[],2,FALSE),0)</f>
        <v>0</v>
      </c>
      <c r="Z148" s="45">
        <f>IFERROR(Olfa[[#This Row],[V. 6 meses]]/Olfa[[#This Row],[Proj. de V. 6 meses]],"")</f>
        <v>0</v>
      </c>
      <c r="AA14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137.4</v>
      </c>
      <c r="AB148" s="39">
        <f>IFERROR(VLOOKUP(Olfa[[#This Row],[Código]],Venda_12meses[],2,FALSE),0)</f>
        <v>0</v>
      </c>
      <c r="AC148" s="171">
        <f>Olfa[[#This Row],[V. 12 meses]]/6</f>
        <v>0</v>
      </c>
      <c r="AD148" s="171">
        <f>Olfa[[#This Row],[Colunas1]]*0.2</f>
        <v>0</v>
      </c>
      <c r="AE148" s="44">
        <f>IFERROR(Olfa[[#This Row],[V. 12 meses]]/Olfa[[#This Row],[Proj. de V. 12 meses]],"")</f>
        <v>0</v>
      </c>
      <c r="AF148" s="22"/>
    </row>
    <row r="149" spans="1:32" x14ac:dyDescent="0.25">
      <c r="A149" s="22" t="s">
        <v>1732</v>
      </c>
      <c r="B149" s="22" t="str">
        <f>IF(OR(Olfa[[#This Row],[Status]]="Em linha",Olfa[[#This Row],[Status]]="Materia Prima",Olfa[[#This Row],[Status]]="Componente"),"ok",IF(Olfa[[#This Row],[Estoque+Importação]]&lt;1,"Tirar","ok"))</f>
        <v>Tirar</v>
      </c>
      <c r="C149" s="23">
        <v>33070661991</v>
      </c>
      <c r="D149" s="22" t="s">
        <v>1457</v>
      </c>
      <c r="E149" s="22" t="str">
        <f>VLOOKUP(Olfa[[#This Row],[Código]],BD_Produto[],3,FALSE)</f>
        <v>Estilete de Segurança</v>
      </c>
      <c r="F149" s="22" t="str">
        <f>VLOOKUP(Olfa[[#This Row],[Código]],BD_Produto[],4,FALSE)</f>
        <v>Segurança</v>
      </c>
      <c r="G149" s="24">
        <v>60</v>
      </c>
      <c r="H149" s="28">
        <v>243</v>
      </c>
      <c r="I149" s="22" t="s">
        <v>2849</v>
      </c>
      <c r="J149" s="24"/>
      <c r="K149" s="24"/>
      <c r="L149" s="177">
        <f>IFERROR(VLOOKUP(Olfa[[#This Row],[Código]],Saldo[],3,FALSE),0)</f>
        <v>0</v>
      </c>
      <c r="M149" s="24">
        <f>SUM(Olfa[[#This Row],[Produção]:[Estoque]])</f>
        <v>0</v>
      </c>
      <c r="N149" s="177" t="str">
        <f>IFERROR(Olfa[[#This Row],[Estoque+Importação]]/Olfa[[#This Row],[Proj. de V. No prox. mes]],"Sem Projeção")</f>
        <v>Sem Projeção</v>
      </c>
      <c r="O149" s="177" t="str">
        <f>IF(OR(Olfa[[#This Row],[Status]]="Em Linha",Olfa[[#This Row],[Status]]="Componente",Olfa[[#This Row],[Status]]="Materia Prima"),Olfa[[#This Row],[Proj. de V. No prox. mes]]*10,"-")</f>
        <v>-</v>
      </c>
      <c r="P149" s="34">
        <f>IF(OR(Olfa[[#This Row],[Status]]="Em Linha",Olfa[[#This Row],[Status]]="Componente",Olfa[[#This Row],[Status]]="Materia Prima"),Olfa[[#This Row],[estoque 10 meses]]-Olfa[[#This Row],[Estoque+Importação]],0)</f>
        <v>0</v>
      </c>
      <c r="Q149" s="75">
        <f>Olfa[[#This Row],[Colunas1]]+Olfa[[#This Row],[Colunas2]]</f>
        <v>0</v>
      </c>
      <c r="R149" s="43">
        <f>VLOOKUP(Olfa[[#This Row],[Código]],Projeção[#All],14,FALSE)</f>
        <v>0</v>
      </c>
      <c r="S149" s="39">
        <f>IFERROR(VLOOKUP(Olfa[[#This Row],[Código]],Vendas!A145:B306,2,FALSE),0)</f>
        <v>0</v>
      </c>
      <c r="T149" s="44" t="str">
        <f>IFERROR(Olfa[[#This Row],[V. No mes]]/Olfa[[#This Row],[Proj. de V. No mes]],"")</f>
        <v/>
      </c>
      <c r="U149" s="43">
        <f>VLOOKUP(Olfa[[#This Row],[Código]],Projeção[#All],14,FALSE)+VLOOKUP(Olfa[[#This Row],[Código]],Projeção[#All],13,FALSE)+VLOOKUP(Olfa[[#This Row],[Código]],Projeção[#All],12,FALSE)</f>
        <v>0</v>
      </c>
      <c r="V149" s="39">
        <f>IFERROR(VLOOKUP(Olfa[[#This Row],[Código]],Venda_3meses[],2,FALSE),0)</f>
        <v>0</v>
      </c>
      <c r="W149" s="44" t="str">
        <f>IFERROR(Olfa[[#This Row],[V. 3 meses]]/Olfa[[#This Row],[Proj. de V. 3 meses]],"")</f>
        <v/>
      </c>
      <c r="X14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49" s="101">
        <f>IFERROR(VLOOKUP(Olfa[[#This Row],[Código]],Venda_6meses[],2,FALSE),0)</f>
        <v>0</v>
      </c>
      <c r="Z149" s="45" t="str">
        <f>IFERROR(Olfa[[#This Row],[V. 6 meses]]/Olfa[[#This Row],[Proj. de V. 6 meses]],"")</f>
        <v/>
      </c>
      <c r="AA14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49" s="39">
        <f>IFERROR(VLOOKUP(Olfa[[#This Row],[Código]],Venda_12meses[],2,FALSE),0)</f>
        <v>0</v>
      </c>
      <c r="AC149" s="171">
        <f>Olfa[[#This Row],[V. 12 meses]]/6</f>
        <v>0</v>
      </c>
      <c r="AD149" s="171">
        <f>Olfa[[#This Row],[Colunas1]]*0.2</f>
        <v>0</v>
      </c>
      <c r="AE149" s="44" t="str">
        <f>IFERROR(Olfa[[#This Row],[V. 12 meses]]/Olfa[[#This Row],[Proj. de V. 12 meses]],"")</f>
        <v/>
      </c>
      <c r="AF149" s="22"/>
    </row>
    <row r="150" spans="1:32" x14ac:dyDescent="0.25">
      <c r="A150" s="22" t="s">
        <v>1732</v>
      </c>
      <c r="B150" s="22" t="str">
        <f>IF(OR(Olfa[[#This Row],[Status]]="Em linha",Olfa[[#This Row],[Status]]="Materia Prima",Olfa[[#This Row],[Status]]="Componente"),"ok",IF(Olfa[[#This Row],[Estoque+Importação]]&lt;1,"Tirar","ok"))</f>
        <v>Tirar</v>
      </c>
      <c r="C150" s="23">
        <v>33070660566</v>
      </c>
      <c r="D150" s="22" t="s">
        <v>1456</v>
      </c>
      <c r="E150" s="22" t="str">
        <f>VLOOKUP(Olfa[[#This Row],[Código]],BD_Produto[],3,FALSE)</f>
        <v>Estilete Rotativo</v>
      </c>
      <c r="F150" s="22" t="str">
        <f>VLOOKUP(Olfa[[#This Row],[Código]],BD_Produto[],4,FALSE)</f>
        <v>Rotativo</v>
      </c>
      <c r="G150" s="24" t="s">
        <v>1655</v>
      </c>
      <c r="H150" s="28" t="s">
        <v>1655</v>
      </c>
      <c r="I150" s="22" t="s">
        <v>2849</v>
      </c>
      <c r="J150" s="24"/>
      <c r="K150" s="24"/>
      <c r="L150" s="177">
        <f>IFERROR(VLOOKUP(Olfa[[#This Row],[Código]],Saldo[],3,FALSE),0)</f>
        <v>0</v>
      </c>
      <c r="M150" s="24">
        <f>SUM(Olfa[[#This Row],[Produção]:[Estoque]])</f>
        <v>0</v>
      </c>
      <c r="N150" s="177" t="str">
        <f>IFERROR(Olfa[[#This Row],[Estoque+Importação]]/Olfa[[#This Row],[Proj. de V. No prox. mes]],"Sem Projeção")</f>
        <v>Sem Projeção</v>
      </c>
      <c r="O150" s="177" t="str">
        <f>IF(OR(Olfa[[#This Row],[Status]]="Em Linha",Olfa[[#This Row],[Status]]="Componente",Olfa[[#This Row],[Status]]="Materia Prima"),Olfa[[#This Row],[Proj. de V. No prox. mes]]*10,"-")</f>
        <v>-</v>
      </c>
      <c r="P150" s="34">
        <f>IF(OR(Olfa[[#This Row],[Status]]="Em Linha",Olfa[[#This Row],[Status]]="Componente",Olfa[[#This Row],[Status]]="Materia Prima"),Olfa[[#This Row],[estoque 10 meses]]-Olfa[[#This Row],[Estoque+Importação]],0)</f>
        <v>0</v>
      </c>
      <c r="Q150" s="75">
        <f>Olfa[[#This Row],[Colunas1]]+Olfa[[#This Row],[Colunas2]]</f>
        <v>0</v>
      </c>
      <c r="R150" s="43">
        <f>VLOOKUP(Olfa[[#This Row],[Código]],Projeção[#All],14,FALSE)</f>
        <v>0</v>
      </c>
      <c r="S150" s="39">
        <f>IFERROR(VLOOKUP(Olfa[[#This Row],[Código]],Vendas!A146:B307,2,FALSE),0)</f>
        <v>0</v>
      </c>
      <c r="T150" s="44" t="str">
        <f>IFERROR(Olfa[[#This Row],[V. No mes]]/Olfa[[#This Row],[Proj. de V. No mes]],"")</f>
        <v/>
      </c>
      <c r="U150" s="43">
        <f>VLOOKUP(Olfa[[#This Row],[Código]],Projeção[#All],14,FALSE)+VLOOKUP(Olfa[[#This Row],[Código]],Projeção[#All],13,FALSE)+VLOOKUP(Olfa[[#This Row],[Código]],Projeção[#All],12,FALSE)</f>
        <v>0</v>
      </c>
      <c r="V150" s="39">
        <f>IFERROR(VLOOKUP(Olfa[[#This Row],[Código]],Venda_3meses[],2,FALSE),0)</f>
        <v>0</v>
      </c>
      <c r="W150" s="44" t="str">
        <f>IFERROR(Olfa[[#This Row],[V. 3 meses]]/Olfa[[#This Row],[Proj. de V. 3 meses]],"")</f>
        <v/>
      </c>
      <c r="X15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0" s="101">
        <f>IFERROR(VLOOKUP(Olfa[[#This Row],[Código]],Venda_6meses[],2,FALSE),0)</f>
        <v>0</v>
      </c>
      <c r="Z150" s="45" t="str">
        <f>IFERROR(Olfa[[#This Row],[V. 6 meses]]/Olfa[[#This Row],[Proj. de V. 6 meses]],"")</f>
        <v/>
      </c>
      <c r="AA15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0" s="39">
        <f>IFERROR(VLOOKUP(Olfa[[#This Row],[Código]],Venda_12meses[],2,FALSE),0)</f>
        <v>0</v>
      </c>
      <c r="AC150" s="171">
        <f>Olfa[[#This Row],[V. 12 meses]]/6</f>
        <v>0</v>
      </c>
      <c r="AD150" s="171">
        <f>Olfa[[#This Row],[Colunas1]]*0.2</f>
        <v>0</v>
      </c>
      <c r="AE150" s="44" t="str">
        <f>IFERROR(Olfa[[#This Row],[V. 12 meses]]/Olfa[[#This Row],[Proj. de V. 12 meses]],"")</f>
        <v/>
      </c>
      <c r="AF150" s="22"/>
    </row>
    <row r="151" spans="1:32" x14ac:dyDescent="0.25">
      <c r="A151" s="22" t="s">
        <v>1732</v>
      </c>
      <c r="B151" s="22" t="str">
        <f>IF(OR(Olfa[[#This Row],[Status]]="Em linha",Olfa[[#This Row],[Status]]="Materia Prima",Olfa[[#This Row],[Status]]="Componente"),"ok",IF(Olfa[[#This Row],[Estoque+Importação]]&lt;1,"Tirar","ok"))</f>
        <v>Tirar</v>
      </c>
      <c r="C151" s="23">
        <v>33070660565</v>
      </c>
      <c r="D151" s="22" t="s">
        <v>1455</v>
      </c>
      <c r="E151" s="22" t="str">
        <f>VLOOKUP(Olfa[[#This Row],[Código]],BD_Produto[],3,FALSE)</f>
        <v>Estilete Rotativo</v>
      </c>
      <c r="F151" s="22" t="str">
        <f>VLOOKUP(Olfa[[#This Row],[Código]],BD_Produto[],4,FALSE)</f>
        <v>Rotativo</v>
      </c>
      <c r="G151" s="24" t="s">
        <v>1655</v>
      </c>
      <c r="H151" s="28" t="s">
        <v>1655</v>
      </c>
      <c r="I151" s="22" t="s">
        <v>2849</v>
      </c>
      <c r="J151" s="24"/>
      <c r="K151" s="24"/>
      <c r="L151" s="177">
        <f>IFERROR(VLOOKUP(Olfa[[#This Row],[Código]],Saldo[],3,FALSE),0)</f>
        <v>0</v>
      </c>
      <c r="M151" s="24">
        <f>SUM(Olfa[[#This Row],[Produção]:[Estoque]])</f>
        <v>0</v>
      </c>
      <c r="N151" s="177" t="str">
        <f>IFERROR(Olfa[[#This Row],[Estoque+Importação]]/Olfa[[#This Row],[Proj. de V. No prox. mes]],"Sem Projeção")</f>
        <v>Sem Projeção</v>
      </c>
      <c r="O151" s="177" t="str">
        <f>IF(OR(Olfa[[#This Row],[Status]]="Em Linha",Olfa[[#This Row],[Status]]="Componente",Olfa[[#This Row],[Status]]="Materia Prima"),Olfa[[#This Row],[Proj. de V. No prox. mes]]*10,"-")</f>
        <v>-</v>
      </c>
      <c r="P151" s="34">
        <f>IF(OR(Olfa[[#This Row],[Status]]="Em Linha",Olfa[[#This Row],[Status]]="Componente",Olfa[[#This Row],[Status]]="Materia Prima"),Olfa[[#This Row],[estoque 10 meses]]-Olfa[[#This Row],[Estoque+Importação]],0)</f>
        <v>0</v>
      </c>
      <c r="Q151" s="75">
        <f>Olfa[[#This Row],[Colunas1]]+Olfa[[#This Row],[Colunas2]]</f>
        <v>0</v>
      </c>
      <c r="R151" s="43">
        <f>VLOOKUP(Olfa[[#This Row],[Código]],Projeção[#All],14,FALSE)</f>
        <v>0</v>
      </c>
      <c r="S151" s="39">
        <f>IFERROR(VLOOKUP(Olfa[[#This Row],[Código]],Vendas!A147:B308,2,FALSE),0)</f>
        <v>0</v>
      </c>
      <c r="T151" s="44" t="str">
        <f>IFERROR(Olfa[[#This Row],[V. No mes]]/Olfa[[#This Row],[Proj. de V. No mes]],"")</f>
        <v/>
      </c>
      <c r="U151" s="43">
        <f>VLOOKUP(Olfa[[#This Row],[Código]],Projeção[#All],14,FALSE)+VLOOKUP(Olfa[[#This Row],[Código]],Projeção[#All],13,FALSE)+VLOOKUP(Olfa[[#This Row],[Código]],Projeção[#All],12,FALSE)</f>
        <v>0</v>
      </c>
      <c r="V151" s="39">
        <f>IFERROR(VLOOKUP(Olfa[[#This Row],[Código]],Venda_3meses[],2,FALSE),0)</f>
        <v>0</v>
      </c>
      <c r="W151" s="44" t="str">
        <f>IFERROR(Olfa[[#This Row],[V. 3 meses]]/Olfa[[#This Row],[Proj. de V. 3 meses]],"")</f>
        <v/>
      </c>
      <c r="X15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1" s="101">
        <f>IFERROR(VLOOKUP(Olfa[[#This Row],[Código]],Venda_6meses[],2,FALSE),0)</f>
        <v>0</v>
      </c>
      <c r="Z151" s="45" t="str">
        <f>IFERROR(Olfa[[#This Row],[V. 6 meses]]/Olfa[[#This Row],[Proj. de V. 6 meses]],"")</f>
        <v/>
      </c>
      <c r="AA15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1" s="39">
        <f>IFERROR(VLOOKUP(Olfa[[#This Row],[Código]],Venda_12meses[],2,FALSE),0)</f>
        <v>0</v>
      </c>
      <c r="AC151" s="171">
        <f>Olfa[[#This Row],[V. 12 meses]]/6</f>
        <v>0</v>
      </c>
      <c r="AD151" s="171">
        <f>Olfa[[#This Row],[Colunas1]]*0.2</f>
        <v>0</v>
      </c>
      <c r="AE151" s="44" t="str">
        <f>IFERROR(Olfa[[#This Row],[V. 12 meses]]/Olfa[[#This Row],[Proj. de V. 12 meses]],"")</f>
        <v/>
      </c>
      <c r="AF151" s="22"/>
    </row>
    <row r="152" spans="1:32" x14ac:dyDescent="0.25">
      <c r="A152" s="22" t="s">
        <v>1732</v>
      </c>
      <c r="B152" s="22" t="str">
        <f>IF(OR(Olfa[[#This Row],[Status]]="Em linha",Olfa[[#This Row],[Status]]="Materia Prima",Olfa[[#This Row],[Status]]="Componente"),"ok",IF(Olfa[[#This Row],[Estoque+Importação]]&lt;1,"Tirar","ok"))</f>
        <v>Tirar</v>
      </c>
      <c r="C152" s="23">
        <v>33070654000</v>
      </c>
      <c r="D152" s="22" t="s">
        <v>1454</v>
      </c>
      <c r="E152" s="22" t="str">
        <f>VLOOKUP(Olfa[[#This Row],[Código]],BD_Produto[],3,FALSE)</f>
        <v>Estilete Rotativo</v>
      </c>
      <c r="F152" s="22" t="str">
        <f>VLOOKUP(Olfa[[#This Row],[Código]],BD_Produto[],4,FALSE)</f>
        <v>Rotativo</v>
      </c>
      <c r="G152" s="24" t="s">
        <v>1655</v>
      </c>
      <c r="H152" s="28" t="s">
        <v>1655</v>
      </c>
      <c r="I152" s="22" t="s">
        <v>2849</v>
      </c>
      <c r="J152" s="24"/>
      <c r="K152" s="24"/>
      <c r="L152" s="177">
        <f>IFERROR(VLOOKUP(Olfa[[#This Row],[Código]],Saldo[],3,FALSE),0)</f>
        <v>0</v>
      </c>
      <c r="M152" s="24">
        <f>SUM(Olfa[[#This Row],[Produção]:[Estoque]])</f>
        <v>0</v>
      </c>
      <c r="N152" s="177" t="str">
        <f>IFERROR(Olfa[[#This Row],[Estoque+Importação]]/Olfa[[#This Row],[Proj. de V. No prox. mes]],"Sem Projeção")</f>
        <v>Sem Projeção</v>
      </c>
      <c r="O152" s="177" t="str">
        <f>IF(OR(Olfa[[#This Row],[Status]]="Em Linha",Olfa[[#This Row],[Status]]="Componente",Olfa[[#This Row],[Status]]="Materia Prima"),Olfa[[#This Row],[Proj. de V. No prox. mes]]*10,"-")</f>
        <v>-</v>
      </c>
      <c r="P152" s="34">
        <f>IF(OR(Olfa[[#This Row],[Status]]="Em Linha",Olfa[[#This Row],[Status]]="Componente",Olfa[[#This Row],[Status]]="Materia Prima"),Olfa[[#This Row],[estoque 10 meses]]-Olfa[[#This Row],[Estoque+Importação]],0)</f>
        <v>0</v>
      </c>
      <c r="Q152" s="75">
        <f>Olfa[[#This Row],[Colunas1]]+Olfa[[#This Row],[Colunas2]]</f>
        <v>0</v>
      </c>
      <c r="R152" s="43">
        <f>VLOOKUP(Olfa[[#This Row],[Código]],Projeção[#All],14,FALSE)</f>
        <v>0</v>
      </c>
      <c r="S152" s="39">
        <f>IFERROR(VLOOKUP(Olfa[[#This Row],[Código]],Vendas!A148:B309,2,FALSE),0)</f>
        <v>0</v>
      </c>
      <c r="T152" s="44" t="str">
        <f>IFERROR(Olfa[[#This Row],[V. No mes]]/Olfa[[#This Row],[Proj. de V. No mes]],"")</f>
        <v/>
      </c>
      <c r="U152" s="43">
        <f>VLOOKUP(Olfa[[#This Row],[Código]],Projeção[#All],14,FALSE)+VLOOKUP(Olfa[[#This Row],[Código]],Projeção[#All],13,FALSE)+VLOOKUP(Olfa[[#This Row],[Código]],Projeção[#All],12,FALSE)</f>
        <v>0</v>
      </c>
      <c r="V152" s="39">
        <f>IFERROR(VLOOKUP(Olfa[[#This Row],[Código]],Venda_3meses[],2,FALSE),0)</f>
        <v>0</v>
      </c>
      <c r="W152" s="44" t="str">
        <f>IFERROR(Olfa[[#This Row],[V. 3 meses]]/Olfa[[#This Row],[Proj. de V. 3 meses]],"")</f>
        <v/>
      </c>
      <c r="X15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2" s="101">
        <f>IFERROR(VLOOKUP(Olfa[[#This Row],[Código]],Venda_6meses[],2,FALSE),0)</f>
        <v>0</v>
      </c>
      <c r="Z152" s="45" t="str">
        <f>IFERROR(Olfa[[#This Row],[V. 6 meses]]/Olfa[[#This Row],[Proj. de V. 6 meses]],"")</f>
        <v/>
      </c>
      <c r="AA15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2" s="39">
        <f>IFERROR(VLOOKUP(Olfa[[#This Row],[Código]],Venda_12meses[],2,FALSE),0)</f>
        <v>0</v>
      </c>
      <c r="AC152" s="171">
        <f>Olfa[[#This Row],[V. 12 meses]]/6</f>
        <v>0</v>
      </c>
      <c r="AD152" s="171">
        <f>Olfa[[#This Row],[Colunas1]]*0.2</f>
        <v>0</v>
      </c>
      <c r="AE152" s="44" t="str">
        <f>IFERROR(Olfa[[#This Row],[V. 12 meses]]/Olfa[[#This Row],[Proj. de V. 12 meses]],"")</f>
        <v/>
      </c>
      <c r="AF152" s="22"/>
    </row>
    <row r="153" spans="1:32" x14ac:dyDescent="0.25">
      <c r="A153" s="22" t="s">
        <v>1732</v>
      </c>
      <c r="B153" s="22" t="str">
        <f>IF(OR(Olfa[[#This Row],[Status]]="Em linha",Olfa[[#This Row],[Status]]="Materia Prima",Olfa[[#This Row],[Status]]="Componente"),"ok",IF(Olfa[[#This Row],[Estoque+Importação]]&lt;1,"Tirar","ok"))</f>
        <v>Tirar</v>
      </c>
      <c r="C153" s="23">
        <v>33070614998</v>
      </c>
      <c r="D153" s="22" t="s">
        <v>1453</v>
      </c>
      <c r="E153" s="22" t="str">
        <f>VLOOKUP(Olfa[[#This Row],[Código]],BD_Produto[],3,FALSE)</f>
        <v>Estojo de Lâminas</v>
      </c>
      <c r="F153" s="22" t="str">
        <f>VLOOKUP(Olfa[[#This Row],[Código]],BD_Produto[],4,FALSE)</f>
        <v>Heavy Duty</v>
      </c>
      <c r="G153" s="24">
        <v>240</v>
      </c>
      <c r="H153" s="28">
        <v>145</v>
      </c>
      <c r="I153" s="22" t="s">
        <v>2849</v>
      </c>
      <c r="J153" s="24"/>
      <c r="K153" s="24"/>
      <c r="L153" s="177">
        <f>IFERROR(VLOOKUP(Olfa[[#This Row],[Código]],Saldo[],3,FALSE),0)</f>
        <v>0</v>
      </c>
      <c r="M153" s="24">
        <f>SUM(Olfa[[#This Row],[Produção]:[Estoque]])</f>
        <v>0</v>
      </c>
      <c r="N153" s="177" t="str">
        <f>IFERROR(Olfa[[#This Row],[Estoque+Importação]]/Olfa[[#This Row],[Proj. de V. No prox. mes]],"Sem Projeção")</f>
        <v>Sem Projeção</v>
      </c>
      <c r="O153" s="177" t="str">
        <f>IF(OR(Olfa[[#This Row],[Status]]="Em Linha",Olfa[[#This Row],[Status]]="Componente",Olfa[[#This Row],[Status]]="Materia Prima"),Olfa[[#This Row],[Proj. de V. No prox. mes]]*10,"-")</f>
        <v>-</v>
      </c>
      <c r="P153" s="34">
        <f>IF(OR(Olfa[[#This Row],[Status]]="Em Linha",Olfa[[#This Row],[Status]]="Componente",Olfa[[#This Row],[Status]]="Materia Prima"),Olfa[[#This Row],[estoque 10 meses]]-Olfa[[#This Row],[Estoque+Importação]],0)</f>
        <v>0</v>
      </c>
      <c r="Q153" s="75">
        <f>Olfa[[#This Row],[Colunas1]]+Olfa[[#This Row],[Colunas2]]</f>
        <v>0</v>
      </c>
      <c r="R153" s="43">
        <f>VLOOKUP(Olfa[[#This Row],[Código]],Projeção[#All],14,FALSE)</f>
        <v>0</v>
      </c>
      <c r="S153" s="39">
        <f>IFERROR(VLOOKUP(Olfa[[#This Row],[Código]],Vendas!A149:B310,2,FALSE),0)</f>
        <v>0</v>
      </c>
      <c r="T153" s="44" t="str">
        <f>IFERROR(Olfa[[#This Row],[V. No mes]]/Olfa[[#This Row],[Proj. de V. No mes]],"")</f>
        <v/>
      </c>
      <c r="U153" s="43">
        <f>VLOOKUP(Olfa[[#This Row],[Código]],Projeção[#All],14,FALSE)+VLOOKUP(Olfa[[#This Row],[Código]],Projeção[#All],13,FALSE)+VLOOKUP(Olfa[[#This Row],[Código]],Projeção[#All],12,FALSE)</f>
        <v>0</v>
      </c>
      <c r="V153" s="39">
        <f>IFERROR(VLOOKUP(Olfa[[#This Row],[Código]],Venda_3meses[],2,FALSE),0)</f>
        <v>0</v>
      </c>
      <c r="W153" s="44" t="str">
        <f>IFERROR(Olfa[[#This Row],[V. 3 meses]]/Olfa[[#This Row],[Proj. de V. 3 meses]],"")</f>
        <v/>
      </c>
      <c r="X15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3" s="101">
        <f>IFERROR(VLOOKUP(Olfa[[#This Row],[Código]],Venda_6meses[],2,FALSE),0)</f>
        <v>0</v>
      </c>
      <c r="Z153" s="45" t="str">
        <f>IFERROR(Olfa[[#This Row],[V. 6 meses]]/Olfa[[#This Row],[Proj. de V. 6 meses]],"")</f>
        <v/>
      </c>
      <c r="AA15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3" s="39">
        <f>IFERROR(VLOOKUP(Olfa[[#This Row],[Código]],Venda_12meses[],2,FALSE),0)</f>
        <v>0</v>
      </c>
      <c r="AC153" s="171">
        <f>Olfa[[#This Row],[V. 12 meses]]/6</f>
        <v>0</v>
      </c>
      <c r="AD153" s="171">
        <f>Olfa[[#This Row],[Colunas1]]*0.2</f>
        <v>0</v>
      </c>
      <c r="AE153" s="44" t="str">
        <f>IFERROR(Olfa[[#This Row],[V. 12 meses]]/Olfa[[#This Row],[Proj. de V. 12 meses]],"")</f>
        <v/>
      </c>
      <c r="AF153" s="22"/>
    </row>
    <row r="154" spans="1:32" x14ac:dyDescent="0.25">
      <c r="A154" s="22" t="s">
        <v>1732</v>
      </c>
      <c r="B154" s="22" t="str">
        <f>IF(OR(Olfa[[#This Row],[Status]]="Em linha",Olfa[[#This Row],[Status]]="Materia Prima",Olfa[[#This Row],[Status]]="Componente"),"ok",IF(Olfa[[#This Row],[Estoque+Importação]]&lt;1,"Tirar","ok"))</f>
        <v>Tirar</v>
      </c>
      <c r="C154" s="23">
        <v>33070614911</v>
      </c>
      <c r="D154" s="22" t="s">
        <v>1452</v>
      </c>
      <c r="E154" s="22" t="str">
        <f>VLOOKUP(Olfa[[#This Row],[Código]],BD_Produto[],3,FALSE)</f>
        <v>Estilete Especial</v>
      </c>
      <c r="F154" s="22" t="str">
        <f>VLOOKUP(Olfa[[#This Row],[Código]],BD_Produto[],4,FALSE)</f>
        <v>Especial</v>
      </c>
      <c r="G154" s="24" t="s">
        <v>1655</v>
      </c>
      <c r="H154" s="28" t="s">
        <v>1655</v>
      </c>
      <c r="I154" s="22" t="s">
        <v>2849</v>
      </c>
      <c r="J154" s="24"/>
      <c r="K154" s="24"/>
      <c r="L154" s="177">
        <f>IFERROR(VLOOKUP(Olfa[[#This Row],[Código]],Saldo[],3,FALSE),0)</f>
        <v>0</v>
      </c>
      <c r="M154" s="24">
        <f>SUM(Olfa[[#This Row],[Produção]:[Estoque]])</f>
        <v>0</v>
      </c>
      <c r="N154" s="177" t="str">
        <f>IFERROR(Olfa[[#This Row],[Estoque+Importação]]/Olfa[[#This Row],[Proj. de V. No prox. mes]],"Sem Projeção")</f>
        <v>Sem Projeção</v>
      </c>
      <c r="O154" s="177" t="str">
        <f>IF(OR(Olfa[[#This Row],[Status]]="Em Linha",Olfa[[#This Row],[Status]]="Componente",Olfa[[#This Row],[Status]]="Materia Prima"),Olfa[[#This Row],[Proj. de V. No prox. mes]]*10,"-")</f>
        <v>-</v>
      </c>
      <c r="P154" s="34">
        <f>IF(OR(Olfa[[#This Row],[Status]]="Em Linha",Olfa[[#This Row],[Status]]="Componente",Olfa[[#This Row],[Status]]="Materia Prima"),Olfa[[#This Row],[estoque 10 meses]]-Olfa[[#This Row],[Estoque+Importação]],0)</f>
        <v>0</v>
      </c>
      <c r="Q154" s="75">
        <f>Olfa[[#This Row],[Colunas1]]+Olfa[[#This Row],[Colunas2]]</f>
        <v>0</v>
      </c>
      <c r="R154" s="43">
        <f>VLOOKUP(Olfa[[#This Row],[Código]],Projeção[#All],14,FALSE)</f>
        <v>0</v>
      </c>
      <c r="S154" s="39">
        <f>IFERROR(VLOOKUP(Olfa[[#This Row],[Código]],Vendas!A150:B311,2,FALSE),0)</f>
        <v>0</v>
      </c>
      <c r="T154" s="44" t="str">
        <f>IFERROR(Olfa[[#This Row],[V. No mes]]/Olfa[[#This Row],[Proj. de V. No mes]],"")</f>
        <v/>
      </c>
      <c r="U154" s="43">
        <f>VLOOKUP(Olfa[[#This Row],[Código]],Projeção[#All],14,FALSE)+VLOOKUP(Olfa[[#This Row],[Código]],Projeção[#All],13,FALSE)+VLOOKUP(Olfa[[#This Row],[Código]],Projeção[#All],12,FALSE)</f>
        <v>0</v>
      </c>
      <c r="V154" s="39">
        <f>IFERROR(VLOOKUP(Olfa[[#This Row],[Código]],Venda_3meses[],2,FALSE),0)</f>
        <v>0</v>
      </c>
      <c r="W154" s="44" t="str">
        <f>IFERROR(Olfa[[#This Row],[V. 3 meses]]/Olfa[[#This Row],[Proj. de V. 3 meses]],"")</f>
        <v/>
      </c>
      <c r="X15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4" s="101">
        <f>IFERROR(VLOOKUP(Olfa[[#This Row],[Código]],Venda_6meses[],2,FALSE),0)</f>
        <v>0</v>
      </c>
      <c r="Z154" s="45" t="str">
        <f>IFERROR(Olfa[[#This Row],[V. 6 meses]]/Olfa[[#This Row],[Proj. de V. 6 meses]],"")</f>
        <v/>
      </c>
      <c r="AA15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4" s="39">
        <f>IFERROR(VLOOKUP(Olfa[[#This Row],[Código]],Venda_12meses[],2,FALSE),0)</f>
        <v>0</v>
      </c>
      <c r="AC154" s="171">
        <f>Olfa[[#This Row],[V. 12 meses]]/6</f>
        <v>0</v>
      </c>
      <c r="AD154" s="171">
        <f>Olfa[[#This Row],[Colunas1]]*0.2</f>
        <v>0</v>
      </c>
      <c r="AE154" s="44" t="str">
        <f>IFERROR(Olfa[[#This Row],[V. 12 meses]]/Olfa[[#This Row],[Proj. de V. 12 meses]],"")</f>
        <v/>
      </c>
      <c r="AF154" s="22"/>
    </row>
    <row r="155" spans="1:32" x14ac:dyDescent="0.25">
      <c r="A155" s="22" t="s">
        <v>1732</v>
      </c>
      <c r="B155" s="22" t="str">
        <f>IF(OR(Olfa[[#This Row],[Status]]="Em linha",Olfa[[#This Row],[Status]]="Materia Prima",Olfa[[#This Row],[Status]]="Componente"),"ok",IF(Olfa[[#This Row],[Estoque+Importação]]&lt;1,"Tirar","ok"))</f>
        <v>Tirar</v>
      </c>
      <c r="C155" s="23">
        <v>33070614896</v>
      </c>
      <c r="D155" s="22" t="s">
        <v>1451</v>
      </c>
      <c r="E155" s="22" t="str">
        <f>VLOOKUP(Olfa[[#This Row],[Código]],BD_Produto[],3,FALSE)</f>
        <v>Estilete Rotativo</v>
      </c>
      <c r="F155" s="22" t="str">
        <f>VLOOKUP(Olfa[[#This Row],[Código]],BD_Produto[],4,FALSE)</f>
        <v>Rotativo</v>
      </c>
      <c r="G155" s="24">
        <v>120</v>
      </c>
      <c r="H155" s="28">
        <v>410</v>
      </c>
      <c r="I155" s="22" t="s">
        <v>2849</v>
      </c>
      <c r="J155" s="24"/>
      <c r="K155" s="24"/>
      <c r="L155" s="177">
        <f>IFERROR(VLOOKUP(Olfa[[#This Row],[Código]],Saldo[],3,FALSE),0)</f>
        <v>0</v>
      </c>
      <c r="M155" s="24">
        <f>SUM(Olfa[[#This Row],[Produção]:[Estoque]])</f>
        <v>0</v>
      </c>
      <c r="N155" s="177" t="str">
        <f>IFERROR(Olfa[[#This Row],[Estoque+Importação]]/Olfa[[#This Row],[Proj. de V. No prox. mes]],"Sem Projeção")</f>
        <v>Sem Projeção</v>
      </c>
      <c r="O155" s="177" t="str">
        <f>IF(OR(Olfa[[#This Row],[Status]]="Em Linha",Olfa[[#This Row],[Status]]="Componente",Olfa[[#This Row],[Status]]="Materia Prima"),Olfa[[#This Row],[Proj. de V. No prox. mes]]*10,"-")</f>
        <v>-</v>
      </c>
      <c r="P155" s="34">
        <f>IF(OR(Olfa[[#This Row],[Status]]="Em Linha",Olfa[[#This Row],[Status]]="Componente",Olfa[[#This Row],[Status]]="Materia Prima"),Olfa[[#This Row],[estoque 10 meses]]-Olfa[[#This Row],[Estoque+Importação]],0)</f>
        <v>0</v>
      </c>
      <c r="Q155" s="75">
        <f>Olfa[[#This Row],[Colunas1]]+Olfa[[#This Row],[Colunas2]]</f>
        <v>0</v>
      </c>
      <c r="R155" s="43">
        <f>VLOOKUP(Olfa[[#This Row],[Código]],Projeção[#All],14,FALSE)</f>
        <v>0</v>
      </c>
      <c r="S155" s="39">
        <f>IFERROR(VLOOKUP(Olfa[[#This Row],[Código]],Vendas!A151:B312,2,FALSE),0)</f>
        <v>0</v>
      </c>
      <c r="T155" s="44" t="str">
        <f>IFERROR(Olfa[[#This Row],[V. No mes]]/Olfa[[#This Row],[Proj. de V. No mes]],"")</f>
        <v/>
      </c>
      <c r="U155" s="43">
        <f>VLOOKUP(Olfa[[#This Row],[Código]],Projeção[#All],14,FALSE)+VLOOKUP(Olfa[[#This Row],[Código]],Projeção[#All],13,FALSE)+VLOOKUP(Olfa[[#This Row],[Código]],Projeção[#All],12,FALSE)</f>
        <v>0</v>
      </c>
      <c r="V155" s="39">
        <f>IFERROR(VLOOKUP(Olfa[[#This Row],[Código]],Venda_3meses[],2,FALSE),0)</f>
        <v>0</v>
      </c>
      <c r="W155" s="44" t="str">
        <f>IFERROR(Olfa[[#This Row],[V. 3 meses]]/Olfa[[#This Row],[Proj. de V. 3 meses]],"")</f>
        <v/>
      </c>
      <c r="X15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5" s="101">
        <f>IFERROR(VLOOKUP(Olfa[[#This Row],[Código]],Venda_6meses[],2,FALSE),0)</f>
        <v>0</v>
      </c>
      <c r="Z155" s="45" t="str">
        <f>IFERROR(Olfa[[#This Row],[V. 6 meses]]/Olfa[[#This Row],[Proj. de V. 6 meses]],"")</f>
        <v/>
      </c>
      <c r="AA15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5" s="39">
        <f>IFERROR(VLOOKUP(Olfa[[#This Row],[Código]],Venda_12meses[],2,FALSE),0)</f>
        <v>0</v>
      </c>
      <c r="AC155" s="171">
        <f>Olfa[[#This Row],[V. 12 meses]]/6</f>
        <v>0</v>
      </c>
      <c r="AD155" s="171">
        <f>Olfa[[#This Row],[Colunas1]]*0.2</f>
        <v>0</v>
      </c>
      <c r="AE155" s="44" t="str">
        <f>IFERROR(Olfa[[#This Row],[V. 12 meses]]/Olfa[[#This Row],[Proj. de V. 12 meses]],"")</f>
        <v/>
      </c>
      <c r="AF155" s="22"/>
    </row>
    <row r="156" spans="1:32" x14ac:dyDescent="0.25">
      <c r="A156" s="22" t="s">
        <v>1732</v>
      </c>
      <c r="B156" s="22" t="str">
        <f>IF(OR(Olfa[[#This Row],[Status]]="Em linha",Olfa[[#This Row],[Status]]="Materia Prima",Olfa[[#This Row],[Status]]="Componente"),"ok",IF(Olfa[[#This Row],[Estoque+Importação]]&lt;1,"Tirar","ok"))</f>
        <v>Tirar</v>
      </c>
      <c r="C156" s="23">
        <v>33070614827</v>
      </c>
      <c r="D156" s="22" t="s">
        <v>1450</v>
      </c>
      <c r="E156" s="22" t="str">
        <f>VLOOKUP(Olfa[[#This Row],[Código]],BD_Produto[],3,FALSE)</f>
        <v>Estilete Especial</v>
      </c>
      <c r="F156" s="22" t="str">
        <f>VLOOKUP(Olfa[[#This Row],[Código]],BD_Produto[],4,FALSE)</f>
        <v>Especial</v>
      </c>
      <c r="G156" s="24" t="s">
        <v>1655</v>
      </c>
      <c r="H156" s="28" t="s">
        <v>1655</v>
      </c>
      <c r="I156" s="22" t="s">
        <v>2849</v>
      </c>
      <c r="J156" s="24"/>
      <c r="K156" s="24"/>
      <c r="L156" s="177">
        <f>IFERROR(VLOOKUP(Olfa[[#This Row],[Código]],Saldo[],3,FALSE),0)</f>
        <v>0</v>
      </c>
      <c r="M156" s="24">
        <f>SUM(Olfa[[#This Row],[Produção]:[Estoque]])</f>
        <v>0</v>
      </c>
      <c r="N156" s="177" t="str">
        <f>IFERROR(Olfa[[#This Row],[Estoque+Importação]]/Olfa[[#This Row],[Proj. de V. No prox. mes]],"Sem Projeção")</f>
        <v>Sem Projeção</v>
      </c>
      <c r="O156" s="177" t="str">
        <f>IF(OR(Olfa[[#This Row],[Status]]="Em Linha",Olfa[[#This Row],[Status]]="Componente",Olfa[[#This Row],[Status]]="Materia Prima"),Olfa[[#This Row],[Proj. de V. No prox. mes]]*10,"-")</f>
        <v>-</v>
      </c>
      <c r="P156" s="34">
        <f>IF(OR(Olfa[[#This Row],[Status]]="Em Linha",Olfa[[#This Row],[Status]]="Componente",Olfa[[#This Row],[Status]]="Materia Prima"),Olfa[[#This Row],[estoque 10 meses]]-Olfa[[#This Row],[Estoque+Importação]],0)</f>
        <v>0</v>
      </c>
      <c r="Q156" s="75">
        <f>Olfa[[#This Row],[Colunas1]]+Olfa[[#This Row],[Colunas2]]</f>
        <v>0</v>
      </c>
      <c r="R156" s="43">
        <f>VLOOKUP(Olfa[[#This Row],[Código]],Projeção[#All],14,FALSE)</f>
        <v>0</v>
      </c>
      <c r="S156" s="39">
        <f>IFERROR(VLOOKUP(Olfa[[#This Row],[Código]],Vendas!A152:B313,2,FALSE),0)</f>
        <v>0</v>
      </c>
      <c r="T156" s="44" t="str">
        <f>IFERROR(Olfa[[#This Row],[V. No mes]]/Olfa[[#This Row],[Proj. de V. No mes]],"")</f>
        <v/>
      </c>
      <c r="U156" s="43">
        <f>VLOOKUP(Olfa[[#This Row],[Código]],Projeção[#All],14,FALSE)+VLOOKUP(Olfa[[#This Row],[Código]],Projeção[#All],13,FALSE)+VLOOKUP(Olfa[[#This Row],[Código]],Projeção[#All],12,FALSE)</f>
        <v>0</v>
      </c>
      <c r="V156" s="39">
        <f>IFERROR(VLOOKUP(Olfa[[#This Row],[Código]],Venda_3meses[],2,FALSE),0)</f>
        <v>0</v>
      </c>
      <c r="W156" s="44" t="str">
        <f>IFERROR(Olfa[[#This Row],[V. 3 meses]]/Olfa[[#This Row],[Proj. de V. 3 meses]],"")</f>
        <v/>
      </c>
      <c r="X15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6" s="101">
        <f>IFERROR(VLOOKUP(Olfa[[#This Row],[Código]],Venda_6meses[],2,FALSE),0)</f>
        <v>0</v>
      </c>
      <c r="Z156" s="45" t="str">
        <f>IFERROR(Olfa[[#This Row],[V. 6 meses]]/Olfa[[#This Row],[Proj. de V. 6 meses]],"")</f>
        <v/>
      </c>
      <c r="AA15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6" s="39">
        <f>IFERROR(VLOOKUP(Olfa[[#This Row],[Código]],Venda_12meses[],2,FALSE),0)</f>
        <v>0</v>
      </c>
      <c r="AC156" s="171">
        <f>Olfa[[#This Row],[V. 12 meses]]/6</f>
        <v>0</v>
      </c>
      <c r="AD156" s="171">
        <f>Olfa[[#This Row],[Colunas1]]*0.2</f>
        <v>0</v>
      </c>
      <c r="AE156" s="44" t="str">
        <f>IFERROR(Olfa[[#This Row],[V. 12 meses]]/Olfa[[#This Row],[Proj. de V. 12 meses]],"")</f>
        <v/>
      </c>
      <c r="AF156" s="22"/>
    </row>
    <row r="157" spans="1:32" x14ac:dyDescent="0.25">
      <c r="A157" s="22" t="s">
        <v>1732</v>
      </c>
      <c r="B157" s="22" t="str">
        <f>IF(OR(Olfa[[#This Row],[Status]]="Em linha",Olfa[[#This Row],[Status]]="Materia Prima",Olfa[[#This Row],[Status]]="Componente"),"ok",IF(Olfa[[#This Row],[Estoque+Importação]]&lt;1,"Tirar","ok"))</f>
        <v>Tirar</v>
      </c>
      <c r="C157" s="23">
        <v>33070614826</v>
      </c>
      <c r="D157" s="22" t="s">
        <v>1449</v>
      </c>
      <c r="E157" s="22" t="str">
        <f>VLOOKUP(Olfa[[#This Row],[Código]],BD_Produto[],3,FALSE)</f>
        <v>Acessório</v>
      </c>
      <c r="F157" s="22" t="str">
        <f>VLOOKUP(Olfa[[#This Row],[Código]],BD_Produto[],4,FALSE)</f>
        <v>Rotativo</v>
      </c>
      <c r="G157" s="24">
        <v>0</v>
      </c>
      <c r="H157" s="28">
        <v>0</v>
      </c>
      <c r="I157" s="22" t="s">
        <v>2849</v>
      </c>
      <c r="J157" s="24"/>
      <c r="K157" s="24"/>
      <c r="L157" s="177">
        <f>IFERROR(VLOOKUP(Olfa[[#This Row],[Código]],Saldo[],3,FALSE),0)</f>
        <v>0</v>
      </c>
      <c r="M157" s="24">
        <f>SUM(Olfa[[#This Row],[Produção]:[Estoque]])</f>
        <v>0</v>
      </c>
      <c r="N157" s="177" t="str">
        <f>IFERROR(Olfa[[#This Row],[Estoque+Importação]]/Olfa[[#This Row],[Proj. de V. No prox. mes]],"Sem Projeção")</f>
        <v>Sem Projeção</v>
      </c>
      <c r="O157" s="177" t="str">
        <f>IF(OR(Olfa[[#This Row],[Status]]="Em Linha",Olfa[[#This Row],[Status]]="Componente",Olfa[[#This Row],[Status]]="Materia Prima"),Olfa[[#This Row],[Proj. de V. No prox. mes]]*10,"-")</f>
        <v>-</v>
      </c>
      <c r="P157" s="34">
        <f>IF(OR(Olfa[[#This Row],[Status]]="Em Linha",Olfa[[#This Row],[Status]]="Componente",Olfa[[#This Row],[Status]]="Materia Prima"),Olfa[[#This Row],[estoque 10 meses]]-Olfa[[#This Row],[Estoque+Importação]],0)</f>
        <v>0</v>
      </c>
      <c r="Q157" s="75">
        <f>Olfa[[#This Row],[Colunas1]]+Olfa[[#This Row],[Colunas2]]</f>
        <v>0</v>
      </c>
      <c r="R157" s="43">
        <f>VLOOKUP(Olfa[[#This Row],[Código]],Projeção[#All],14,FALSE)</f>
        <v>0</v>
      </c>
      <c r="S157" s="39">
        <f>IFERROR(VLOOKUP(Olfa[[#This Row],[Código]],Vendas!A153:B314,2,FALSE),0)</f>
        <v>0</v>
      </c>
      <c r="T157" s="44" t="str">
        <f>IFERROR(Olfa[[#This Row],[V. No mes]]/Olfa[[#This Row],[Proj. de V. No mes]],"")</f>
        <v/>
      </c>
      <c r="U157" s="43">
        <f>VLOOKUP(Olfa[[#This Row],[Código]],Projeção[#All],14,FALSE)+VLOOKUP(Olfa[[#This Row],[Código]],Projeção[#All],13,FALSE)+VLOOKUP(Olfa[[#This Row],[Código]],Projeção[#All],12,FALSE)</f>
        <v>0</v>
      </c>
      <c r="V157" s="39">
        <f>IFERROR(VLOOKUP(Olfa[[#This Row],[Código]],Venda_3meses[],2,FALSE),0)</f>
        <v>0</v>
      </c>
      <c r="W157" s="44" t="str">
        <f>IFERROR(Olfa[[#This Row],[V. 3 meses]]/Olfa[[#This Row],[Proj. de V. 3 meses]],"")</f>
        <v/>
      </c>
      <c r="X15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7" s="101">
        <f>IFERROR(VLOOKUP(Olfa[[#This Row],[Código]],Venda_6meses[],2,FALSE),0)</f>
        <v>0</v>
      </c>
      <c r="Z157" s="45" t="str">
        <f>IFERROR(Olfa[[#This Row],[V. 6 meses]]/Olfa[[#This Row],[Proj. de V. 6 meses]],"")</f>
        <v/>
      </c>
      <c r="AA15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7" s="39">
        <f>IFERROR(VLOOKUP(Olfa[[#This Row],[Código]],Venda_12meses[],2,FALSE),0)</f>
        <v>0</v>
      </c>
      <c r="AC157" s="171">
        <f>Olfa[[#This Row],[V. 12 meses]]/6</f>
        <v>0</v>
      </c>
      <c r="AD157" s="171">
        <f>Olfa[[#This Row],[Colunas1]]*0.2</f>
        <v>0</v>
      </c>
      <c r="AE157" s="44" t="str">
        <f>IFERROR(Olfa[[#This Row],[V. 12 meses]]/Olfa[[#This Row],[Proj. de V. 12 meses]],"")</f>
        <v/>
      </c>
      <c r="AF157" s="22"/>
    </row>
    <row r="158" spans="1:32" x14ac:dyDescent="0.25">
      <c r="A158" s="22" t="s">
        <v>1732</v>
      </c>
      <c r="B158" s="22" t="str">
        <f>IF(OR(Olfa[[#This Row],[Status]]="Em linha",Olfa[[#This Row],[Status]]="Materia Prima",Olfa[[#This Row],[Status]]="Componente"),"ok",IF(Olfa[[#This Row],[Estoque+Importação]]&lt;1,"Tirar","ok"))</f>
        <v>Tirar</v>
      </c>
      <c r="C158" s="23">
        <v>33070614755</v>
      </c>
      <c r="D158" s="22" t="s">
        <v>1448</v>
      </c>
      <c r="E158" s="22" t="str">
        <f>VLOOKUP(Olfa[[#This Row],[Código]],BD_Produto[],3,FALSE)</f>
        <v>Estojo de Lâminas</v>
      </c>
      <c r="F158" s="22" t="str">
        <f>VLOOKUP(Olfa[[#This Row],[Código]],BD_Produto[],4,FALSE)</f>
        <v>Especial</v>
      </c>
      <c r="G158" s="24">
        <v>240</v>
      </c>
      <c r="H158" s="28">
        <v>165</v>
      </c>
      <c r="I158" s="22" t="s">
        <v>2849</v>
      </c>
      <c r="J158" s="24"/>
      <c r="K158" s="24"/>
      <c r="L158" s="177">
        <f>IFERROR(VLOOKUP(Olfa[[#This Row],[Código]],Saldo[],3,FALSE),0)</f>
        <v>0</v>
      </c>
      <c r="M158" s="24">
        <f>SUM(Olfa[[#This Row],[Produção]:[Estoque]])</f>
        <v>0</v>
      </c>
      <c r="N158" s="177" t="str">
        <f>IFERROR(Olfa[[#This Row],[Estoque+Importação]]/Olfa[[#This Row],[Proj. de V. No prox. mes]],"Sem Projeção")</f>
        <v>Sem Projeção</v>
      </c>
      <c r="O158" s="177" t="str">
        <f>IF(OR(Olfa[[#This Row],[Status]]="Em Linha",Olfa[[#This Row],[Status]]="Componente",Olfa[[#This Row],[Status]]="Materia Prima"),Olfa[[#This Row],[Proj. de V. No prox. mes]]*10,"-")</f>
        <v>-</v>
      </c>
      <c r="P158" s="34">
        <f>IF(OR(Olfa[[#This Row],[Status]]="Em Linha",Olfa[[#This Row],[Status]]="Componente",Olfa[[#This Row],[Status]]="Materia Prima"),Olfa[[#This Row],[estoque 10 meses]]-Olfa[[#This Row],[Estoque+Importação]],0)</f>
        <v>0</v>
      </c>
      <c r="Q158" s="75">
        <f>Olfa[[#This Row],[Colunas1]]+Olfa[[#This Row],[Colunas2]]</f>
        <v>0</v>
      </c>
      <c r="R158" s="43">
        <f>VLOOKUP(Olfa[[#This Row],[Código]],Projeção[#All],14,FALSE)</f>
        <v>0</v>
      </c>
      <c r="S158" s="39">
        <f>IFERROR(VLOOKUP(Olfa[[#This Row],[Código]],Vendas!A154:B315,2,FALSE),0)</f>
        <v>0</v>
      </c>
      <c r="T158" s="44" t="str">
        <f>IFERROR(Olfa[[#This Row],[V. No mes]]/Olfa[[#This Row],[Proj. de V. No mes]],"")</f>
        <v/>
      </c>
      <c r="U158" s="43">
        <f>VLOOKUP(Olfa[[#This Row],[Código]],Projeção[#All],14,FALSE)+VLOOKUP(Olfa[[#This Row],[Código]],Projeção[#All],13,FALSE)+VLOOKUP(Olfa[[#This Row],[Código]],Projeção[#All],12,FALSE)</f>
        <v>0</v>
      </c>
      <c r="V158" s="39">
        <f>IFERROR(VLOOKUP(Olfa[[#This Row],[Código]],Venda_3meses[],2,FALSE),0)</f>
        <v>0</v>
      </c>
      <c r="W158" s="44" t="str">
        <f>IFERROR(Olfa[[#This Row],[V. 3 meses]]/Olfa[[#This Row],[Proj. de V. 3 meses]],"")</f>
        <v/>
      </c>
      <c r="X15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8" s="101">
        <f>IFERROR(VLOOKUP(Olfa[[#This Row],[Código]],Venda_6meses[],2,FALSE),0)</f>
        <v>0</v>
      </c>
      <c r="Z158" s="45" t="str">
        <f>IFERROR(Olfa[[#This Row],[V. 6 meses]]/Olfa[[#This Row],[Proj. de V. 6 meses]],"")</f>
        <v/>
      </c>
      <c r="AA15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8" s="39">
        <f>IFERROR(VLOOKUP(Olfa[[#This Row],[Código]],Venda_12meses[],2,FALSE),0)</f>
        <v>0</v>
      </c>
      <c r="AC158" s="171">
        <f>Olfa[[#This Row],[V. 12 meses]]/6</f>
        <v>0</v>
      </c>
      <c r="AD158" s="171">
        <f>Olfa[[#This Row],[Colunas1]]*0.2</f>
        <v>0</v>
      </c>
      <c r="AE158" s="44" t="str">
        <f>IFERROR(Olfa[[#This Row],[V. 12 meses]]/Olfa[[#This Row],[Proj. de V. 12 meses]],"")</f>
        <v/>
      </c>
      <c r="AF158" s="22"/>
    </row>
    <row r="159" spans="1:32" x14ac:dyDescent="0.25">
      <c r="A159" s="22" t="s">
        <v>1732</v>
      </c>
      <c r="B159" s="22" t="str">
        <f>IF(OR(Olfa[[#This Row],[Status]]="Em linha",Olfa[[#This Row],[Status]]="Materia Prima",Olfa[[#This Row],[Status]]="Componente"),"ok",IF(Olfa[[#This Row],[Estoque+Importação]]&lt;1,"Tirar","ok"))</f>
        <v>Tirar</v>
      </c>
      <c r="C159" s="23">
        <v>33070614754</v>
      </c>
      <c r="D159" s="22" t="s">
        <v>1447</v>
      </c>
      <c r="E159" s="22" t="str">
        <f>VLOOKUP(Olfa[[#This Row],[Código]],BD_Produto[],3,FALSE)</f>
        <v>Estojo de Lâminas</v>
      </c>
      <c r="F159" s="22" t="str">
        <f>VLOOKUP(Olfa[[#This Row],[Código]],BD_Produto[],4,FALSE)</f>
        <v>Rotativo</v>
      </c>
      <c r="G159" s="24" t="s">
        <v>1655</v>
      </c>
      <c r="H159" s="28" t="s">
        <v>1655</v>
      </c>
      <c r="I159" s="22" t="s">
        <v>2849</v>
      </c>
      <c r="J159" s="24"/>
      <c r="K159" s="24"/>
      <c r="L159" s="177">
        <f>IFERROR(VLOOKUP(Olfa[[#This Row],[Código]],Saldo[],3,FALSE),0)</f>
        <v>0</v>
      </c>
      <c r="M159" s="24">
        <f>SUM(Olfa[[#This Row],[Produção]:[Estoque]])</f>
        <v>0</v>
      </c>
      <c r="N159" s="177" t="str">
        <f>IFERROR(Olfa[[#This Row],[Estoque+Importação]]/Olfa[[#This Row],[Proj. de V. No prox. mes]],"Sem Projeção")</f>
        <v>Sem Projeção</v>
      </c>
      <c r="O159" s="177" t="str">
        <f>IF(OR(Olfa[[#This Row],[Status]]="Em Linha",Olfa[[#This Row],[Status]]="Componente",Olfa[[#This Row],[Status]]="Materia Prima"),Olfa[[#This Row],[Proj. de V. No prox. mes]]*10,"-")</f>
        <v>-</v>
      </c>
      <c r="P159" s="34">
        <f>IF(OR(Olfa[[#This Row],[Status]]="Em Linha",Olfa[[#This Row],[Status]]="Componente",Olfa[[#This Row],[Status]]="Materia Prima"),Olfa[[#This Row],[estoque 10 meses]]-Olfa[[#This Row],[Estoque+Importação]],0)</f>
        <v>0</v>
      </c>
      <c r="Q159" s="75">
        <f>Olfa[[#This Row],[Colunas1]]+Olfa[[#This Row],[Colunas2]]</f>
        <v>0</v>
      </c>
      <c r="R159" s="43">
        <f>VLOOKUP(Olfa[[#This Row],[Código]],Projeção[#All],14,FALSE)</f>
        <v>0</v>
      </c>
      <c r="S159" s="39">
        <f>IFERROR(VLOOKUP(Olfa[[#This Row],[Código]],Vendas!A155:B316,2,FALSE),0)</f>
        <v>0</v>
      </c>
      <c r="T159" s="44" t="str">
        <f>IFERROR(Olfa[[#This Row],[V. No mes]]/Olfa[[#This Row],[Proj. de V. No mes]],"")</f>
        <v/>
      </c>
      <c r="U159" s="43">
        <f>VLOOKUP(Olfa[[#This Row],[Código]],Projeção[#All],14,FALSE)+VLOOKUP(Olfa[[#This Row],[Código]],Projeção[#All],13,FALSE)+VLOOKUP(Olfa[[#This Row],[Código]],Projeção[#All],12,FALSE)</f>
        <v>0</v>
      </c>
      <c r="V159" s="39">
        <f>IFERROR(VLOOKUP(Olfa[[#This Row],[Código]],Venda_3meses[],2,FALSE),0)</f>
        <v>0</v>
      </c>
      <c r="W159" s="44" t="str">
        <f>IFERROR(Olfa[[#This Row],[V. 3 meses]]/Olfa[[#This Row],[Proj. de V. 3 meses]],"")</f>
        <v/>
      </c>
      <c r="X15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59" s="101">
        <f>IFERROR(VLOOKUP(Olfa[[#This Row],[Código]],Venda_6meses[],2,FALSE),0)</f>
        <v>0</v>
      </c>
      <c r="Z159" s="45" t="str">
        <f>IFERROR(Olfa[[#This Row],[V. 6 meses]]/Olfa[[#This Row],[Proj. de V. 6 meses]],"")</f>
        <v/>
      </c>
      <c r="AA15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59" s="39">
        <f>IFERROR(VLOOKUP(Olfa[[#This Row],[Código]],Venda_12meses[],2,FALSE),0)</f>
        <v>0</v>
      </c>
      <c r="AC159" s="171">
        <f>Olfa[[#This Row],[V. 12 meses]]/6</f>
        <v>0</v>
      </c>
      <c r="AD159" s="171">
        <f>Olfa[[#This Row],[Colunas1]]*0.2</f>
        <v>0</v>
      </c>
      <c r="AE159" s="44" t="str">
        <f>IFERROR(Olfa[[#This Row],[V. 12 meses]]/Olfa[[#This Row],[Proj. de V. 12 meses]],"")</f>
        <v/>
      </c>
      <c r="AF159" s="22"/>
    </row>
    <row r="160" spans="1:32" s="84" customFormat="1" x14ac:dyDescent="0.25">
      <c r="A160" s="22" t="s">
        <v>1732</v>
      </c>
      <c r="B160" s="22" t="str">
        <f>IF(OR(Olfa[[#This Row],[Status]]="Em linha",Olfa[[#This Row],[Status]]="Materia Prima",Olfa[[#This Row],[Status]]="Componente"),"ok",IF(Olfa[[#This Row],[Estoque+Importação]]&lt;1,"Tirar","ok"))</f>
        <v>Tirar</v>
      </c>
      <c r="C160" s="23">
        <v>33070614746</v>
      </c>
      <c r="D160" s="22" t="s">
        <v>629</v>
      </c>
      <c r="E160" s="22" t="str">
        <f>VLOOKUP(Olfa[[#This Row],[Código]],BD_Produto[],3,FALSE)</f>
        <v>Estojo de Lâminas</v>
      </c>
      <c r="F160" s="22" t="str">
        <f>VLOOKUP(Olfa[[#This Row],[Código]],BD_Produto[],4,FALSE)</f>
        <v>Heavy Duty</v>
      </c>
      <c r="G160" s="24">
        <v>240</v>
      </c>
      <c r="H160" s="28">
        <v>145</v>
      </c>
      <c r="I160" s="22" t="s">
        <v>2849</v>
      </c>
      <c r="J160" s="24"/>
      <c r="K160" s="24"/>
      <c r="L160" s="177">
        <f>IFERROR(VLOOKUP(Olfa[[#This Row],[Código]],Saldo[],3,FALSE),0)</f>
        <v>0</v>
      </c>
      <c r="M160" s="24">
        <f>SUM(Olfa[[#This Row],[Produção]:[Estoque]])</f>
        <v>0</v>
      </c>
      <c r="N160" s="177" t="str">
        <f>IFERROR(Olfa[[#This Row],[Estoque+Importação]]/Olfa[[#This Row],[Proj. de V. No prox. mes]],"Sem Projeção")</f>
        <v>Sem Projeção</v>
      </c>
      <c r="O160" s="177" t="str">
        <f>IF(OR(Olfa[[#This Row],[Status]]="Em Linha",Olfa[[#This Row],[Status]]="Componente",Olfa[[#This Row],[Status]]="Materia Prima"),Olfa[[#This Row],[Proj. de V. No prox. mes]]*10,"-")</f>
        <v>-</v>
      </c>
      <c r="P160" s="34">
        <f>IF(OR(Olfa[[#This Row],[Status]]="Em Linha",Olfa[[#This Row],[Status]]="Componente",Olfa[[#This Row],[Status]]="Materia Prima"),Olfa[[#This Row],[estoque 10 meses]]-Olfa[[#This Row],[Estoque+Importação]],0)</f>
        <v>0</v>
      </c>
      <c r="Q160" s="75">
        <f>Olfa[[#This Row],[Colunas1]]+Olfa[[#This Row],[Colunas2]]</f>
        <v>0</v>
      </c>
      <c r="R160" s="43">
        <f>VLOOKUP(Olfa[[#This Row],[Código]],Projeção[#All],14,FALSE)</f>
        <v>0</v>
      </c>
      <c r="S160" s="39">
        <f>IFERROR(VLOOKUP(Olfa[[#This Row],[Código]],Vendas!A156:B317,2,FALSE),0)</f>
        <v>0</v>
      </c>
      <c r="T160" s="44" t="str">
        <f>IFERROR(Olfa[[#This Row],[V. No mes]]/Olfa[[#This Row],[Proj. de V. No mes]],"")</f>
        <v/>
      </c>
      <c r="U160" s="43">
        <f>VLOOKUP(Olfa[[#This Row],[Código]],Projeção[#All],14,FALSE)+VLOOKUP(Olfa[[#This Row],[Código]],Projeção[#All],13,FALSE)+VLOOKUP(Olfa[[#This Row],[Código]],Projeção[#All],12,FALSE)</f>
        <v>0</v>
      </c>
      <c r="V160" s="39">
        <f>IFERROR(VLOOKUP(Olfa[[#This Row],[Código]],Venda_3meses[],2,FALSE),0)</f>
        <v>0</v>
      </c>
      <c r="W160" s="44" t="str">
        <f>IFERROR(Olfa[[#This Row],[V. 3 meses]]/Olfa[[#This Row],[Proj. de V. 3 meses]],"")</f>
        <v/>
      </c>
      <c r="X16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0" s="101">
        <f>IFERROR(VLOOKUP(Olfa[[#This Row],[Código]],Venda_6meses[],2,FALSE),0)</f>
        <v>0</v>
      </c>
      <c r="Z160" s="45" t="str">
        <f>IFERROR(Olfa[[#This Row],[V. 6 meses]]/Olfa[[#This Row],[Proj. de V. 6 meses]],"")</f>
        <v/>
      </c>
      <c r="AA16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0" s="39">
        <f>IFERROR(VLOOKUP(Olfa[[#This Row],[Código]],Venda_12meses[],2,FALSE),0)</f>
        <v>0</v>
      </c>
      <c r="AC160" s="171">
        <f>Olfa[[#This Row],[V. 12 meses]]/6</f>
        <v>0</v>
      </c>
      <c r="AD160" s="171">
        <f>Olfa[[#This Row],[Colunas1]]*0.2</f>
        <v>0</v>
      </c>
      <c r="AE160" s="44" t="str">
        <f>IFERROR(Olfa[[#This Row],[V. 12 meses]]/Olfa[[#This Row],[Proj. de V. 12 meses]],"")</f>
        <v/>
      </c>
      <c r="AF160" s="22"/>
    </row>
    <row r="161" spans="1:32" s="84" customFormat="1" x14ac:dyDescent="0.25">
      <c r="A161" s="22" t="s">
        <v>1732</v>
      </c>
      <c r="B161" s="22" t="str">
        <f>IF(OR(Olfa[[#This Row],[Status]]="Em linha",Olfa[[#This Row],[Status]]="Materia Prima",Olfa[[#This Row],[Status]]="Componente"),"ok",IF(Olfa[[#This Row],[Estoque+Importação]]&lt;1,"Tirar","ok"))</f>
        <v>Tirar</v>
      </c>
      <c r="C161" s="23">
        <v>33070614743</v>
      </c>
      <c r="D161" s="22" t="s">
        <v>1446</v>
      </c>
      <c r="E161" s="22" t="str">
        <f>VLOOKUP(Olfa[[#This Row],[Código]],BD_Produto[],3,FALSE)</f>
        <v>Estilete Especial</v>
      </c>
      <c r="F161" s="22" t="str">
        <f>VLOOKUP(Olfa[[#This Row],[Código]],BD_Produto[],4,FALSE)</f>
        <v>Especial</v>
      </c>
      <c r="G161" s="24" t="s">
        <v>1655</v>
      </c>
      <c r="H161" s="28" t="s">
        <v>1655</v>
      </c>
      <c r="I161" s="22" t="s">
        <v>2849</v>
      </c>
      <c r="J161" s="24"/>
      <c r="K161" s="24"/>
      <c r="L161" s="177">
        <f>IFERROR(VLOOKUP(Olfa[[#This Row],[Código]],Saldo[],3,FALSE),0)</f>
        <v>0</v>
      </c>
      <c r="M161" s="24">
        <f>SUM(Olfa[[#This Row],[Produção]:[Estoque]])</f>
        <v>0</v>
      </c>
      <c r="N161" s="177" t="str">
        <f>IFERROR(Olfa[[#This Row],[Estoque+Importação]]/Olfa[[#This Row],[Proj. de V. No prox. mes]],"Sem Projeção")</f>
        <v>Sem Projeção</v>
      </c>
      <c r="O161" s="177" t="str">
        <f>IF(OR(Olfa[[#This Row],[Status]]="Em Linha",Olfa[[#This Row],[Status]]="Componente",Olfa[[#This Row],[Status]]="Materia Prima"),Olfa[[#This Row],[Proj. de V. No prox. mes]]*10,"-")</f>
        <v>-</v>
      </c>
      <c r="P161" s="34">
        <f>IF(OR(Olfa[[#This Row],[Status]]="Em Linha",Olfa[[#This Row],[Status]]="Componente",Olfa[[#This Row],[Status]]="Materia Prima"),Olfa[[#This Row],[estoque 10 meses]]-Olfa[[#This Row],[Estoque+Importação]],0)</f>
        <v>0</v>
      </c>
      <c r="Q161" s="75">
        <f>Olfa[[#This Row],[Colunas1]]+Olfa[[#This Row],[Colunas2]]</f>
        <v>0</v>
      </c>
      <c r="R161" s="43">
        <f>VLOOKUP(Olfa[[#This Row],[Código]],Projeção[#All],14,FALSE)</f>
        <v>0</v>
      </c>
      <c r="S161" s="39">
        <f>IFERROR(VLOOKUP(Olfa[[#This Row],[Código]],Vendas!A157:B318,2,FALSE),0)</f>
        <v>0</v>
      </c>
      <c r="T161" s="44" t="str">
        <f>IFERROR(Olfa[[#This Row],[V. No mes]]/Olfa[[#This Row],[Proj. de V. No mes]],"")</f>
        <v/>
      </c>
      <c r="U161" s="43">
        <f>VLOOKUP(Olfa[[#This Row],[Código]],Projeção[#All],14,FALSE)+VLOOKUP(Olfa[[#This Row],[Código]],Projeção[#All],13,FALSE)+VLOOKUP(Olfa[[#This Row],[Código]],Projeção[#All],12,FALSE)</f>
        <v>0</v>
      </c>
      <c r="V161" s="39">
        <f>IFERROR(VLOOKUP(Olfa[[#This Row],[Código]],Venda_3meses[],2,FALSE),0)</f>
        <v>0</v>
      </c>
      <c r="W161" s="44" t="str">
        <f>IFERROR(Olfa[[#This Row],[V. 3 meses]]/Olfa[[#This Row],[Proj. de V. 3 meses]],"")</f>
        <v/>
      </c>
      <c r="X16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1" s="101">
        <f>IFERROR(VLOOKUP(Olfa[[#This Row],[Código]],Venda_6meses[],2,FALSE),0)</f>
        <v>0</v>
      </c>
      <c r="Z161" s="45" t="str">
        <f>IFERROR(Olfa[[#This Row],[V. 6 meses]]/Olfa[[#This Row],[Proj. de V. 6 meses]],"")</f>
        <v/>
      </c>
      <c r="AA16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1" s="39">
        <f>IFERROR(VLOOKUP(Olfa[[#This Row],[Código]],Venda_12meses[],2,FALSE),0)</f>
        <v>0</v>
      </c>
      <c r="AC161" s="171">
        <f>Olfa[[#This Row],[V. 12 meses]]/6</f>
        <v>0</v>
      </c>
      <c r="AD161" s="171">
        <f>Olfa[[#This Row],[Colunas1]]*0.2</f>
        <v>0</v>
      </c>
      <c r="AE161" s="44" t="str">
        <f>IFERROR(Olfa[[#This Row],[V. 12 meses]]/Olfa[[#This Row],[Proj. de V. 12 meses]],"")</f>
        <v/>
      </c>
      <c r="AF161" s="22"/>
    </row>
    <row r="162" spans="1:32" x14ac:dyDescent="0.25">
      <c r="A162" s="22" t="s">
        <v>1732</v>
      </c>
      <c r="B162" s="22" t="str">
        <f>IF(OR(Olfa[[#This Row],[Status]]="Em linha",Olfa[[#This Row],[Status]]="Materia Prima",Olfa[[#This Row],[Status]]="Componente"),"ok",IF(Olfa[[#This Row],[Estoque+Importação]]&lt;1,"Tirar","ok"))</f>
        <v>Tirar</v>
      </c>
      <c r="C162" s="23">
        <v>33070614740</v>
      </c>
      <c r="D162" s="22" t="s">
        <v>1445</v>
      </c>
      <c r="E162" s="22" t="str">
        <f>VLOOKUP(Olfa[[#This Row],[Código]],BD_Produto[],3,FALSE)</f>
        <v>Estilete Heavy Duty</v>
      </c>
      <c r="F162" s="22" t="str">
        <f>VLOOKUP(Olfa[[#This Row],[Código]],BD_Produto[],4,FALSE)</f>
        <v>Heavy Duty</v>
      </c>
      <c r="G162" s="24">
        <v>120</v>
      </c>
      <c r="H162" s="28">
        <v>297</v>
      </c>
      <c r="I162" s="22" t="s">
        <v>2849</v>
      </c>
      <c r="J162" s="24"/>
      <c r="K162" s="24"/>
      <c r="L162" s="177">
        <f>IFERROR(VLOOKUP(Olfa[[#This Row],[Código]],Saldo[],3,FALSE),0)</f>
        <v>0</v>
      </c>
      <c r="M162" s="24">
        <f>SUM(Olfa[[#This Row],[Produção]:[Estoque]])</f>
        <v>0</v>
      </c>
      <c r="N162" s="177" t="str">
        <f>IFERROR(Olfa[[#This Row],[Estoque+Importação]]/Olfa[[#This Row],[Proj. de V. No prox. mes]],"Sem Projeção")</f>
        <v>Sem Projeção</v>
      </c>
      <c r="O162" s="177" t="str">
        <f>IF(OR(Olfa[[#This Row],[Status]]="Em Linha",Olfa[[#This Row],[Status]]="Componente",Olfa[[#This Row],[Status]]="Materia Prima"),Olfa[[#This Row],[Proj. de V. No prox. mes]]*10,"-")</f>
        <v>-</v>
      </c>
      <c r="P162" s="34">
        <f>IF(OR(Olfa[[#This Row],[Status]]="Em Linha",Olfa[[#This Row],[Status]]="Componente",Olfa[[#This Row],[Status]]="Materia Prima"),Olfa[[#This Row],[estoque 10 meses]]-Olfa[[#This Row],[Estoque+Importação]],0)</f>
        <v>0</v>
      </c>
      <c r="Q162" s="75">
        <f>Olfa[[#This Row],[Colunas1]]+Olfa[[#This Row],[Colunas2]]</f>
        <v>0</v>
      </c>
      <c r="R162" s="43">
        <f>VLOOKUP(Olfa[[#This Row],[Código]],Projeção[#All],14,FALSE)</f>
        <v>0</v>
      </c>
      <c r="S162" s="39">
        <f>IFERROR(VLOOKUP(Olfa[[#This Row],[Código]],Vendas!A158:B319,2,FALSE),0)</f>
        <v>0</v>
      </c>
      <c r="T162" s="44" t="str">
        <f>IFERROR(Olfa[[#This Row],[V. No mes]]/Olfa[[#This Row],[Proj. de V. No mes]],"")</f>
        <v/>
      </c>
      <c r="U162" s="43">
        <f>VLOOKUP(Olfa[[#This Row],[Código]],Projeção[#All],14,FALSE)+VLOOKUP(Olfa[[#This Row],[Código]],Projeção[#All],13,FALSE)+VLOOKUP(Olfa[[#This Row],[Código]],Projeção[#All],12,FALSE)</f>
        <v>0</v>
      </c>
      <c r="V162" s="39">
        <f>IFERROR(VLOOKUP(Olfa[[#This Row],[Código]],Venda_3meses[],2,FALSE),0)</f>
        <v>0</v>
      </c>
      <c r="W162" s="44" t="str">
        <f>IFERROR(Olfa[[#This Row],[V. 3 meses]]/Olfa[[#This Row],[Proj. de V. 3 meses]],"")</f>
        <v/>
      </c>
      <c r="X162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2" s="101">
        <f>IFERROR(VLOOKUP(Olfa[[#This Row],[Código]],Venda_6meses[],2,FALSE),0)</f>
        <v>0</v>
      </c>
      <c r="Z162" s="45" t="str">
        <f>IFERROR(Olfa[[#This Row],[V. 6 meses]]/Olfa[[#This Row],[Proj. de V. 6 meses]],"")</f>
        <v/>
      </c>
      <c r="AA162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2" s="39">
        <f>IFERROR(VLOOKUP(Olfa[[#This Row],[Código]],Venda_12meses[],2,FALSE),0)</f>
        <v>0</v>
      </c>
      <c r="AC162" s="171">
        <f>Olfa[[#This Row],[V. 12 meses]]/6</f>
        <v>0</v>
      </c>
      <c r="AD162" s="171">
        <f>Olfa[[#This Row],[Colunas1]]*0.2</f>
        <v>0</v>
      </c>
      <c r="AE162" s="44" t="str">
        <f>IFERROR(Olfa[[#This Row],[V. 12 meses]]/Olfa[[#This Row],[Proj. de V. 12 meses]],"")</f>
        <v/>
      </c>
      <c r="AF162" s="22"/>
    </row>
    <row r="163" spans="1:32" x14ac:dyDescent="0.25">
      <c r="A163" s="22" t="s">
        <v>1732</v>
      </c>
      <c r="B163" s="22" t="str">
        <f>IF(OR(Olfa[[#This Row],[Status]]="Em linha",Olfa[[#This Row],[Status]]="Materia Prima",Olfa[[#This Row],[Status]]="Componente"),"ok",IF(Olfa[[#This Row],[Estoque+Importação]]&lt;1,"Tirar","ok"))</f>
        <v>Tirar</v>
      </c>
      <c r="C163" s="23">
        <v>33070614739</v>
      </c>
      <c r="D163" s="22" t="s">
        <v>1444</v>
      </c>
      <c r="E163" s="22" t="str">
        <f>VLOOKUP(Olfa[[#This Row],[Código]],BD_Produto[],3,FALSE)</f>
        <v>Estilete Especial</v>
      </c>
      <c r="F163" s="22" t="str">
        <f>VLOOKUP(Olfa[[#This Row],[Código]],BD_Produto[],4,FALSE)</f>
        <v>Especial</v>
      </c>
      <c r="G163" s="24" t="s">
        <v>1655</v>
      </c>
      <c r="H163" s="28" t="s">
        <v>1655</v>
      </c>
      <c r="I163" s="22" t="s">
        <v>2849</v>
      </c>
      <c r="J163" s="24"/>
      <c r="K163" s="24"/>
      <c r="L163" s="177">
        <f>IFERROR(VLOOKUP(Olfa[[#This Row],[Código]],Saldo[],3,FALSE),0)</f>
        <v>0</v>
      </c>
      <c r="M163" s="24">
        <f>SUM(Olfa[[#This Row],[Produção]:[Estoque]])</f>
        <v>0</v>
      </c>
      <c r="N163" s="177" t="str">
        <f>IFERROR(Olfa[[#This Row],[Estoque+Importação]]/Olfa[[#This Row],[Proj. de V. No prox. mes]],"Sem Projeção")</f>
        <v>Sem Projeção</v>
      </c>
      <c r="O163" s="177" t="str">
        <f>IF(OR(Olfa[[#This Row],[Status]]="Em Linha",Olfa[[#This Row],[Status]]="Componente",Olfa[[#This Row],[Status]]="Materia Prima"),Olfa[[#This Row],[Proj. de V. No prox. mes]]*10,"-")</f>
        <v>-</v>
      </c>
      <c r="P163" s="34">
        <f>IF(OR(Olfa[[#This Row],[Status]]="Em Linha",Olfa[[#This Row],[Status]]="Componente",Olfa[[#This Row],[Status]]="Materia Prima"),Olfa[[#This Row],[estoque 10 meses]]-Olfa[[#This Row],[Estoque+Importação]],0)</f>
        <v>0</v>
      </c>
      <c r="Q163" s="75">
        <f>Olfa[[#This Row],[Colunas1]]+Olfa[[#This Row],[Colunas2]]</f>
        <v>0</v>
      </c>
      <c r="R163" s="43">
        <f>VLOOKUP(Olfa[[#This Row],[Código]],Projeção[#All],14,FALSE)</f>
        <v>0</v>
      </c>
      <c r="S163" s="39">
        <f>IFERROR(VLOOKUP(Olfa[[#This Row],[Código]],Vendas!A159:B320,2,FALSE),0)</f>
        <v>0</v>
      </c>
      <c r="T163" s="44" t="str">
        <f>IFERROR(Olfa[[#This Row],[V. No mes]]/Olfa[[#This Row],[Proj. de V. No mes]],"")</f>
        <v/>
      </c>
      <c r="U163" s="43">
        <f>VLOOKUP(Olfa[[#This Row],[Código]],Projeção[#All],14,FALSE)+VLOOKUP(Olfa[[#This Row],[Código]],Projeção[#All],13,FALSE)+VLOOKUP(Olfa[[#This Row],[Código]],Projeção[#All],12,FALSE)</f>
        <v>0</v>
      </c>
      <c r="V163" s="39">
        <f>IFERROR(VLOOKUP(Olfa[[#This Row],[Código]],Venda_3meses[],2,FALSE),0)</f>
        <v>0</v>
      </c>
      <c r="W163" s="44" t="str">
        <f>IFERROR(Olfa[[#This Row],[V. 3 meses]]/Olfa[[#This Row],[Proj. de V. 3 meses]],"")</f>
        <v/>
      </c>
      <c r="X163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3" s="101">
        <f>IFERROR(VLOOKUP(Olfa[[#This Row],[Código]],Venda_6meses[],2,FALSE),0)</f>
        <v>0</v>
      </c>
      <c r="Z163" s="45" t="str">
        <f>IFERROR(Olfa[[#This Row],[V. 6 meses]]/Olfa[[#This Row],[Proj. de V. 6 meses]],"")</f>
        <v/>
      </c>
      <c r="AA163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3" s="39">
        <f>IFERROR(VLOOKUP(Olfa[[#This Row],[Código]],Venda_12meses[],2,FALSE),0)</f>
        <v>0</v>
      </c>
      <c r="AC163" s="171">
        <f>Olfa[[#This Row],[V. 12 meses]]/6</f>
        <v>0</v>
      </c>
      <c r="AD163" s="171">
        <f>Olfa[[#This Row],[Colunas1]]*0.2</f>
        <v>0</v>
      </c>
      <c r="AE163" s="44" t="str">
        <f>IFERROR(Olfa[[#This Row],[V. 12 meses]]/Olfa[[#This Row],[Proj. de V. 12 meses]],"")</f>
        <v/>
      </c>
      <c r="AF163" s="22"/>
    </row>
    <row r="164" spans="1:32" x14ac:dyDescent="0.25">
      <c r="A164" s="22" t="s">
        <v>1732</v>
      </c>
      <c r="B164" s="22" t="str">
        <f>IF(OR(Olfa[[#This Row],[Status]]="Em linha",Olfa[[#This Row],[Status]]="Materia Prima",Olfa[[#This Row],[Status]]="Componente"),"ok",IF(Olfa[[#This Row],[Estoque+Importação]]&lt;1,"Tirar","ok"))</f>
        <v>Tirar</v>
      </c>
      <c r="C164" s="23">
        <v>33070614737</v>
      </c>
      <c r="D164" s="22" t="s">
        <v>1443</v>
      </c>
      <c r="E164" s="22" t="str">
        <f>VLOOKUP(Olfa[[#This Row],[Código]],BD_Produto[],3,FALSE)</f>
        <v>Estilete Rotativo</v>
      </c>
      <c r="F164" s="22" t="str">
        <f>VLOOKUP(Olfa[[#This Row],[Código]],BD_Produto[],4,FALSE)</f>
        <v>Rotativo</v>
      </c>
      <c r="G164" s="24" t="s">
        <v>1655</v>
      </c>
      <c r="H164" s="28" t="s">
        <v>1655</v>
      </c>
      <c r="I164" s="22" t="s">
        <v>2849</v>
      </c>
      <c r="J164" s="24"/>
      <c r="K164" s="24"/>
      <c r="L164" s="177">
        <f>IFERROR(VLOOKUP(Olfa[[#This Row],[Código]],Saldo[],3,FALSE),0)</f>
        <v>0</v>
      </c>
      <c r="M164" s="24">
        <f>SUM(Olfa[[#This Row],[Produção]:[Estoque]])</f>
        <v>0</v>
      </c>
      <c r="N164" s="177" t="str">
        <f>IFERROR(Olfa[[#This Row],[Estoque+Importação]]/Olfa[[#This Row],[Proj. de V. No prox. mes]],"Sem Projeção")</f>
        <v>Sem Projeção</v>
      </c>
      <c r="O164" s="177" t="str">
        <f>IF(OR(Olfa[[#This Row],[Status]]="Em Linha",Olfa[[#This Row],[Status]]="Componente",Olfa[[#This Row],[Status]]="Materia Prima"),Olfa[[#This Row],[Proj. de V. No prox. mes]]*10,"-")</f>
        <v>-</v>
      </c>
      <c r="P164" s="34">
        <f>IF(OR(Olfa[[#This Row],[Status]]="Em Linha",Olfa[[#This Row],[Status]]="Componente",Olfa[[#This Row],[Status]]="Materia Prima"),Olfa[[#This Row],[estoque 10 meses]]-Olfa[[#This Row],[Estoque+Importação]],0)</f>
        <v>0</v>
      </c>
      <c r="Q164" s="75">
        <f>Olfa[[#This Row],[Colunas1]]+Olfa[[#This Row],[Colunas2]]</f>
        <v>0</v>
      </c>
      <c r="R164" s="43">
        <f>VLOOKUP(Olfa[[#This Row],[Código]],Projeção[#All],14,FALSE)</f>
        <v>0</v>
      </c>
      <c r="S164" s="39">
        <f>IFERROR(VLOOKUP(Olfa[[#This Row],[Código]],Vendas!A160:B321,2,FALSE),0)</f>
        <v>0</v>
      </c>
      <c r="T164" s="44" t="str">
        <f>IFERROR(Olfa[[#This Row],[V. No mes]]/Olfa[[#This Row],[Proj. de V. No mes]],"")</f>
        <v/>
      </c>
      <c r="U164" s="43">
        <f>VLOOKUP(Olfa[[#This Row],[Código]],Projeção[#All],14,FALSE)+VLOOKUP(Olfa[[#This Row],[Código]],Projeção[#All],13,FALSE)+VLOOKUP(Olfa[[#This Row],[Código]],Projeção[#All],12,FALSE)</f>
        <v>0</v>
      </c>
      <c r="V164" s="39">
        <f>IFERROR(VLOOKUP(Olfa[[#This Row],[Código]],Venda_3meses[],2,FALSE),0)</f>
        <v>0</v>
      </c>
      <c r="W164" s="44" t="str">
        <f>IFERROR(Olfa[[#This Row],[V. 3 meses]]/Olfa[[#This Row],[Proj. de V. 3 meses]],"")</f>
        <v/>
      </c>
      <c r="X164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4" s="101">
        <f>IFERROR(VLOOKUP(Olfa[[#This Row],[Código]],Venda_6meses[],2,FALSE),0)</f>
        <v>0</v>
      </c>
      <c r="Z164" s="45" t="str">
        <f>IFERROR(Olfa[[#This Row],[V. 6 meses]]/Olfa[[#This Row],[Proj. de V. 6 meses]],"")</f>
        <v/>
      </c>
      <c r="AA164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4" s="39">
        <f>IFERROR(VLOOKUP(Olfa[[#This Row],[Código]],Venda_12meses[],2,FALSE),0)</f>
        <v>0</v>
      </c>
      <c r="AC164" s="171">
        <f>Olfa[[#This Row],[V. 12 meses]]/6</f>
        <v>0</v>
      </c>
      <c r="AD164" s="171">
        <f>Olfa[[#This Row],[Colunas1]]*0.2</f>
        <v>0</v>
      </c>
      <c r="AE164" s="44" t="str">
        <f>IFERROR(Olfa[[#This Row],[V. 12 meses]]/Olfa[[#This Row],[Proj. de V. 12 meses]],"")</f>
        <v/>
      </c>
      <c r="AF164" s="22"/>
    </row>
    <row r="165" spans="1:32" x14ac:dyDescent="0.25">
      <c r="A165" s="22" t="s">
        <v>1732</v>
      </c>
      <c r="B165" s="22" t="str">
        <f>IF(OR(Olfa[[#This Row],[Status]]="Em linha",Olfa[[#This Row],[Status]]="Materia Prima",Olfa[[#This Row],[Status]]="Componente"),"ok",IF(Olfa[[#This Row],[Estoque+Importação]]&lt;1,"Tirar","ok"))</f>
        <v>Tirar</v>
      </c>
      <c r="C165" s="23">
        <v>33070614728</v>
      </c>
      <c r="D165" s="22" t="s">
        <v>617</v>
      </c>
      <c r="E165" s="22" t="str">
        <f>VLOOKUP(Olfa[[#This Row],[Código]],BD_Produto[],3,FALSE)</f>
        <v>Estilete Heavy Duty</v>
      </c>
      <c r="F165" s="22" t="str">
        <f>VLOOKUP(Olfa[[#This Row],[Código]],BD_Produto[],4,FALSE)</f>
        <v>Heavy Duty</v>
      </c>
      <c r="G165" s="24" t="s">
        <v>1655</v>
      </c>
      <c r="H165" s="28" t="s">
        <v>1655</v>
      </c>
      <c r="I165" s="22" t="s">
        <v>2849</v>
      </c>
      <c r="J165" s="24"/>
      <c r="K165" s="24"/>
      <c r="L165" s="177">
        <f>IFERROR(VLOOKUP(Olfa[[#This Row],[Código]],Saldo[],3,FALSE),0)</f>
        <v>0</v>
      </c>
      <c r="M165" s="24">
        <f>SUM(Olfa[[#This Row],[Produção]:[Estoque]])</f>
        <v>0</v>
      </c>
      <c r="N165" s="177" t="str">
        <f>IFERROR(Olfa[[#This Row],[Estoque+Importação]]/Olfa[[#This Row],[Proj. de V. No prox. mes]],"Sem Projeção")</f>
        <v>Sem Projeção</v>
      </c>
      <c r="O165" s="177" t="str">
        <f>IF(OR(Olfa[[#This Row],[Status]]="Em Linha",Olfa[[#This Row],[Status]]="Componente",Olfa[[#This Row],[Status]]="Materia Prima"),Olfa[[#This Row],[Proj. de V. No prox. mes]]*10,"-")</f>
        <v>-</v>
      </c>
      <c r="P165" s="34">
        <f>IF(OR(Olfa[[#This Row],[Status]]="Em Linha",Olfa[[#This Row],[Status]]="Componente",Olfa[[#This Row],[Status]]="Materia Prima"),Olfa[[#This Row],[estoque 10 meses]]-Olfa[[#This Row],[Estoque+Importação]],0)</f>
        <v>0</v>
      </c>
      <c r="Q165" s="75">
        <f>Olfa[[#This Row],[Colunas1]]+Olfa[[#This Row],[Colunas2]]</f>
        <v>0</v>
      </c>
      <c r="R165" s="43">
        <f>VLOOKUP(Olfa[[#This Row],[Código]],Projeção[#All],14,FALSE)</f>
        <v>0</v>
      </c>
      <c r="S165" s="39">
        <f>IFERROR(VLOOKUP(Olfa[[#This Row],[Código]],Vendas!A161:B322,2,FALSE),0)</f>
        <v>0</v>
      </c>
      <c r="T165" s="44" t="str">
        <f>IFERROR(Olfa[[#This Row],[V. No mes]]/Olfa[[#This Row],[Proj. de V. No mes]],"")</f>
        <v/>
      </c>
      <c r="U165" s="43">
        <f>VLOOKUP(Olfa[[#This Row],[Código]],Projeção[#All],14,FALSE)+VLOOKUP(Olfa[[#This Row],[Código]],Projeção[#All],13,FALSE)+VLOOKUP(Olfa[[#This Row],[Código]],Projeção[#All],12,FALSE)</f>
        <v>0</v>
      </c>
      <c r="V165" s="39">
        <f>IFERROR(VLOOKUP(Olfa[[#This Row],[Código]],Venda_3meses[],2,FALSE),0)</f>
        <v>0</v>
      </c>
      <c r="W165" s="44" t="str">
        <f>IFERROR(Olfa[[#This Row],[V. 3 meses]]/Olfa[[#This Row],[Proj. de V. 3 meses]],"")</f>
        <v/>
      </c>
      <c r="X165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5" s="101">
        <f>IFERROR(VLOOKUP(Olfa[[#This Row],[Código]],Venda_6meses[],2,FALSE),0)</f>
        <v>0</v>
      </c>
      <c r="Z165" s="45" t="str">
        <f>IFERROR(Olfa[[#This Row],[V. 6 meses]]/Olfa[[#This Row],[Proj. de V. 6 meses]],"")</f>
        <v/>
      </c>
      <c r="AA165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1.6666666666666665</v>
      </c>
      <c r="AB165" s="39">
        <f>IFERROR(VLOOKUP(Olfa[[#This Row],[Código]],Venda_12meses[],2,FALSE),0)</f>
        <v>0</v>
      </c>
      <c r="AC165" s="171">
        <f>Olfa[[#This Row],[V. 12 meses]]/6</f>
        <v>0</v>
      </c>
      <c r="AD165" s="171">
        <f>Olfa[[#This Row],[Colunas1]]*0.2</f>
        <v>0</v>
      </c>
      <c r="AE165" s="44">
        <f>IFERROR(Olfa[[#This Row],[V. 12 meses]]/Olfa[[#This Row],[Proj. de V. 12 meses]],"")</f>
        <v>0</v>
      </c>
      <c r="AF165" s="22"/>
    </row>
    <row r="166" spans="1:32" x14ac:dyDescent="0.25">
      <c r="A166" s="22" t="s">
        <v>1732</v>
      </c>
      <c r="B166" s="22" t="str">
        <f>IF(OR(Olfa[[#This Row],[Status]]="Em linha",Olfa[[#This Row],[Status]]="Materia Prima",Olfa[[#This Row],[Status]]="Componente"),"ok",IF(Olfa[[#This Row],[Estoque+Importação]]&lt;1,"Tirar","ok"))</f>
        <v>Tirar</v>
      </c>
      <c r="C166" s="23">
        <v>33070614726</v>
      </c>
      <c r="D166" s="22" t="s">
        <v>1442</v>
      </c>
      <c r="E166" s="22" t="str">
        <f>VLOOKUP(Olfa[[#This Row],[Código]],BD_Produto[],3,FALSE)</f>
        <v>Estilete Heavy Duty</v>
      </c>
      <c r="F166" s="22" t="str">
        <f>VLOOKUP(Olfa[[#This Row],[Código]],BD_Produto[],4,FALSE)</f>
        <v>Heavy Duty</v>
      </c>
      <c r="G166" s="24">
        <v>120</v>
      </c>
      <c r="H166" s="28">
        <v>274.5</v>
      </c>
      <c r="I166" s="22" t="s">
        <v>2849</v>
      </c>
      <c r="J166" s="24"/>
      <c r="K166" s="24"/>
      <c r="L166" s="177">
        <f>IFERROR(VLOOKUP(Olfa[[#This Row],[Código]],Saldo[],3,FALSE),0)</f>
        <v>0</v>
      </c>
      <c r="M166" s="24">
        <f>SUM(Olfa[[#This Row],[Produção]:[Estoque]])</f>
        <v>0</v>
      </c>
      <c r="N166" s="177" t="str">
        <f>IFERROR(Olfa[[#This Row],[Estoque+Importação]]/Olfa[[#This Row],[Proj. de V. No prox. mes]],"Sem Projeção")</f>
        <v>Sem Projeção</v>
      </c>
      <c r="O166" s="177" t="str">
        <f>IF(OR(Olfa[[#This Row],[Status]]="Em Linha",Olfa[[#This Row],[Status]]="Componente",Olfa[[#This Row],[Status]]="Materia Prima"),Olfa[[#This Row],[Proj. de V. No prox. mes]]*10,"-")</f>
        <v>-</v>
      </c>
      <c r="P166" s="34">
        <f>IF(OR(Olfa[[#This Row],[Status]]="Em Linha",Olfa[[#This Row],[Status]]="Componente",Olfa[[#This Row],[Status]]="Materia Prima"),Olfa[[#This Row],[estoque 10 meses]]-Olfa[[#This Row],[Estoque+Importação]],0)</f>
        <v>0</v>
      </c>
      <c r="Q166" s="75">
        <f>Olfa[[#This Row],[Colunas1]]+Olfa[[#This Row],[Colunas2]]</f>
        <v>0</v>
      </c>
      <c r="R166" s="43">
        <f>VLOOKUP(Olfa[[#This Row],[Código]],Projeção[#All],14,FALSE)</f>
        <v>0</v>
      </c>
      <c r="S166" s="39">
        <f>IFERROR(VLOOKUP(Olfa[[#This Row],[Código]],Vendas!A162:B323,2,FALSE),0)</f>
        <v>0</v>
      </c>
      <c r="T166" s="44" t="str">
        <f>IFERROR(Olfa[[#This Row],[V. No mes]]/Olfa[[#This Row],[Proj. de V. No mes]],"")</f>
        <v/>
      </c>
      <c r="U166" s="43">
        <f>VLOOKUP(Olfa[[#This Row],[Código]],Projeção[#All],14,FALSE)+VLOOKUP(Olfa[[#This Row],[Código]],Projeção[#All],13,FALSE)+VLOOKUP(Olfa[[#This Row],[Código]],Projeção[#All],12,FALSE)</f>
        <v>0</v>
      </c>
      <c r="V166" s="39">
        <f>IFERROR(VLOOKUP(Olfa[[#This Row],[Código]],Venda_3meses[],2,FALSE),0)</f>
        <v>0</v>
      </c>
      <c r="W166" s="44" t="str">
        <f>IFERROR(Olfa[[#This Row],[V. 3 meses]]/Olfa[[#This Row],[Proj. de V. 3 meses]],"")</f>
        <v/>
      </c>
      <c r="X166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6" s="101">
        <f>IFERROR(VLOOKUP(Olfa[[#This Row],[Código]],Venda_6meses[],2,FALSE),0)</f>
        <v>0</v>
      </c>
      <c r="Z166" s="45" t="str">
        <f>IFERROR(Olfa[[#This Row],[V. 6 meses]]/Olfa[[#This Row],[Proj. de V. 6 meses]],"")</f>
        <v/>
      </c>
      <c r="AA166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6" s="39">
        <f>IFERROR(VLOOKUP(Olfa[[#This Row],[Código]],Venda_12meses[],2,FALSE),0)</f>
        <v>0</v>
      </c>
      <c r="AC166" s="171">
        <f>Olfa[[#This Row],[V. 12 meses]]/6</f>
        <v>0</v>
      </c>
      <c r="AD166" s="171">
        <f>Olfa[[#This Row],[Colunas1]]*0.2</f>
        <v>0</v>
      </c>
      <c r="AE166" s="44" t="str">
        <f>IFERROR(Olfa[[#This Row],[V. 12 meses]]/Olfa[[#This Row],[Proj. de V. 12 meses]],"")</f>
        <v/>
      </c>
      <c r="AF166" s="22"/>
    </row>
    <row r="167" spans="1:32" x14ac:dyDescent="0.25">
      <c r="A167" s="22" t="s">
        <v>1732</v>
      </c>
      <c r="B167" s="22" t="str">
        <f>IF(OR(Olfa[[#This Row],[Status]]="Em linha",Olfa[[#This Row],[Status]]="Materia Prima",Olfa[[#This Row],[Status]]="Componente"),"ok",IF(Olfa[[#This Row],[Estoque+Importação]]&lt;1,"Tirar","ok"))</f>
        <v>Tirar</v>
      </c>
      <c r="C167" s="23">
        <v>33070614705</v>
      </c>
      <c r="D167" s="22" t="s">
        <v>1441</v>
      </c>
      <c r="E167" s="22" t="str">
        <f>VLOOKUP(Olfa[[#This Row],[Código]],BD_Produto[],3,FALSE)</f>
        <v>Estilete Multiuso</v>
      </c>
      <c r="F167" s="22" t="str">
        <f>VLOOKUP(Olfa[[#This Row],[Código]],BD_Produto[],4,FALSE)</f>
        <v>Multiuso</v>
      </c>
      <c r="G167" s="24" t="s">
        <v>1655</v>
      </c>
      <c r="H167" s="28" t="s">
        <v>1655</v>
      </c>
      <c r="I167" s="22" t="s">
        <v>2849</v>
      </c>
      <c r="J167" s="24"/>
      <c r="K167" s="24"/>
      <c r="L167" s="177">
        <f>IFERROR(VLOOKUP(Olfa[[#This Row],[Código]],Saldo[],3,FALSE),0)</f>
        <v>0</v>
      </c>
      <c r="M167" s="24">
        <f>SUM(Olfa[[#This Row],[Produção]:[Estoque]])</f>
        <v>0</v>
      </c>
      <c r="N167" s="177" t="str">
        <f>IFERROR(Olfa[[#This Row],[Estoque+Importação]]/Olfa[[#This Row],[Proj. de V. No prox. mes]],"Sem Projeção")</f>
        <v>Sem Projeção</v>
      </c>
      <c r="O167" s="177" t="str">
        <f>IF(OR(Olfa[[#This Row],[Status]]="Em Linha",Olfa[[#This Row],[Status]]="Componente",Olfa[[#This Row],[Status]]="Materia Prima"),Olfa[[#This Row],[Proj. de V. No prox. mes]]*10,"-")</f>
        <v>-</v>
      </c>
      <c r="P167" s="34">
        <f>IF(OR(Olfa[[#This Row],[Status]]="Em Linha",Olfa[[#This Row],[Status]]="Componente",Olfa[[#This Row],[Status]]="Materia Prima"),Olfa[[#This Row],[estoque 10 meses]]-Olfa[[#This Row],[Estoque+Importação]],0)</f>
        <v>0</v>
      </c>
      <c r="Q167" s="75">
        <f>Olfa[[#This Row],[Colunas1]]+Olfa[[#This Row],[Colunas2]]</f>
        <v>0</v>
      </c>
      <c r="R167" s="43">
        <f>VLOOKUP(Olfa[[#This Row],[Código]],Projeção[#All],14,FALSE)</f>
        <v>0</v>
      </c>
      <c r="S167" s="39">
        <f>IFERROR(VLOOKUP(Olfa[[#This Row],[Código]],Vendas!A163:B324,2,FALSE),0)</f>
        <v>0</v>
      </c>
      <c r="T167" s="44" t="str">
        <f>IFERROR(Olfa[[#This Row],[V. No mes]]/Olfa[[#This Row],[Proj. de V. No mes]],"")</f>
        <v/>
      </c>
      <c r="U167" s="43">
        <f>VLOOKUP(Olfa[[#This Row],[Código]],Projeção[#All],14,FALSE)+VLOOKUP(Olfa[[#This Row],[Código]],Projeção[#All],13,FALSE)+VLOOKUP(Olfa[[#This Row],[Código]],Projeção[#All],12,FALSE)</f>
        <v>0</v>
      </c>
      <c r="V167" s="39">
        <f>IFERROR(VLOOKUP(Olfa[[#This Row],[Código]],Venda_3meses[],2,FALSE),0)</f>
        <v>0</v>
      </c>
      <c r="W167" s="44" t="str">
        <f>IFERROR(Olfa[[#This Row],[V. 3 meses]]/Olfa[[#This Row],[Proj. de V. 3 meses]],"")</f>
        <v/>
      </c>
      <c r="X167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7" s="101">
        <f>IFERROR(VLOOKUP(Olfa[[#This Row],[Código]],Venda_6meses[],2,FALSE),0)</f>
        <v>0</v>
      </c>
      <c r="Z167" s="45" t="str">
        <f>IFERROR(Olfa[[#This Row],[V. 6 meses]]/Olfa[[#This Row],[Proj. de V. 6 meses]],"")</f>
        <v/>
      </c>
      <c r="AA167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7" s="39">
        <f>IFERROR(VLOOKUP(Olfa[[#This Row],[Código]],Venda_12meses[],2,FALSE),0)</f>
        <v>0</v>
      </c>
      <c r="AC167" s="171">
        <f>Olfa[[#This Row],[V. 12 meses]]/6</f>
        <v>0</v>
      </c>
      <c r="AD167" s="171">
        <f>Olfa[[#This Row],[Colunas1]]*0.2</f>
        <v>0</v>
      </c>
      <c r="AE167" s="44" t="str">
        <f>IFERROR(Olfa[[#This Row],[V. 12 meses]]/Olfa[[#This Row],[Proj. de V. 12 meses]],"")</f>
        <v/>
      </c>
      <c r="AF167" s="22"/>
    </row>
    <row r="168" spans="1:32" x14ac:dyDescent="0.25">
      <c r="A168" s="22" t="s">
        <v>1732</v>
      </c>
      <c r="B168" s="22" t="str">
        <f>IF(OR(Olfa[[#This Row],[Status]]="Em linha",Olfa[[#This Row],[Status]]="Materia Prima",Olfa[[#This Row],[Status]]="Componente"),"ok",IF(Olfa[[#This Row],[Estoque+Importação]]&lt;1,"Tirar","ok"))</f>
        <v>Tirar</v>
      </c>
      <c r="C168" s="23">
        <v>33070614029</v>
      </c>
      <c r="D168" s="22" t="s">
        <v>1052</v>
      </c>
      <c r="E168" s="22" t="str">
        <f>VLOOKUP(Olfa[[#This Row],[Código]],BD_Produto[],3,FALSE)</f>
        <v>Estojo de Lâminas</v>
      </c>
      <c r="F168" s="22" t="str">
        <f>VLOOKUP(Olfa[[#This Row],[Código]],BD_Produto[],4,FALSE)</f>
        <v>Multiuso</v>
      </c>
      <c r="G168" s="24">
        <v>720</v>
      </c>
      <c r="H168" s="28">
        <v>73</v>
      </c>
      <c r="I168" s="22" t="s">
        <v>2849</v>
      </c>
      <c r="J168" s="24"/>
      <c r="K168" s="24"/>
      <c r="L168" s="177">
        <f>IFERROR(VLOOKUP(Olfa[[#This Row],[Código]],Saldo[],3,FALSE),0)</f>
        <v>0</v>
      </c>
      <c r="M168" s="24">
        <f>SUM(Olfa[[#This Row],[Produção]:[Estoque]])</f>
        <v>0</v>
      </c>
      <c r="N168" s="177" t="str">
        <f>IFERROR(Olfa[[#This Row],[Estoque+Importação]]/Olfa[[#This Row],[Proj. de V. No prox. mes]],"Sem Projeção")</f>
        <v>Sem Projeção</v>
      </c>
      <c r="O168" s="177" t="str">
        <f>IF(OR(Olfa[[#This Row],[Status]]="Em Linha",Olfa[[#This Row],[Status]]="Componente",Olfa[[#This Row],[Status]]="Materia Prima"),Olfa[[#This Row],[Proj. de V. No prox. mes]]*10,"-")</f>
        <v>-</v>
      </c>
      <c r="P168" s="34">
        <f>IF(OR(Olfa[[#This Row],[Status]]="Em Linha",Olfa[[#This Row],[Status]]="Componente",Olfa[[#This Row],[Status]]="Materia Prima"),Olfa[[#This Row],[estoque 10 meses]]-Olfa[[#This Row],[Estoque+Importação]],0)</f>
        <v>0</v>
      </c>
      <c r="Q168" s="75">
        <f>Olfa[[#This Row],[Colunas1]]+Olfa[[#This Row],[Colunas2]]</f>
        <v>0</v>
      </c>
      <c r="R168" s="43">
        <f>VLOOKUP(Olfa[[#This Row],[Código]],Projeção[#All],14,FALSE)</f>
        <v>0</v>
      </c>
      <c r="S168" s="39">
        <f>IFERROR(VLOOKUP(Olfa[[#This Row],[Código]],Vendas!A164:B325,2,FALSE),0)</f>
        <v>0</v>
      </c>
      <c r="T168" s="44" t="str">
        <f>IFERROR(Olfa[[#This Row],[V. No mes]]/Olfa[[#This Row],[Proj. de V. No mes]],"")</f>
        <v/>
      </c>
      <c r="U168" s="43">
        <f>VLOOKUP(Olfa[[#This Row],[Código]],Projeção[#All],14,FALSE)+VLOOKUP(Olfa[[#This Row],[Código]],Projeção[#All],13,FALSE)+VLOOKUP(Olfa[[#This Row],[Código]],Projeção[#All],12,FALSE)</f>
        <v>0</v>
      </c>
      <c r="V168" s="39">
        <f>IFERROR(VLOOKUP(Olfa[[#This Row],[Código]],Venda_3meses[],2,FALSE),0)</f>
        <v>0</v>
      </c>
      <c r="W168" s="44" t="str">
        <f>IFERROR(Olfa[[#This Row],[V. 3 meses]]/Olfa[[#This Row],[Proj. de V. 3 meses]],"")</f>
        <v/>
      </c>
      <c r="X168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8" s="101">
        <f>IFERROR(VLOOKUP(Olfa[[#This Row],[Código]],Venda_6meses[],2,FALSE),0)</f>
        <v>0</v>
      </c>
      <c r="Z168" s="45" t="str">
        <f>IFERROR(Olfa[[#This Row],[V. 6 meses]]/Olfa[[#This Row],[Proj. de V. 6 meses]],"")</f>
        <v/>
      </c>
      <c r="AA168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1.3333333333333333</v>
      </c>
      <c r="AB168" s="39">
        <f>IFERROR(VLOOKUP(Olfa[[#This Row],[Código]],Venda_12meses[],2,FALSE),0)</f>
        <v>0</v>
      </c>
      <c r="AC168" s="171">
        <f>Olfa[[#This Row],[V. 12 meses]]/6</f>
        <v>0</v>
      </c>
      <c r="AD168" s="171">
        <f>Olfa[[#This Row],[Colunas1]]*0.2</f>
        <v>0</v>
      </c>
      <c r="AE168" s="44">
        <f>IFERROR(Olfa[[#This Row],[V. 12 meses]]/Olfa[[#This Row],[Proj. de V. 12 meses]],"")</f>
        <v>0</v>
      </c>
      <c r="AF168" s="22"/>
    </row>
    <row r="169" spans="1:32" s="143" customFormat="1" x14ac:dyDescent="0.25">
      <c r="A169" s="22" t="s">
        <v>1732</v>
      </c>
      <c r="B169" s="22" t="str">
        <f>IF(OR(Olfa[[#This Row],[Status]]="Em linha",Olfa[[#This Row],[Status]]="Materia Prima",Olfa[[#This Row],[Status]]="Componente"),"ok",IF(Olfa[[#This Row],[Estoque+Importação]]&lt;1,"Tirar","ok"))</f>
        <v>Tirar</v>
      </c>
      <c r="C169" s="23">
        <v>33070614020</v>
      </c>
      <c r="D169" s="22" t="s">
        <v>1440</v>
      </c>
      <c r="E169" s="22" t="str">
        <f>VLOOKUP(Olfa[[#This Row],[Código]],BD_Produto[],3,FALSE)</f>
        <v>Estilete Rotativo</v>
      </c>
      <c r="F169" s="22" t="str">
        <f>VLOOKUP(Olfa[[#This Row],[Código]],BD_Produto[],4,FALSE)</f>
        <v>Rotativo</v>
      </c>
      <c r="G169" s="24">
        <v>120</v>
      </c>
      <c r="H169" s="28">
        <v>458</v>
      </c>
      <c r="I169" s="22" t="s">
        <v>2849</v>
      </c>
      <c r="J169" s="24"/>
      <c r="K169" s="24"/>
      <c r="L169" s="177">
        <f>IFERROR(VLOOKUP(Olfa[[#This Row],[Código]],Saldo[],3,FALSE),0)</f>
        <v>0</v>
      </c>
      <c r="M169" s="24">
        <f>SUM(Olfa[[#This Row],[Produção]:[Estoque]])</f>
        <v>0</v>
      </c>
      <c r="N169" s="177" t="str">
        <f>IFERROR(Olfa[[#This Row],[Estoque+Importação]]/Olfa[[#This Row],[Proj. de V. No prox. mes]],"Sem Projeção")</f>
        <v>Sem Projeção</v>
      </c>
      <c r="O169" s="177" t="str">
        <f>IF(OR(Olfa[[#This Row],[Status]]="Em Linha",Olfa[[#This Row],[Status]]="Componente",Olfa[[#This Row],[Status]]="Materia Prima"),Olfa[[#This Row],[Proj. de V. No prox. mes]]*10,"-")</f>
        <v>-</v>
      </c>
      <c r="P169" s="34">
        <f>IF(OR(Olfa[[#This Row],[Status]]="Em Linha",Olfa[[#This Row],[Status]]="Componente",Olfa[[#This Row],[Status]]="Materia Prima"),Olfa[[#This Row],[estoque 10 meses]]-Olfa[[#This Row],[Estoque+Importação]],0)</f>
        <v>0</v>
      </c>
      <c r="Q169" s="75">
        <f>Olfa[[#This Row],[Colunas1]]+Olfa[[#This Row],[Colunas2]]</f>
        <v>0</v>
      </c>
      <c r="R169" s="43">
        <f>VLOOKUP(Olfa[[#This Row],[Código]],Projeção[#All],14,FALSE)</f>
        <v>0</v>
      </c>
      <c r="S169" s="39">
        <f>IFERROR(VLOOKUP(Olfa[[#This Row],[Código]],Vendas!A165:B326,2,FALSE),0)</f>
        <v>0</v>
      </c>
      <c r="T169" s="44" t="str">
        <f>IFERROR(Olfa[[#This Row],[V. No mes]]/Olfa[[#This Row],[Proj. de V. No mes]],"")</f>
        <v/>
      </c>
      <c r="U169" s="43">
        <f>VLOOKUP(Olfa[[#This Row],[Código]],Projeção[#All],14,FALSE)+VLOOKUP(Olfa[[#This Row],[Código]],Projeção[#All],13,FALSE)+VLOOKUP(Olfa[[#This Row],[Código]],Projeção[#All],12,FALSE)</f>
        <v>0</v>
      </c>
      <c r="V169" s="39">
        <f>IFERROR(VLOOKUP(Olfa[[#This Row],[Código]],Venda_3meses[],2,FALSE),0)</f>
        <v>0</v>
      </c>
      <c r="W169" s="44" t="str">
        <f>IFERROR(Olfa[[#This Row],[V. 3 meses]]/Olfa[[#This Row],[Proj. de V. 3 meses]],"")</f>
        <v/>
      </c>
      <c r="X169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69" s="101">
        <f>IFERROR(VLOOKUP(Olfa[[#This Row],[Código]],Venda_6meses[],2,FALSE),0)</f>
        <v>0</v>
      </c>
      <c r="Z169" s="45" t="str">
        <f>IFERROR(Olfa[[#This Row],[V. 6 meses]]/Olfa[[#This Row],[Proj. de V. 6 meses]],"")</f>
        <v/>
      </c>
      <c r="AA169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69" s="39">
        <f>IFERROR(VLOOKUP(Olfa[[#This Row],[Código]],Venda_12meses[],2,FALSE),0)</f>
        <v>0</v>
      </c>
      <c r="AC169" s="171">
        <f>Olfa[[#This Row],[V. 12 meses]]/6</f>
        <v>0</v>
      </c>
      <c r="AD169" s="171">
        <f>Olfa[[#This Row],[Colunas1]]*0.2</f>
        <v>0</v>
      </c>
      <c r="AE169" s="44" t="str">
        <f>IFERROR(Olfa[[#This Row],[V. 12 meses]]/Olfa[[#This Row],[Proj. de V. 12 meses]],"")</f>
        <v/>
      </c>
      <c r="AF169" s="22"/>
    </row>
    <row r="170" spans="1:32" s="143" customFormat="1" x14ac:dyDescent="0.25">
      <c r="A170" s="22" t="s">
        <v>1732</v>
      </c>
      <c r="B170" s="22" t="str">
        <f>IF(OR(Olfa[[#This Row],[Status]]="Em linha",Olfa[[#This Row],[Status]]="Materia Prima",Olfa[[#This Row],[Status]]="Componente"),"ok",IF(Olfa[[#This Row],[Estoque+Importação]]&lt;1,"Tirar","ok"))</f>
        <v>Tirar</v>
      </c>
      <c r="C170" s="23">
        <v>33070614018</v>
      </c>
      <c r="D170" s="22" t="s">
        <v>1439</v>
      </c>
      <c r="E170" s="22" t="str">
        <f>VLOOKUP(Olfa[[#This Row],[Código]],BD_Produto[],3,FALSE)</f>
        <v>Estilete Rotativo</v>
      </c>
      <c r="F170" s="22" t="str">
        <f>VLOOKUP(Olfa[[#This Row],[Código]],BD_Produto[],4,FALSE)</f>
        <v>Rotativo</v>
      </c>
      <c r="G170" s="24">
        <v>120</v>
      </c>
      <c r="H170" s="28">
        <v>410</v>
      </c>
      <c r="I170" s="22" t="s">
        <v>2849</v>
      </c>
      <c r="J170" s="24"/>
      <c r="K170" s="24"/>
      <c r="L170" s="177">
        <f>IFERROR(VLOOKUP(Olfa[[#This Row],[Código]],Saldo[],3,FALSE),0)</f>
        <v>0</v>
      </c>
      <c r="M170" s="24">
        <f>SUM(Olfa[[#This Row],[Produção]:[Estoque]])</f>
        <v>0</v>
      </c>
      <c r="N170" s="177" t="str">
        <f>IFERROR(Olfa[[#This Row],[Estoque+Importação]]/Olfa[[#This Row],[Proj. de V. No prox. mes]],"Sem Projeção")</f>
        <v>Sem Projeção</v>
      </c>
      <c r="O170" s="177" t="str">
        <f>IF(OR(Olfa[[#This Row],[Status]]="Em Linha",Olfa[[#This Row],[Status]]="Componente",Olfa[[#This Row],[Status]]="Materia Prima"),Olfa[[#This Row],[Proj. de V. No prox. mes]]*10,"-")</f>
        <v>-</v>
      </c>
      <c r="P170" s="34">
        <f>IF(OR(Olfa[[#This Row],[Status]]="Em Linha",Olfa[[#This Row],[Status]]="Componente",Olfa[[#This Row],[Status]]="Materia Prima"),Olfa[[#This Row],[estoque 10 meses]]-Olfa[[#This Row],[Estoque+Importação]],0)</f>
        <v>0</v>
      </c>
      <c r="Q170" s="75">
        <f>Olfa[[#This Row],[Colunas1]]+Olfa[[#This Row],[Colunas2]]</f>
        <v>0</v>
      </c>
      <c r="R170" s="43">
        <f>VLOOKUP(Olfa[[#This Row],[Código]],Projeção[#All],14,FALSE)</f>
        <v>0</v>
      </c>
      <c r="S170" s="39">
        <f>IFERROR(VLOOKUP(Olfa[[#This Row],[Código]],Vendas!A166:B327,2,FALSE),0)</f>
        <v>0</v>
      </c>
      <c r="T170" s="44" t="str">
        <f>IFERROR(Olfa[[#This Row],[V. No mes]]/Olfa[[#This Row],[Proj. de V. No mes]],"")</f>
        <v/>
      </c>
      <c r="U170" s="43">
        <f>VLOOKUP(Olfa[[#This Row],[Código]],Projeção[#All],14,FALSE)+VLOOKUP(Olfa[[#This Row],[Código]],Projeção[#All],13,FALSE)+VLOOKUP(Olfa[[#This Row],[Código]],Projeção[#All],12,FALSE)</f>
        <v>0</v>
      </c>
      <c r="V170" s="39">
        <f>IFERROR(VLOOKUP(Olfa[[#This Row],[Código]],Venda_3meses[],2,FALSE),0)</f>
        <v>0</v>
      </c>
      <c r="W170" s="44" t="str">
        <f>IFERROR(Olfa[[#This Row],[V. 3 meses]]/Olfa[[#This Row],[Proj. de V. 3 meses]],"")</f>
        <v/>
      </c>
      <c r="X170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70" s="101">
        <f>IFERROR(VLOOKUP(Olfa[[#This Row],[Código]],Venda_6meses[],2,FALSE),0)</f>
        <v>0</v>
      </c>
      <c r="Z170" s="45" t="str">
        <f>IFERROR(Olfa[[#This Row],[V. 6 meses]]/Olfa[[#This Row],[Proj. de V. 6 meses]],"")</f>
        <v/>
      </c>
      <c r="AA170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70" s="39">
        <f>IFERROR(VLOOKUP(Olfa[[#This Row],[Código]],Venda_12meses[],2,FALSE),0)</f>
        <v>0</v>
      </c>
      <c r="AC170" s="171">
        <f>Olfa[[#This Row],[V. 12 meses]]/6</f>
        <v>0</v>
      </c>
      <c r="AD170" s="171">
        <f>Olfa[[#This Row],[Colunas1]]*0.2</f>
        <v>0</v>
      </c>
      <c r="AE170" s="44" t="str">
        <f>IFERROR(Olfa[[#This Row],[V. 12 meses]]/Olfa[[#This Row],[Proj. de V. 12 meses]],"")</f>
        <v/>
      </c>
      <c r="AF170" s="22"/>
    </row>
    <row r="171" spans="1:32" s="143" customFormat="1" x14ac:dyDescent="0.25">
      <c r="A171" s="22" t="s">
        <v>1732</v>
      </c>
      <c r="B171" s="22" t="str">
        <f>IF(OR(Olfa[[#This Row],[Status]]="Em linha",Olfa[[#This Row],[Status]]="Materia Prima",Olfa[[#This Row],[Status]]="Componente"),"ok",IF(Olfa[[#This Row],[Estoque+Importação]]&lt;1,"Tirar","ok"))</f>
        <v>Tirar</v>
      </c>
      <c r="C171" s="23">
        <v>33070614017</v>
      </c>
      <c r="D171" s="22" t="s">
        <v>980</v>
      </c>
      <c r="E171" s="22" t="str">
        <f>VLOOKUP(Olfa[[#This Row],[Código]],BD_Produto[],3,FALSE)</f>
        <v>Estilete Rotativo</v>
      </c>
      <c r="F171" s="22" t="str">
        <f>VLOOKUP(Olfa[[#This Row],[Código]],BD_Produto[],4,FALSE)</f>
        <v>Rotativo</v>
      </c>
      <c r="G171" s="24">
        <v>120</v>
      </c>
      <c r="H171" s="28">
        <v>252</v>
      </c>
      <c r="I171" s="22" t="s">
        <v>2849</v>
      </c>
      <c r="J171" s="24"/>
      <c r="K171" s="24" t="str">
        <f>IFERROR(VLOOKUP(Olfa[[#This Row],[Código]],Importação!P:R,3,FALSE),"")</f>
        <v/>
      </c>
      <c r="L171" s="177">
        <f>IFERROR(VLOOKUP(Olfa[[#This Row],[Código]],Saldo[],3,FALSE),0)</f>
        <v>0</v>
      </c>
      <c r="M171" s="24">
        <f>SUM(Olfa[[#This Row],[Produção]:[Estoque]])</f>
        <v>0</v>
      </c>
      <c r="N171" s="177" t="str">
        <f>IFERROR(Olfa[[#This Row],[Estoque+Importação]]/Olfa[[#This Row],[Proj. de V. No prox. mes]],"Sem Projeção")</f>
        <v>Sem Projeção</v>
      </c>
      <c r="O171" s="177" t="str">
        <f>IF(OR(Olfa[[#This Row],[Status]]="Em Linha",Olfa[[#This Row],[Status]]="Componente",Olfa[[#This Row],[Status]]="Materia Prima"),Olfa[[#This Row],[Proj. de V. No prox. mes]]*10,"-")</f>
        <v>-</v>
      </c>
      <c r="P171" s="34">
        <f>IF(OR(Olfa[[#This Row],[Status]]="Em Linha",Olfa[[#This Row],[Status]]="Componente",Olfa[[#This Row],[Status]]="Materia Prima"),Olfa[[#This Row],[estoque 10 meses]]-Olfa[[#This Row],[Estoque+Importação]],0)</f>
        <v>0</v>
      </c>
      <c r="Q171" s="75">
        <f>Olfa[[#This Row],[Colunas1]]+Olfa[[#This Row],[Colunas2]]</f>
        <v>0</v>
      </c>
      <c r="R171" s="43">
        <f>VLOOKUP(Olfa[[#This Row],[Código]],Projeção[#All],14,FALSE)</f>
        <v>0</v>
      </c>
      <c r="S171" s="39">
        <f>IFERROR(VLOOKUP(Olfa[[#This Row],[Código]],Vendas!A167:B328,2,FALSE),0)</f>
        <v>0</v>
      </c>
      <c r="T171" s="44" t="str">
        <f>IFERROR(Olfa[[#This Row],[V. No mes]]/Olfa[[#This Row],[Proj. de V. No mes]],"")</f>
        <v/>
      </c>
      <c r="U171" s="43">
        <f>VLOOKUP(Olfa[[#This Row],[Código]],Projeção[#All],14,FALSE)+VLOOKUP(Olfa[[#This Row],[Código]],Projeção[#All],13,FALSE)+VLOOKUP(Olfa[[#This Row],[Código]],Projeção[#All],12,FALSE)</f>
        <v>0</v>
      </c>
      <c r="V171" s="39">
        <f>IFERROR(VLOOKUP(Olfa[[#This Row],[Código]],Venda_3meses[],2,FALSE),0)</f>
        <v>0</v>
      </c>
      <c r="W171" s="44" t="str">
        <f>IFERROR(Olfa[[#This Row],[V. 3 meses]]/Olfa[[#This Row],[Proj. de V. 3 meses]],"")</f>
        <v/>
      </c>
      <c r="X171" s="101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</f>
        <v>0</v>
      </c>
      <c r="Y171" s="101">
        <f>IFERROR(VLOOKUP(Olfa[[#This Row],[Código]],Venda_6meses[],2,FALSE),0)</f>
        <v>0</v>
      </c>
      <c r="Z171" s="45" t="str">
        <f>IFERROR(Olfa[[#This Row],[V. 6 meses]]/Olfa[[#This Row],[Proj. de V. 6 meses]],"")</f>
        <v/>
      </c>
      <c r="AA171" s="43">
        <f>VLOOKUP(Olfa[[#This Row],[Código]],Projeção[#All],14,FALSE)+VLOOKUP(Olfa[[#This Row],[Código]],Projeção[#All],13,FALSE)+VLOOKUP(Olfa[[#This Row],[Código]],Projeção[#All],12,FALSE)+VLOOKUP(Olfa[[#This Row],[Código]],Projeção[#All],11,FALSE)+VLOOKUP(Olfa[[#This Row],[Código]],Projeção[#All],10,FALSE)+VLOOKUP(Olfa[[#This Row],[Código]],Projeção[#All],9,FALSE)+VLOOKUP(Olfa[[#This Row],[Código]],Projeção[#All],8,FALSE)+VLOOKUP(Olfa[[#This Row],[Código]],Projeção[#All],7,FALSE)+VLOOKUP(Olfa[[#This Row],[Código]],Projeção[#All],6,FALSE)+VLOOKUP(Olfa[[#This Row],[Código]],Projeção[#All],5,FALSE)+VLOOKUP(Olfa[[#This Row],[Código]],Projeção[#All],4,FALSE)+VLOOKUP(Olfa[[#This Row],[Código]],Projeção[#All],3,FALSE)</f>
        <v>0</v>
      </c>
      <c r="AB171" s="39">
        <f>IFERROR(VLOOKUP(Olfa[[#This Row],[Código]],Venda_12meses[],2,FALSE),0)</f>
        <v>0</v>
      </c>
      <c r="AC171" s="171">
        <f>Olfa[[#This Row],[V. 12 meses]]/6</f>
        <v>0</v>
      </c>
      <c r="AD171" s="171">
        <f>Olfa[[#This Row],[Colunas1]]*0.2</f>
        <v>0</v>
      </c>
      <c r="AE171" s="44" t="str">
        <f>IFERROR(Olfa[[#This Row],[V. 12 meses]]/Olfa[[#This Row],[Proj. de V. 12 meses]],"")</f>
        <v/>
      </c>
      <c r="AF171" s="22"/>
    </row>
  </sheetData>
  <mergeCells count="33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F1:AF5"/>
    <mergeCell ref="R3:R5"/>
    <mergeCell ref="S3:S5"/>
    <mergeCell ref="T3:T5"/>
    <mergeCell ref="AE3:AE5"/>
    <mergeCell ref="X1:Z2"/>
    <mergeCell ref="X3:X5"/>
    <mergeCell ref="Y3:Y5"/>
    <mergeCell ref="Z3:Z5"/>
    <mergeCell ref="O1:O5"/>
    <mergeCell ref="P1:P5"/>
    <mergeCell ref="U1:W2"/>
    <mergeCell ref="AA1:AE2"/>
    <mergeCell ref="U3:U5"/>
    <mergeCell ref="V3:V5"/>
    <mergeCell ref="W3:W5"/>
    <mergeCell ref="AA3:AA5"/>
    <mergeCell ref="AB3:AB5"/>
    <mergeCell ref="R1:T1"/>
    <mergeCell ref="R2:T2"/>
    <mergeCell ref="Q3:Q5"/>
  </mergeCells>
  <printOptions headings="1"/>
  <pageMargins left="0.19685039370078741" right="0.19685039370078741" top="0.39370078740157483" bottom="0.59055118110236227" header="0.31496062992125984" footer="0.31496062992125984"/>
  <pageSetup paperSize="9" orientation="landscape" r:id="rId1"/>
  <ignoredErrors>
    <ignoredError sqref="A7:A171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875A297D-69D3-494A-A66B-9378D10655A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T7:T168 W7:W168 AE7:AE168 Z7:Z168</xm:sqref>
        </x14:conditionalFormatting>
        <x14:conditionalFormatting xmlns:xm="http://schemas.microsoft.com/office/excel/2006/main">
          <x14:cfRule type="iconSet" priority="5" id="{4FA00B46-FADE-42F9-B93B-FBE0F75F3B61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P7:P168</xm:sqref>
        </x14:conditionalFormatting>
        <x14:conditionalFormatting xmlns:xm="http://schemas.microsoft.com/office/excel/2006/main">
          <x14:cfRule type="iconSet" priority="2" id="{FEE76824-5884-4AC7-B1E1-38DD12A42EAC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T169:T171 W169:W171 AE169:AE171 Z169:Z171</xm:sqref>
        </x14:conditionalFormatting>
        <x14:conditionalFormatting xmlns:xm="http://schemas.microsoft.com/office/excel/2006/main">
          <x14:cfRule type="iconSet" priority="1" id="{D399A65A-26A1-4332-B167-01E76BA2D674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P169:P171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D80"/>
  <sheetViews>
    <sheetView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D15" sqref="D15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15.42578125" bestFit="1" customWidth="1"/>
    <col min="4" max="4" width="78" customWidth="1"/>
    <col min="5" max="5" width="14.28515625" bestFit="1" customWidth="1"/>
    <col min="6" max="6" width="14.28515625" hidden="1" customWidth="1"/>
    <col min="7" max="7" width="20.85546875" hidden="1" customWidth="1"/>
    <col min="8" max="8" width="13" hidden="1" customWidth="1"/>
    <col min="9" max="9" width="10.140625" hidden="1" customWidth="1"/>
    <col min="10" max="10" width="11.85546875" hidden="1" customWidth="1"/>
    <col min="11" max="11" width="13.425781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3" width="9.7109375" customWidth="1"/>
    <col min="24" max="26" width="9.7109375" style="84" customWidth="1"/>
    <col min="27" max="29" width="9.7109375" customWidth="1"/>
    <col min="30" max="30" width="66.85546875" customWidth="1"/>
  </cols>
  <sheetData>
    <row r="1" spans="1:30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3055</v>
      </c>
      <c r="Y1" s="184"/>
      <c r="Z1" s="184"/>
      <c r="AA1" s="184" t="s">
        <v>33</v>
      </c>
      <c r="AB1" s="184"/>
      <c r="AC1" s="184"/>
      <c r="AD1" s="184" t="s">
        <v>34</v>
      </c>
    </row>
    <row r="2" spans="1:30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  <c r="AB2" s="184"/>
      <c r="AC2" s="184"/>
      <c r="AD2" s="184"/>
    </row>
    <row r="3" spans="1:30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 t="s">
        <v>20</v>
      </c>
      <c r="AB3" s="184" t="s">
        <v>21</v>
      </c>
      <c r="AC3" s="184" t="s">
        <v>22</v>
      </c>
      <c r="AD3" s="184"/>
    </row>
    <row r="4" spans="1:30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</row>
    <row r="5" spans="1:30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</row>
    <row r="6" spans="1:30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3058</v>
      </c>
      <c r="Y6" s="37" t="s">
        <v>3057</v>
      </c>
      <c r="Z6" s="42" t="s">
        <v>3056</v>
      </c>
      <c r="AA6" s="41" t="s">
        <v>29</v>
      </c>
      <c r="AB6" s="37" t="s">
        <v>30</v>
      </c>
      <c r="AC6" s="42" t="s">
        <v>31</v>
      </c>
      <c r="AD6" s="20" t="s">
        <v>34</v>
      </c>
    </row>
    <row r="7" spans="1:30" s="22" customFormat="1" x14ac:dyDescent="0.25">
      <c r="A7" s="22" t="str">
        <f>VLOOKUP(Fellowes[[#This Row],[Código]],BD_Produto[#All],7,FALSE)</f>
        <v>Em Linha</v>
      </c>
      <c r="B7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7" s="23">
        <v>33062362840</v>
      </c>
      <c r="D7" s="22" t="s">
        <v>882</v>
      </c>
      <c r="E7" s="22" t="str">
        <f>VLOOKUP(Fellowes[[#This Row],[Código]],BD_Produto[],3,FALSE)</f>
        <v>Guilhotina</v>
      </c>
      <c r="F7" s="22" t="str">
        <f>VLOOKUP(Fellowes[[#This Row],[Código]],BD_Produto[],4,FALSE)</f>
        <v>Guilhotina</v>
      </c>
      <c r="G7" s="24">
        <v>100</v>
      </c>
      <c r="H7" s="25">
        <v>98.84</v>
      </c>
      <c r="I7" s="22" t="s">
        <v>1710</v>
      </c>
      <c r="J7" s="24"/>
      <c r="K7" s="24" t="str">
        <f>IFERROR(VLOOKUP(Fellowes[[#This Row],[Código]],Importação!P:R,3,FALSE),"")</f>
        <v/>
      </c>
      <c r="L7" s="24">
        <f>IFERROR(VLOOKUP(Fellowes[[#This Row],[Código]],Saldo[],3,FALSE),0)</f>
        <v>0</v>
      </c>
      <c r="M7" s="24">
        <f>SUM(Fellowes[[#This Row],[Produção]:[Estoque]])</f>
        <v>0</v>
      </c>
      <c r="N7" s="24">
        <f>IFERROR(Fellowes[[#This Row],[Estoque+Importação]]/Fellowes[[#This Row],[Proj. de V. No prox. mes]],"Sem Projeção")</f>
        <v>0</v>
      </c>
      <c r="O7" s="24">
        <f>IF(OR(Fellowes[[#This Row],[Status]]="Em Linha",Fellowes[[#This Row],[Status]]="Componente",Fellowes[[#This Row],[Status]]="Materia Prima"),Fellowes[[#This Row],[Proj. de V. No prox. mes]]*10,"-")</f>
        <v>4.666666666666667</v>
      </c>
      <c r="P7" s="34">
        <f>IF(OR(Fellowes[[#This Row],[Status]]="Em Linha",Fellowes[[#This Row],[Status]]="Componente",Fellowes[[#This Row],[Status]]="Materia Prima"),Fellowes[[#This Row],[estoque 10 meses]]-Fellowes[[#This Row],[Estoque+Importação]],0)</f>
        <v>4.666666666666667</v>
      </c>
      <c r="Q7" s="75">
        <f>VLOOKUP(Fellowes[[#This Row],[Código]],Projeção[#All],15,FALSE)</f>
        <v>0.46666666666666667</v>
      </c>
      <c r="R7" s="39">
        <f>VLOOKUP(Fellowes[[#This Row],[Código]],Projeção[#All],14,FALSE)</f>
        <v>0.19999999999999998</v>
      </c>
      <c r="S7" s="39">
        <f>IFERROR(VLOOKUP(Fellowes[[#This Row],[Código]],Venda_mes[],2,FALSE),0)</f>
        <v>0</v>
      </c>
      <c r="T7" s="44">
        <f>IFERROR(Fellowes[[#This Row],[V. No mes]]/Fellowes[[#This Row],[Proj. de V. No mes]],"")</f>
        <v>0</v>
      </c>
      <c r="U7" s="43">
        <f>VLOOKUP(Fellowes[[#This Row],[Código]],Projeção[#All],14,FALSE)+VLOOKUP(Fellowes[[#This Row],[Código]],Projeção[#All],13,FALSE)+VLOOKUP(Fellowes[[#This Row],[Código]],Projeção[#All],12,FALSE)</f>
        <v>0.73333333333333339</v>
      </c>
      <c r="V7" s="39">
        <f>IFERROR(VLOOKUP(Fellowes[[#This Row],[Código]],Venda_3meses[],2,FALSE),0)</f>
        <v>2</v>
      </c>
      <c r="W7" s="44">
        <f>IFERROR(Fellowes[[#This Row],[V. 3 meses]]/Fellowes[[#This Row],[Proj. de V. 3 meses]],"")</f>
        <v>2.7272727272727271</v>
      </c>
      <c r="X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1.8333333333333335</v>
      </c>
      <c r="Y7" s="102">
        <f>IFERROR(VLOOKUP(Fellowes[[#This Row],[Código]],Venda_6meses[],2,FALSE),0)</f>
        <v>2</v>
      </c>
      <c r="Z7" s="45">
        <f>IFERROR(Fellowes[[#This Row],[V. 6 meses]]/Fellowes[[#This Row],[Proj. de V. 6 meses]],"")</f>
        <v>1.0909090909090908</v>
      </c>
      <c r="AA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5.7333333333333343</v>
      </c>
      <c r="AB7" s="39">
        <f>IFERROR(VLOOKUP(Fellowes[[#This Row],[Código]],Venda_12meses[],2,FALSE),0)</f>
        <v>2</v>
      </c>
      <c r="AC7" s="44">
        <f>IFERROR(Fellowes[[#This Row],[V. 12 meses]]/Fellowes[[#This Row],[Proj. de V. 12 meses]],"")</f>
        <v>0.34883720930232553</v>
      </c>
    </row>
    <row r="8" spans="1:30" x14ac:dyDescent="0.25">
      <c r="A8" s="22" t="str">
        <f>VLOOKUP(Fellowes[[#This Row],[Código]],BD_Produto[#All],7,FALSE)</f>
        <v>Em Linha</v>
      </c>
      <c r="B8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8" s="23">
        <v>33062064356</v>
      </c>
      <c r="D8" s="22" t="s">
        <v>885</v>
      </c>
      <c r="E8" s="22" t="str">
        <f>VLOOKUP(Fellowes[[#This Row],[Código]],BD_Produto[],3,FALSE)</f>
        <v>Fragmentadora</v>
      </c>
      <c r="F8" s="22" t="str">
        <f>VLOOKUP(Fellowes[[#This Row],[Código]],BD_Produto[],4,FALSE)</f>
        <v>Fragmentadora</v>
      </c>
      <c r="G8" s="24"/>
      <c r="H8" s="25">
        <v>500</v>
      </c>
      <c r="I8" s="22"/>
      <c r="J8" s="24"/>
      <c r="K8" s="24" t="str">
        <f>IFERROR(VLOOKUP(Fellowes[[#This Row],[Código]],Importação!P:R,3,FALSE),"")</f>
        <v/>
      </c>
      <c r="L8" s="24">
        <f>IFERROR(VLOOKUP(Fellowes[[#This Row],[Código]],Saldo[],3,FALSE),0)</f>
        <v>0</v>
      </c>
      <c r="M8" s="24">
        <f>SUM(Fellowes[[#This Row],[Produção]:[Estoque]])</f>
        <v>0</v>
      </c>
      <c r="N8" s="24" t="str">
        <f>IFERROR(Fellowes[[#This Row],[Estoque+Importação]]/Fellowes[[#This Row],[Proj. de V. No prox. mes]],"Sem Projeção")</f>
        <v>Sem Projeção</v>
      </c>
      <c r="O8" s="24">
        <f>IF(OR(Fellowes[[#This Row],[Status]]="Em Linha",Fellowes[[#This Row],[Status]]="Componente",Fellowes[[#This Row],[Status]]="Materia Prima"),Fellowes[[#This Row],[Proj. de V. No prox. mes]]*10,"-")</f>
        <v>0</v>
      </c>
      <c r="P8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8" s="75">
        <f>VLOOKUP(Fellowes[[#This Row],[Código]],Projeção[#All],15,FALSE)</f>
        <v>0</v>
      </c>
      <c r="R8" s="39">
        <f>VLOOKUP(Fellowes[[#This Row],[Código]],Projeção[#All],14,FALSE)</f>
        <v>0.16666666666666663</v>
      </c>
      <c r="S8" s="39">
        <f>IFERROR(VLOOKUP(Fellowes[[#This Row],[Código]],Venda_mes[],2,FALSE),0)</f>
        <v>0</v>
      </c>
      <c r="T8" s="44">
        <f>IFERROR(Fellowes[[#This Row],[V. No mes]]/Fellowes[[#This Row],[Proj. de V. No mes]],"")</f>
        <v>0</v>
      </c>
      <c r="U8" s="43">
        <f>VLOOKUP(Fellowes[[#This Row],[Código]],Projeção[#All],14,FALSE)+VLOOKUP(Fellowes[[#This Row],[Código]],Projeção[#All],13,FALSE)+VLOOKUP(Fellowes[[#This Row],[Código]],Projeção[#All],12,FALSE)</f>
        <v>0.49999999999999989</v>
      </c>
      <c r="V8" s="39">
        <f>IFERROR(VLOOKUP(Fellowes[[#This Row],[Código]],Venda_3meses[],2,FALSE),0)</f>
        <v>0</v>
      </c>
      <c r="W8" s="44">
        <f>IFERROR(Fellowes[[#This Row],[V. 3 meses]]/Fellowes[[#This Row],[Proj. de V. 3 meses]],"")</f>
        <v>0</v>
      </c>
      <c r="X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1.4333333333333331</v>
      </c>
      <c r="Y8" s="102">
        <f>IFERROR(VLOOKUP(Fellowes[[#This Row],[Código]],Venda_6meses[],2,FALSE),0)</f>
        <v>0</v>
      </c>
      <c r="Z8" s="45">
        <f>IFERROR(Fellowes[[#This Row],[V. 6 meses]]/Fellowes[[#This Row],[Proj. de V. 6 meses]],"")</f>
        <v>0</v>
      </c>
      <c r="AA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2.7666666666666662</v>
      </c>
      <c r="AB8" s="39">
        <f>IFERROR(VLOOKUP(Fellowes[[#This Row],[Código]],Venda_12meses[],2,FALSE),0)</f>
        <v>0</v>
      </c>
      <c r="AC8" s="44">
        <f>IFERROR(Fellowes[[#This Row],[V. 12 meses]]/Fellowes[[#This Row],[Proj. de V. 12 meses]],"")</f>
        <v>0</v>
      </c>
      <c r="AD8" s="22"/>
    </row>
    <row r="9" spans="1:30" x14ac:dyDescent="0.25">
      <c r="A9" s="22" t="str">
        <f>VLOOKUP(Fellowes[[#This Row],[Código]],BD_Produto[#All],7,FALSE)</f>
        <v>Em Linha</v>
      </c>
      <c r="B9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9" s="23">
        <v>33062064357</v>
      </c>
      <c r="D9" s="22" t="s">
        <v>884</v>
      </c>
      <c r="E9" s="22" t="str">
        <f>VLOOKUP(Fellowes[[#This Row],[Código]],BD_Produto[],3,FALSE)</f>
        <v>Fragmentadora</v>
      </c>
      <c r="F9" s="22" t="str">
        <f>VLOOKUP(Fellowes[[#This Row],[Código]],BD_Produto[],4,FALSE)</f>
        <v>Fragmentadora</v>
      </c>
      <c r="G9" s="24"/>
      <c r="H9" s="25">
        <v>500</v>
      </c>
      <c r="I9" s="22"/>
      <c r="J9" s="24"/>
      <c r="K9" s="24" t="str">
        <f>IFERROR(VLOOKUP(Fellowes[[#This Row],[Código]],Importação!P:R,3,FALSE),"")</f>
        <v/>
      </c>
      <c r="L9" s="24">
        <f>IFERROR(VLOOKUP(Fellowes[[#This Row],[Código]],Saldo[],3,FALSE),0)</f>
        <v>0</v>
      </c>
      <c r="M9" s="24">
        <f>SUM(Fellowes[[#This Row],[Produção]:[Estoque]])</f>
        <v>0</v>
      </c>
      <c r="N9" s="24" t="str">
        <f>IFERROR(Fellowes[[#This Row],[Estoque+Importação]]/Fellowes[[#This Row],[Proj. de V. No prox. mes]],"Sem Projeção")</f>
        <v>Sem Projeção</v>
      </c>
      <c r="O9" s="24">
        <f>IF(OR(Fellowes[[#This Row],[Status]]="Em Linha",Fellowes[[#This Row],[Status]]="Componente",Fellowes[[#This Row],[Status]]="Materia Prima"),Fellowes[[#This Row],[Proj. de V. No prox. mes]]*10,"-")</f>
        <v>0</v>
      </c>
      <c r="P9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9" s="75">
        <f>VLOOKUP(Fellowes[[#This Row],[Código]],Projeção[#All],15,FALSE)</f>
        <v>0</v>
      </c>
      <c r="R9" s="39">
        <f>VLOOKUP(Fellowes[[#This Row],[Código]],Projeção[#All],14,FALSE)</f>
        <v>0.19999999999999998</v>
      </c>
      <c r="S9" s="39">
        <f>IFERROR(VLOOKUP(Fellowes[[#This Row],[Código]],Venda_mes[],2,FALSE),0)</f>
        <v>0</v>
      </c>
      <c r="T9" s="44">
        <f>IFERROR(Fellowes[[#This Row],[V. No mes]]/Fellowes[[#This Row],[Proj. de V. No mes]],"")</f>
        <v>0</v>
      </c>
      <c r="U9" s="43">
        <f>VLOOKUP(Fellowes[[#This Row],[Código]],Projeção[#All],14,FALSE)+VLOOKUP(Fellowes[[#This Row],[Código]],Projeção[#All],13,FALSE)+VLOOKUP(Fellowes[[#This Row],[Código]],Projeção[#All],12,FALSE)</f>
        <v>0.6</v>
      </c>
      <c r="V9" s="39">
        <f>IFERROR(VLOOKUP(Fellowes[[#This Row],[Código]],Venda_3meses[],2,FALSE),0)</f>
        <v>0</v>
      </c>
      <c r="W9" s="44">
        <f>IFERROR(Fellowes[[#This Row],[V. 3 meses]]/Fellowes[[#This Row],[Proj. de V. 3 meses]],"")</f>
        <v>0</v>
      </c>
      <c r="X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1.2666666666666666</v>
      </c>
      <c r="Y9" s="102">
        <f>IFERROR(VLOOKUP(Fellowes[[#This Row],[Código]],Venda_6meses[],2,FALSE),0)</f>
        <v>0</v>
      </c>
      <c r="Z9" s="45">
        <f>IFERROR(Fellowes[[#This Row],[V. 6 meses]]/Fellowes[[#This Row],[Proj. de V. 6 meses]],"")</f>
        <v>0</v>
      </c>
      <c r="AA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1.4666666666666666</v>
      </c>
      <c r="AB9" s="39">
        <f>IFERROR(VLOOKUP(Fellowes[[#This Row],[Código]],Venda_12meses[],2,FALSE),0)</f>
        <v>0</v>
      </c>
      <c r="AC9" s="44">
        <f>IFERROR(Fellowes[[#This Row],[V. 12 meses]]/Fellowes[[#This Row],[Proj. de V. 12 meses]],"")</f>
        <v>0</v>
      </c>
      <c r="AD9" s="22"/>
    </row>
    <row r="10" spans="1:30" x14ac:dyDescent="0.25">
      <c r="A10" s="22" t="str">
        <f>VLOOKUP(Fellowes[[#This Row],[Código]],BD_Produto[#All],7,FALSE)</f>
        <v>Em Linha</v>
      </c>
      <c r="B10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0" s="23">
        <v>33062064071</v>
      </c>
      <c r="D10" s="22" t="s">
        <v>1137</v>
      </c>
      <c r="E10" s="22" t="str">
        <f>VLOOKUP(Fellowes[[#This Row],[Código]],BD_Produto[],3,FALSE)</f>
        <v>Fragmentadora</v>
      </c>
      <c r="F10" s="22" t="str">
        <f>VLOOKUP(Fellowes[[#This Row],[Código]],BD_Produto[],4,FALSE)</f>
        <v>Fragmentadora</v>
      </c>
      <c r="G10" s="24"/>
      <c r="H10" s="25">
        <v>110</v>
      </c>
      <c r="I10" s="22"/>
      <c r="J10" s="24"/>
      <c r="K10" s="24" t="str">
        <f>IFERROR(VLOOKUP(Fellowes[[#This Row],[Código]],Importação!P:R,3,FALSE),"")</f>
        <v/>
      </c>
      <c r="L10" s="24">
        <f>IFERROR(VLOOKUP(Fellowes[[#This Row],[Código]],Saldo[],3,FALSE),0)</f>
        <v>0</v>
      </c>
      <c r="M10" s="24">
        <f>SUM(Fellowes[[#This Row],[Produção]:[Estoque]])</f>
        <v>0</v>
      </c>
      <c r="N10" s="24">
        <f>IFERROR(Fellowes[[#This Row],[Estoque+Importação]]/Fellowes[[#This Row],[Proj. de V. No prox. mes]],"Sem Projeção")</f>
        <v>0</v>
      </c>
      <c r="O10" s="24">
        <f>IF(OR(Fellowes[[#This Row],[Status]]="Em Linha",Fellowes[[#This Row],[Status]]="Componente",Fellowes[[#This Row],[Status]]="Materia Prima"),Fellowes[[#This Row],[Proj. de V. No prox. mes]]*10,"-")</f>
        <v>2.3333333333333335</v>
      </c>
      <c r="P10" s="34">
        <f>IF(OR(Fellowes[[#This Row],[Status]]="Em Linha",Fellowes[[#This Row],[Status]]="Componente",Fellowes[[#This Row],[Status]]="Materia Prima"),Fellowes[[#This Row],[estoque 10 meses]]-Fellowes[[#This Row],[Estoque+Importação]],0)</f>
        <v>2.3333333333333335</v>
      </c>
      <c r="Q10" s="75">
        <f>VLOOKUP(Fellowes[[#This Row],[Código]],Projeção[#All],15,FALSE)</f>
        <v>0.23333333333333334</v>
      </c>
      <c r="R10" s="39">
        <f>VLOOKUP(Fellowes[[#This Row],[Código]],Projeção[#All],14,FALSE)</f>
        <v>3.9</v>
      </c>
      <c r="S10" s="39">
        <f>IFERROR(VLOOKUP(Fellowes[[#This Row],[Código]],Venda_mes[],2,FALSE),0)</f>
        <v>0</v>
      </c>
      <c r="T10" s="44">
        <f>IFERROR(Fellowes[[#This Row],[V. No mes]]/Fellowes[[#This Row],[Proj. de V. No mes]],"")</f>
        <v>0</v>
      </c>
      <c r="U10" s="43">
        <f>VLOOKUP(Fellowes[[#This Row],[Código]],Projeção[#All],14,FALSE)+VLOOKUP(Fellowes[[#This Row],[Código]],Projeção[#All],13,FALSE)+VLOOKUP(Fellowes[[#This Row],[Código]],Projeção[#All],12,FALSE)</f>
        <v>11.566666666666666</v>
      </c>
      <c r="V10" s="39">
        <f>IFERROR(VLOOKUP(Fellowes[[#This Row],[Código]],Venda_3meses[],2,FALSE),0)</f>
        <v>0</v>
      </c>
      <c r="W10" s="44">
        <f>IFERROR(Fellowes[[#This Row],[V. 3 meses]]/Fellowes[[#This Row],[Proj. de V. 3 meses]],"")</f>
        <v>0</v>
      </c>
      <c r="X1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28.7</v>
      </c>
      <c r="Y10" s="102">
        <f>IFERROR(VLOOKUP(Fellowes[[#This Row],[Código]],Venda_6meses[],2,FALSE),0)</f>
        <v>0</v>
      </c>
      <c r="Z10" s="45">
        <f>IFERROR(Fellowes[[#This Row],[V. 6 meses]]/Fellowes[[#This Row],[Proj. de V. 6 meses]],"")</f>
        <v>0</v>
      </c>
      <c r="AA1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61.3</v>
      </c>
      <c r="AB10" s="39">
        <f>IFERROR(VLOOKUP(Fellowes[[#This Row],[Código]],Venda_12meses[],2,FALSE),0)</f>
        <v>7</v>
      </c>
      <c r="AC10" s="44">
        <f>IFERROR(Fellowes[[#This Row],[V. 12 meses]]/Fellowes[[#This Row],[Proj. de V. 12 meses]],"")</f>
        <v>0.11419249592169659</v>
      </c>
      <c r="AD10" s="22"/>
    </row>
    <row r="11" spans="1:30" x14ac:dyDescent="0.25">
      <c r="A11" s="22" t="str">
        <f>VLOOKUP(Fellowes[[#This Row],[Código]],BD_Produto[#All],7,FALSE)</f>
        <v>Em Linha</v>
      </c>
      <c r="B11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1" s="23">
        <v>33062063028</v>
      </c>
      <c r="D11" s="22" t="s">
        <v>1201</v>
      </c>
      <c r="E11" s="22" t="str">
        <f>VLOOKUP(Fellowes[[#This Row],[Código]],BD_Produto[],3,FALSE)</f>
        <v>Fragmentadora</v>
      </c>
      <c r="F11" s="22" t="str">
        <f>VLOOKUP(Fellowes[[#This Row],[Código]],BD_Produto[],4,FALSE)</f>
        <v>Fragmentadora</v>
      </c>
      <c r="G11" s="24">
        <v>100</v>
      </c>
      <c r="H11" s="25">
        <v>116.28</v>
      </c>
      <c r="I11" s="22" t="s">
        <v>1710</v>
      </c>
      <c r="J11" s="24"/>
      <c r="K11" s="24" t="str">
        <f>IFERROR(VLOOKUP(Fellowes[[#This Row],[Código]],Importação!P:R,3,FALSE),"")</f>
        <v/>
      </c>
      <c r="L11" s="24">
        <f>IFERROR(VLOOKUP(Fellowes[[#This Row],[Código]],Saldo[],3,FALSE),0)</f>
        <v>2</v>
      </c>
      <c r="M11" s="24">
        <f>SUM(Fellowes[[#This Row],[Produção]:[Estoque]])</f>
        <v>2</v>
      </c>
      <c r="N11" s="24">
        <f>IFERROR(Fellowes[[#This Row],[Estoque+Importação]]/Fellowes[[#This Row],[Proj. de V. No prox. mes]],"Sem Projeção")</f>
        <v>0.32258064516129031</v>
      </c>
      <c r="O11" s="24">
        <f>IF(OR(Fellowes[[#This Row],[Status]]="Em Linha",Fellowes[[#This Row],[Status]]="Componente",Fellowes[[#This Row],[Status]]="Materia Prima"),Fellowes[[#This Row],[Proj. de V. No prox. mes]]*10,"-")</f>
        <v>62</v>
      </c>
      <c r="P11" s="34">
        <f>IF(OR(Fellowes[[#This Row],[Status]]="Em Linha",Fellowes[[#This Row],[Status]]="Componente",Fellowes[[#This Row],[Status]]="Materia Prima"),Fellowes[[#This Row],[estoque 10 meses]]-Fellowes[[#This Row],[Estoque+Importação]],0)</f>
        <v>60</v>
      </c>
      <c r="Q11" s="75">
        <f>VLOOKUP(Fellowes[[#This Row],[Código]],Projeção[#All],15,FALSE)</f>
        <v>6.2</v>
      </c>
      <c r="R11" s="39">
        <f>VLOOKUP(Fellowes[[#This Row],[Código]],Projeção[#All],14,FALSE)</f>
        <v>4.7666666666666675</v>
      </c>
      <c r="S11" s="39">
        <f>IFERROR(VLOOKUP(Fellowes[[#This Row],[Código]],Venda_mes[],2,FALSE),0)</f>
        <v>2</v>
      </c>
      <c r="T11" s="44">
        <f>IFERROR(Fellowes[[#This Row],[V. No mes]]/Fellowes[[#This Row],[Proj. de V. No mes]],"")</f>
        <v>0.41958041958041953</v>
      </c>
      <c r="U11" s="43">
        <f>VLOOKUP(Fellowes[[#This Row],[Código]],Projeção[#All],14,FALSE)+VLOOKUP(Fellowes[[#This Row],[Código]],Projeção[#All],13,FALSE)+VLOOKUP(Fellowes[[#This Row],[Código]],Projeção[#All],12,FALSE)</f>
        <v>13.533333333333331</v>
      </c>
      <c r="V11" s="39">
        <f>IFERROR(VLOOKUP(Fellowes[[#This Row],[Código]],Venda_3meses[],2,FALSE),0)</f>
        <v>9</v>
      </c>
      <c r="W11" s="44">
        <f>IFERROR(Fellowes[[#This Row],[V. 3 meses]]/Fellowes[[#This Row],[Proj. de V. 3 meses]],"")</f>
        <v>0.665024630541872</v>
      </c>
      <c r="X1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22.366666666666664</v>
      </c>
      <c r="Y11" s="102">
        <f>IFERROR(VLOOKUP(Fellowes[[#This Row],[Código]],Venda_6meses[],2,FALSE),0)</f>
        <v>41</v>
      </c>
      <c r="Z11" s="45">
        <f>IFERROR(Fellowes[[#This Row],[V. 6 meses]]/Fellowes[[#This Row],[Proj. de V. 6 meses]],"")</f>
        <v>1.8330849478390465</v>
      </c>
      <c r="AA1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55.43333333333333</v>
      </c>
      <c r="AB11" s="39">
        <f>IFERROR(VLOOKUP(Fellowes[[#This Row],[Código]],Venda_12meses[],2,FALSE),0)</f>
        <v>68</v>
      </c>
      <c r="AC11" s="44">
        <f>IFERROR(Fellowes[[#This Row],[V. 12 meses]]/Fellowes[[#This Row],[Proj. de V. 12 meses]],"")</f>
        <v>1.2266987372218883</v>
      </c>
      <c r="AD11" s="22"/>
    </row>
    <row r="12" spans="1:30" x14ac:dyDescent="0.25">
      <c r="A12" s="22" t="str">
        <f>VLOOKUP(Fellowes[[#This Row],[Código]],BD_Produto[#All],7,FALSE)</f>
        <v>Em Linha</v>
      </c>
      <c r="B12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2" s="23">
        <v>33062362838</v>
      </c>
      <c r="D12" s="22" t="s">
        <v>1142</v>
      </c>
      <c r="E12" s="22" t="str">
        <f>VLOOKUP(Fellowes[[#This Row],[Código]],BD_Produto[],3,FALSE)</f>
        <v>Refiladora</v>
      </c>
      <c r="F12" s="22" t="str">
        <f>VLOOKUP(Fellowes[[#This Row],[Código]],BD_Produto[],4,FALSE)</f>
        <v>Refiladora</v>
      </c>
      <c r="G12" s="24">
        <v>300</v>
      </c>
      <c r="H12" s="25">
        <v>22.24</v>
      </c>
      <c r="I12" s="22" t="s">
        <v>1710</v>
      </c>
      <c r="J12" s="24"/>
      <c r="K12" s="24" t="str">
        <f>IFERROR(VLOOKUP(Fellowes[[#This Row],[Código]],Importação!P:R,3,FALSE),"")</f>
        <v/>
      </c>
      <c r="L12" s="24">
        <f>IFERROR(VLOOKUP(Fellowes[[#This Row],[Código]],Saldo[],3,FALSE),0)</f>
        <v>2</v>
      </c>
      <c r="M12" s="24">
        <f>SUM(Fellowes[[#This Row],[Produção]:[Estoque]])</f>
        <v>2</v>
      </c>
      <c r="N12" s="24">
        <f>IFERROR(Fellowes[[#This Row],[Estoque+Importação]]/Fellowes[[#This Row],[Proj. de V. No prox. mes]],"Sem Projeção")</f>
        <v>1.6666666666666667</v>
      </c>
      <c r="O12" s="24">
        <f>IF(OR(Fellowes[[#This Row],[Status]]="Em Linha",Fellowes[[#This Row],[Status]]="Componente",Fellowes[[#This Row],[Status]]="Materia Prima"),Fellowes[[#This Row],[Proj. de V. No prox. mes]]*10,"-")</f>
        <v>12</v>
      </c>
      <c r="P12" s="34">
        <f>IF(OR(Fellowes[[#This Row],[Status]]="Em Linha",Fellowes[[#This Row],[Status]]="Componente",Fellowes[[#This Row],[Status]]="Materia Prima"),Fellowes[[#This Row],[estoque 10 meses]]-Fellowes[[#This Row],[Estoque+Importação]],0)</f>
        <v>10</v>
      </c>
      <c r="Q12" s="75">
        <f>VLOOKUP(Fellowes[[#This Row],[Código]],Projeção[#All],15,FALSE)</f>
        <v>1.2</v>
      </c>
      <c r="R12" s="39">
        <f>VLOOKUP(Fellowes[[#This Row],[Código]],Projeção[#All],14,FALSE)</f>
        <v>1.333333333333333</v>
      </c>
      <c r="S12" s="39">
        <f>IFERROR(VLOOKUP(Fellowes[[#This Row],[Código]],Venda_mes[],2,FALSE),0)</f>
        <v>0</v>
      </c>
      <c r="T12" s="44">
        <f>IFERROR(Fellowes[[#This Row],[V. No mes]]/Fellowes[[#This Row],[Proj. de V. No mes]],"")</f>
        <v>0</v>
      </c>
      <c r="U12" s="43">
        <f>VLOOKUP(Fellowes[[#This Row],[Código]],Projeção[#All],14,FALSE)+VLOOKUP(Fellowes[[#This Row],[Código]],Projeção[#All],13,FALSE)+VLOOKUP(Fellowes[[#This Row],[Código]],Projeção[#All],12,FALSE)</f>
        <v>3.8666666666666667</v>
      </c>
      <c r="V12" s="39">
        <f>IFERROR(VLOOKUP(Fellowes[[#This Row],[Código]],Venda_3meses[],2,FALSE),0)</f>
        <v>2</v>
      </c>
      <c r="W12" s="44">
        <f>IFERROR(Fellowes[[#This Row],[V. 3 meses]]/Fellowes[[#This Row],[Proj. de V. 3 meses]],"")</f>
        <v>0.51724137931034486</v>
      </c>
      <c r="X1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10.533333333333331</v>
      </c>
      <c r="Y12" s="102">
        <f>IFERROR(VLOOKUP(Fellowes[[#This Row],[Código]],Venda_6meses[],2,FALSE),0)</f>
        <v>8</v>
      </c>
      <c r="Z12" s="45">
        <f>IFERROR(Fellowes[[#This Row],[V. 6 meses]]/Fellowes[[#This Row],[Proj. de V. 6 meses]],"")</f>
        <v>0.75949367088607611</v>
      </c>
      <c r="AA1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27.966666666666658</v>
      </c>
      <c r="AB12" s="39">
        <f>IFERROR(VLOOKUP(Fellowes[[#This Row],[Código]],Venda_12meses[],2,FALSE),0)</f>
        <v>12</v>
      </c>
      <c r="AC12" s="44">
        <f>IFERROR(Fellowes[[#This Row],[V. 12 meses]]/Fellowes[[#This Row],[Proj. de V. 12 meses]],"")</f>
        <v>0.42908224076281298</v>
      </c>
      <c r="AD12" s="22"/>
    </row>
    <row r="13" spans="1:30" x14ac:dyDescent="0.25">
      <c r="A13" s="22" t="str">
        <f>VLOOKUP(Fellowes[[#This Row],[Código]],BD_Produto[#All],7,FALSE)</f>
        <v>Em Linha</v>
      </c>
      <c r="B13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3" s="23">
        <v>33062064070</v>
      </c>
      <c r="D13" s="22" t="s">
        <v>992</v>
      </c>
      <c r="E13" s="22" t="str">
        <f>VLOOKUP(Fellowes[[#This Row],[Código]],BD_Produto[],3,FALSE)</f>
        <v>Fragmentadora</v>
      </c>
      <c r="F13" s="22" t="str">
        <f>VLOOKUP(Fellowes[[#This Row],[Código]],BD_Produto[],4,FALSE)</f>
        <v>Fragmentadora</v>
      </c>
      <c r="G13" s="24"/>
      <c r="H13" s="25">
        <v>110</v>
      </c>
      <c r="I13" s="22"/>
      <c r="J13" s="24"/>
      <c r="K13" s="24" t="str">
        <f>IFERROR(VLOOKUP(Fellowes[[#This Row],[Código]],Importação!P:R,3,FALSE),"")</f>
        <v/>
      </c>
      <c r="L13" s="24">
        <f>IFERROR(VLOOKUP(Fellowes[[#This Row],[Código]],Saldo[],3,FALSE),0)</f>
        <v>21</v>
      </c>
      <c r="M13" s="24">
        <f>SUM(Fellowes[[#This Row],[Produção]:[Estoque]])</f>
        <v>21</v>
      </c>
      <c r="N13" s="24">
        <f>IFERROR(Fellowes[[#This Row],[Estoque+Importação]]/Fellowes[[#This Row],[Proj. de V. No prox. mes]],"Sem Projeção")</f>
        <v>7.3255813953488369</v>
      </c>
      <c r="O13" s="24">
        <f>IF(OR(Fellowes[[#This Row],[Status]]="Em Linha",Fellowes[[#This Row],[Status]]="Componente",Fellowes[[#This Row],[Status]]="Materia Prima"),Fellowes[[#This Row],[Proj. de V. No prox. mes]]*10,"-")</f>
        <v>28.666666666666668</v>
      </c>
      <c r="P13" s="34">
        <f>IF(OR(Fellowes[[#This Row],[Status]]="Em Linha",Fellowes[[#This Row],[Status]]="Componente",Fellowes[[#This Row],[Status]]="Materia Prima"),Fellowes[[#This Row],[estoque 10 meses]]-Fellowes[[#This Row],[Estoque+Importação]],0)</f>
        <v>7.6666666666666679</v>
      </c>
      <c r="Q13" s="75">
        <f>VLOOKUP(Fellowes[[#This Row],[Código]],Projeção[#All],15,FALSE)</f>
        <v>2.8666666666666667</v>
      </c>
      <c r="R13" s="39">
        <f>VLOOKUP(Fellowes[[#This Row],[Código]],Projeção[#All],14,FALSE)</f>
        <v>2.4333333333333331</v>
      </c>
      <c r="S13" s="39">
        <f>IFERROR(VLOOKUP(Fellowes[[#This Row],[Código]],Venda_mes[],2,FALSE),0)</f>
        <v>2</v>
      </c>
      <c r="T13" s="44">
        <f>IFERROR(Fellowes[[#This Row],[V. No mes]]/Fellowes[[#This Row],[Proj. de V. No mes]],"")</f>
        <v>0.82191780821917815</v>
      </c>
      <c r="U13" s="43">
        <f>VLOOKUP(Fellowes[[#This Row],[Código]],Projeção[#All],14,FALSE)+VLOOKUP(Fellowes[[#This Row],[Código]],Projeção[#All],13,FALSE)+VLOOKUP(Fellowes[[#This Row],[Código]],Projeção[#All],12,FALSE)</f>
        <v>5.3666666666666671</v>
      </c>
      <c r="V13" s="39">
        <f>IFERROR(VLOOKUP(Fellowes[[#This Row],[Código]],Venda_3meses[],2,FALSE),0)</f>
        <v>5</v>
      </c>
      <c r="W13" s="44">
        <f>IFERROR(Fellowes[[#This Row],[V. 3 meses]]/Fellowes[[#This Row],[Proj. de V. 3 meses]],"")</f>
        <v>0.93167701863354024</v>
      </c>
      <c r="X1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10.066666666666668</v>
      </c>
      <c r="Y13" s="102">
        <f>IFERROR(VLOOKUP(Fellowes[[#This Row],[Código]],Venda_6meses[],2,FALSE),0)</f>
        <v>15</v>
      </c>
      <c r="Z13" s="45">
        <f>IFERROR(Fellowes[[#This Row],[V. 6 meses]]/Fellowes[[#This Row],[Proj. de V. 6 meses]],"")</f>
        <v>1.4900662251655628</v>
      </c>
      <c r="AA1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25.566666666666666</v>
      </c>
      <c r="AB13" s="39">
        <f>IFERROR(VLOOKUP(Fellowes[[#This Row],[Código]],Venda_12meses[],2,FALSE),0)</f>
        <v>36</v>
      </c>
      <c r="AC13" s="44">
        <f>IFERROR(Fellowes[[#This Row],[V. 12 meses]]/Fellowes[[#This Row],[Proj. de V. 12 meses]],"")</f>
        <v>1.4080834419817472</v>
      </c>
      <c r="AD13" s="22"/>
    </row>
    <row r="14" spans="1:30" x14ac:dyDescent="0.25">
      <c r="A14" s="22" t="str">
        <f>VLOOKUP(Fellowes[[#This Row],[Código]],BD_Produto[#All],7,FALSE)</f>
        <v>Em Linha</v>
      </c>
      <c r="B14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4" s="23">
        <v>33062062713</v>
      </c>
      <c r="D14" s="22" t="s">
        <v>950</v>
      </c>
      <c r="E14" s="22" t="str">
        <f>VLOOKUP(Fellowes[[#This Row],[Código]],BD_Produto[],3,FALSE)</f>
        <v>Fragmentadora</v>
      </c>
      <c r="F14" s="22" t="str">
        <f>VLOOKUP(Fellowes[[#This Row],[Código]],BD_Produto[],4,FALSE)</f>
        <v>Fragmentadora</v>
      </c>
      <c r="G14" s="24">
        <v>300</v>
      </c>
      <c r="H14" s="25">
        <v>22.97</v>
      </c>
      <c r="I14" s="22" t="s">
        <v>1713</v>
      </c>
      <c r="J14" s="24"/>
      <c r="K14" s="24" t="str">
        <f>IFERROR(VLOOKUP(Fellowes[[#This Row],[Código]],Importação!P:R,3,FALSE),"")</f>
        <v/>
      </c>
      <c r="L14" s="24">
        <f>IFERROR(VLOOKUP(Fellowes[[#This Row],[Código]],Saldo[],3,FALSE),0)</f>
        <v>90</v>
      </c>
      <c r="M14" s="24">
        <f>SUM(Fellowes[[#This Row],[Produção]:[Estoque]])</f>
        <v>90</v>
      </c>
      <c r="N14" s="24">
        <f>IFERROR(Fellowes[[#This Row],[Estoque+Importação]]/Fellowes[[#This Row],[Proj. de V. No prox. mes]],"Sem Projeção")</f>
        <v>14.361702127659575</v>
      </c>
      <c r="O14" s="24">
        <f>IF(OR(Fellowes[[#This Row],[Status]]="Em Linha",Fellowes[[#This Row],[Status]]="Componente",Fellowes[[#This Row],[Status]]="Materia Prima"),Fellowes[[#This Row],[Proj. de V. No prox. mes]]*10,"-")</f>
        <v>62.666666666666664</v>
      </c>
      <c r="P14" s="34">
        <f>IF(OR(Fellowes[[#This Row],[Status]]="Em Linha",Fellowes[[#This Row],[Status]]="Componente",Fellowes[[#This Row],[Status]]="Materia Prima"),Fellowes[[#This Row],[estoque 10 meses]]-Fellowes[[#This Row],[Estoque+Importação]],0)</f>
        <v>-27.333333333333336</v>
      </c>
      <c r="Q14" s="75">
        <f>VLOOKUP(Fellowes[[#This Row],[Código]],Projeção[#All],15,FALSE)</f>
        <v>6.2666666666666666</v>
      </c>
      <c r="R14" s="39">
        <f>VLOOKUP(Fellowes[[#This Row],[Código]],Projeção[#All],14,FALSE)</f>
        <v>7.5333333333333341</v>
      </c>
      <c r="S14" s="39">
        <f>IFERROR(VLOOKUP(Fellowes[[#This Row],[Código]],Venda_mes[],2,FALSE),0)</f>
        <v>7</v>
      </c>
      <c r="T14" s="44">
        <f>IFERROR(Fellowes[[#This Row],[V. No mes]]/Fellowes[[#This Row],[Proj. de V. No mes]],"")</f>
        <v>0.92920353982300874</v>
      </c>
      <c r="U14" s="43">
        <f>VLOOKUP(Fellowes[[#This Row],[Código]],Projeção[#All],14,FALSE)+VLOOKUP(Fellowes[[#This Row],[Código]],Projeção[#All],13,FALSE)+VLOOKUP(Fellowes[[#This Row],[Código]],Projeção[#All],12,FALSE)</f>
        <v>19.8</v>
      </c>
      <c r="V14" s="39">
        <f>IFERROR(VLOOKUP(Fellowes[[#This Row],[Código]],Venda_3meses[],2,FALSE),0)</f>
        <v>20</v>
      </c>
      <c r="W14" s="44">
        <f>IFERROR(Fellowes[[#This Row],[V. 3 meses]]/Fellowes[[#This Row],[Proj. de V. 3 meses]],"")</f>
        <v>1.0101010101010102</v>
      </c>
      <c r="X1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41.366666666666667</v>
      </c>
      <c r="Y14" s="102">
        <f>IFERROR(VLOOKUP(Fellowes[[#This Row],[Código]],Venda_6meses[],2,FALSE),0)</f>
        <v>28</v>
      </c>
      <c r="Z14" s="45">
        <f>IFERROR(Fellowes[[#This Row],[V. 6 meses]]/Fellowes[[#This Row],[Proj. de V. 6 meses]],"")</f>
        <v>0.67687348912167611</v>
      </c>
      <c r="AA1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139.06666666666666</v>
      </c>
      <c r="AB14" s="39">
        <f>IFERROR(VLOOKUP(Fellowes[[#This Row],[Código]],Venda_12meses[],2,FALSE),0)</f>
        <v>52</v>
      </c>
      <c r="AC14" s="44">
        <f>IFERROR(Fellowes[[#This Row],[V. 12 meses]]/Fellowes[[#This Row],[Proj. de V. 12 meses]],"")</f>
        <v>0.37392138063279001</v>
      </c>
      <c r="AD14" s="22"/>
    </row>
    <row r="15" spans="1:30" x14ac:dyDescent="0.25">
      <c r="A15" s="22" t="str">
        <f>VLOOKUP(Fellowes[[#This Row],[Código]],BD_Produto[#All],7,FALSE)</f>
        <v>Em Linha</v>
      </c>
      <c r="B15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5" s="23">
        <v>33062063029</v>
      </c>
      <c r="D15" s="22" t="s">
        <v>1164</v>
      </c>
      <c r="E15" s="22" t="str">
        <f>VLOOKUP(Fellowes[[#This Row],[Código]],BD_Produto[],3,FALSE)</f>
        <v>Fragmentadora</v>
      </c>
      <c r="F15" s="22" t="str">
        <f>VLOOKUP(Fellowes[[#This Row],[Código]],BD_Produto[],4,FALSE)</f>
        <v>Fragmentadora</v>
      </c>
      <c r="G15" s="24">
        <v>100</v>
      </c>
      <c r="H15" s="25">
        <v>116.28</v>
      </c>
      <c r="I15" s="22" t="s">
        <v>1710</v>
      </c>
      <c r="J15" s="24"/>
      <c r="K15" s="24" t="str">
        <f>IFERROR(VLOOKUP(Fellowes[[#This Row],[Código]],Importação!P:R,3,FALSE),"")</f>
        <v/>
      </c>
      <c r="L15" s="24">
        <f>IFERROR(VLOOKUP(Fellowes[[#This Row],[Código]],Saldo[],3,FALSE),0)</f>
        <v>75</v>
      </c>
      <c r="M15" s="24">
        <f>SUM(Fellowes[[#This Row],[Produção]:[Estoque]])</f>
        <v>75</v>
      </c>
      <c r="N15" s="24">
        <f>IFERROR(Fellowes[[#This Row],[Estoque+Importação]]/Fellowes[[#This Row],[Proj. de V. No prox. mes]],"Sem Projeção")</f>
        <v>13.005780346820808</v>
      </c>
      <c r="O15" s="24">
        <f>IF(OR(Fellowes[[#This Row],[Status]]="Em Linha",Fellowes[[#This Row],[Status]]="Componente",Fellowes[[#This Row],[Status]]="Materia Prima"),Fellowes[[#This Row],[Proj. de V. No prox. mes]]*10,"-")</f>
        <v>57.666666666666671</v>
      </c>
      <c r="P15" s="34">
        <f>IF(OR(Fellowes[[#This Row],[Status]]="Em Linha",Fellowes[[#This Row],[Status]]="Componente",Fellowes[[#This Row],[Status]]="Materia Prima"),Fellowes[[#This Row],[estoque 10 meses]]-Fellowes[[#This Row],[Estoque+Importação]],0)</f>
        <v>-17.333333333333329</v>
      </c>
      <c r="Q15" s="75">
        <f>VLOOKUP(Fellowes[[#This Row],[Código]],Projeção[#All],15,FALSE)</f>
        <v>5.7666666666666675</v>
      </c>
      <c r="R15" s="39">
        <f>VLOOKUP(Fellowes[[#This Row],[Código]],Projeção[#All],14,FALSE)</f>
        <v>2.1666666666666665</v>
      </c>
      <c r="S15" s="39">
        <f>IFERROR(VLOOKUP(Fellowes[[#This Row],[Código]],Venda_mes[],2,FALSE),0)</f>
        <v>4</v>
      </c>
      <c r="T15" s="44">
        <f>IFERROR(Fellowes[[#This Row],[V. No mes]]/Fellowes[[#This Row],[Proj. de V. No mes]],"")</f>
        <v>1.8461538461538463</v>
      </c>
      <c r="U15" s="43">
        <f>VLOOKUP(Fellowes[[#This Row],[Código]],Projeção[#All],14,FALSE)+VLOOKUP(Fellowes[[#This Row],[Código]],Projeção[#All],13,FALSE)+VLOOKUP(Fellowes[[#This Row],[Código]],Projeção[#All],12,FALSE)</f>
        <v>5.7666666666666666</v>
      </c>
      <c r="V15" s="39">
        <f>IFERROR(VLOOKUP(Fellowes[[#This Row],[Código]],Venda_3meses[],2,FALSE),0)</f>
        <v>12</v>
      </c>
      <c r="W15" s="44">
        <f>IFERROR(Fellowes[[#This Row],[V. 3 meses]]/Fellowes[[#This Row],[Proj. de V. 3 meses]],"")</f>
        <v>2.0809248554913293</v>
      </c>
      <c r="X1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10</v>
      </c>
      <c r="Y15" s="102">
        <f>IFERROR(VLOOKUP(Fellowes[[#This Row],[Código]],Venda_6meses[],2,FALSE),0)</f>
        <v>37</v>
      </c>
      <c r="Z15" s="45">
        <f>IFERROR(Fellowes[[#This Row],[V. 6 meses]]/Fellowes[[#This Row],[Proj. de V. 6 meses]],"")</f>
        <v>3.7</v>
      </c>
      <c r="AA1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34.466666666666669</v>
      </c>
      <c r="AB15" s="39">
        <f>IFERROR(VLOOKUP(Fellowes[[#This Row],[Código]],Venda_12meses[],2,FALSE),0)</f>
        <v>51</v>
      </c>
      <c r="AC15" s="44">
        <f>IFERROR(Fellowes[[#This Row],[V. 12 meses]]/Fellowes[[#This Row],[Proj. de V. 12 meses]],"")</f>
        <v>1.4796905222437136</v>
      </c>
      <c r="AD15" s="22"/>
    </row>
    <row r="16" spans="1:30" x14ac:dyDescent="0.25">
      <c r="A16" s="22" t="str">
        <f>VLOOKUP(Fellowes[[#This Row],[Código]],BD_Produto[#All],7,FALSE)</f>
        <v>Em Linha</v>
      </c>
      <c r="B16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6" s="23">
        <v>33062063151</v>
      </c>
      <c r="D16" s="22" t="s">
        <v>1173</v>
      </c>
      <c r="E16" s="22" t="str">
        <f>VLOOKUP(Fellowes[[#This Row],[Código]],BD_Produto[],3,FALSE)</f>
        <v>Fragmentadora</v>
      </c>
      <c r="F16" s="22" t="str">
        <f>VLOOKUP(Fellowes[[#This Row],[Código]],BD_Produto[],4,FALSE)</f>
        <v>Fragmentadora</v>
      </c>
      <c r="G16" s="24">
        <v>50</v>
      </c>
      <c r="H16" s="25">
        <v>363.6</v>
      </c>
      <c r="I16" s="22" t="s">
        <v>1710</v>
      </c>
      <c r="J16" s="24"/>
      <c r="K16" s="24" t="str">
        <f>IFERROR(VLOOKUP(Fellowes[[#This Row],[Código]],Importação!P:R,3,FALSE),"")</f>
        <v/>
      </c>
      <c r="L16" s="24">
        <f>IFERROR(VLOOKUP(Fellowes[[#This Row],[Código]],Saldo[],3,FALSE),0)</f>
        <v>93</v>
      </c>
      <c r="M16" s="24">
        <f>SUM(Fellowes[[#This Row],[Produção]:[Estoque]])</f>
        <v>93</v>
      </c>
      <c r="N16" s="24">
        <f>IFERROR(Fellowes[[#This Row],[Estoque+Importação]]/Fellowes[[#This Row],[Proj. de V. No prox. mes]],"Sem Projeção")</f>
        <v>48.103448275862071</v>
      </c>
      <c r="O16" s="24">
        <f>IF(OR(Fellowes[[#This Row],[Status]]="Em Linha",Fellowes[[#This Row],[Status]]="Componente",Fellowes[[#This Row],[Status]]="Materia Prima"),Fellowes[[#This Row],[Proj. de V. No prox. mes]]*10,"-")</f>
        <v>19.333333333333332</v>
      </c>
      <c r="P16" s="34">
        <f>IF(OR(Fellowes[[#This Row],[Status]]="Em Linha",Fellowes[[#This Row],[Status]]="Componente",Fellowes[[#This Row],[Status]]="Materia Prima"),Fellowes[[#This Row],[estoque 10 meses]]-Fellowes[[#This Row],[Estoque+Importação]],0)</f>
        <v>-73.666666666666671</v>
      </c>
      <c r="Q16" s="75">
        <f>VLOOKUP(Fellowes[[#This Row],[Código]],Projeção[#All],15,FALSE)</f>
        <v>1.9333333333333331</v>
      </c>
      <c r="R16" s="39">
        <f>VLOOKUP(Fellowes[[#This Row],[Código]],Projeção[#All],14,FALSE)</f>
        <v>2.1666666666666665</v>
      </c>
      <c r="S16" s="39">
        <f>IFERROR(VLOOKUP(Fellowes[[#This Row],[Código]],Venda_mes[],2,FALSE),0)</f>
        <v>0</v>
      </c>
      <c r="T16" s="44">
        <f>IFERROR(Fellowes[[#This Row],[V. No mes]]/Fellowes[[#This Row],[Proj. de V. No mes]],"")</f>
        <v>0</v>
      </c>
      <c r="U16" s="43">
        <f>VLOOKUP(Fellowes[[#This Row],[Código]],Projeção[#All],14,FALSE)+VLOOKUP(Fellowes[[#This Row],[Código]],Projeção[#All],13,FALSE)+VLOOKUP(Fellowes[[#This Row],[Código]],Projeção[#All],12,FALSE)</f>
        <v>6.1666666666666652</v>
      </c>
      <c r="V16" s="39">
        <f>IFERROR(VLOOKUP(Fellowes[[#This Row],[Código]],Venda_3meses[],2,FALSE),0)</f>
        <v>3</v>
      </c>
      <c r="W16" s="44">
        <f>IFERROR(Fellowes[[#This Row],[V. 3 meses]]/Fellowes[[#This Row],[Proj. de V. 3 meses]],"")</f>
        <v>0.48648648648648662</v>
      </c>
      <c r="X1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13.166666666666664</v>
      </c>
      <c r="Y16" s="102">
        <f>IFERROR(VLOOKUP(Fellowes[[#This Row],[Código]],Venda_6meses[],2,FALSE),0)</f>
        <v>12</v>
      </c>
      <c r="Z16" s="45">
        <f>IFERROR(Fellowes[[#This Row],[V. 6 meses]]/Fellowes[[#This Row],[Proj. de V. 6 meses]],"")</f>
        <v>0.91139240506329133</v>
      </c>
      <c r="AA1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28.1</v>
      </c>
      <c r="AB16" s="39">
        <f>IFERROR(VLOOKUP(Fellowes[[#This Row],[Código]],Venda_12meses[],2,FALSE),0)</f>
        <v>22</v>
      </c>
      <c r="AC16" s="44">
        <f>IFERROR(Fellowes[[#This Row],[V. 12 meses]]/Fellowes[[#This Row],[Proj. de V. 12 meses]],"")</f>
        <v>0.78291814946619209</v>
      </c>
      <c r="AD16" s="22"/>
    </row>
    <row r="17" spans="1:30" x14ac:dyDescent="0.25">
      <c r="A17" s="22" t="str">
        <f>VLOOKUP(Fellowes[[#This Row],[Código]],BD_Produto[#All],7,FALSE)</f>
        <v>Em Linha</v>
      </c>
      <c r="B17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7" s="23">
        <v>33062062712</v>
      </c>
      <c r="D17" s="22" t="s">
        <v>1162</v>
      </c>
      <c r="E17" s="22" t="str">
        <f>VLOOKUP(Fellowes[[#This Row],[Código]],BD_Produto[],3,FALSE)</f>
        <v>Fragmentadora</v>
      </c>
      <c r="F17" s="22" t="str">
        <f>VLOOKUP(Fellowes[[#This Row],[Código]],BD_Produto[],4,FALSE)</f>
        <v>Fragmentadora</v>
      </c>
      <c r="G17" s="24">
        <v>100</v>
      </c>
      <c r="H17" s="25">
        <v>22.97</v>
      </c>
      <c r="I17" s="22" t="s">
        <v>1713</v>
      </c>
      <c r="J17" s="24"/>
      <c r="K17" s="24" t="str">
        <f>IFERROR(VLOOKUP(Fellowes[[#This Row],[Código]],Importação!P:R,3,FALSE),"")</f>
        <v/>
      </c>
      <c r="L17" s="24">
        <f>IFERROR(VLOOKUP(Fellowes[[#This Row],[Código]],Saldo[],3,FALSE),0)</f>
        <v>118</v>
      </c>
      <c r="M17" s="24">
        <f>SUM(Fellowes[[#This Row],[Produção]:[Estoque]])</f>
        <v>118</v>
      </c>
      <c r="N17" s="24">
        <f>IFERROR(Fellowes[[#This Row],[Estoque+Importação]]/Fellowes[[#This Row],[Proj. de V. No prox. mes]],"Sem Projeção")</f>
        <v>19.135135135135137</v>
      </c>
      <c r="O17" s="24">
        <f>IF(OR(Fellowes[[#This Row],[Status]]="Em Linha",Fellowes[[#This Row],[Status]]="Componente",Fellowes[[#This Row],[Status]]="Materia Prima"),Fellowes[[#This Row],[Proj. de V. No prox. mes]]*10,"-")</f>
        <v>61.666666666666657</v>
      </c>
      <c r="P17" s="34">
        <f>IF(OR(Fellowes[[#This Row],[Status]]="Em Linha",Fellowes[[#This Row],[Status]]="Componente",Fellowes[[#This Row],[Status]]="Materia Prima"),Fellowes[[#This Row],[estoque 10 meses]]-Fellowes[[#This Row],[Estoque+Importação]],0)</f>
        <v>-56.333333333333343</v>
      </c>
      <c r="Q17" s="75">
        <f>VLOOKUP(Fellowes[[#This Row],[Código]],Projeção[#All],15,FALSE)</f>
        <v>6.1666666666666661</v>
      </c>
      <c r="R17" s="39">
        <f>VLOOKUP(Fellowes[[#This Row],[Código]],Projeção[#All],14,FALSE)</f>
        <v>5.5333333333333323</v>
      </c>
      <c r="S17" s="39">
        <f>IFERROR(VLOOKUP(Fellowes[[#This Row],[Código]],Venda_mes[],2,FALSE),0)</f>
        <v>24</v>
      </c>
      <c r="T17" s="44">
        <f>IFERROR(Fellowes[[#This Row],[V. No mes]]/Fellowes[[#This Row],[Proj. de V. No mes]],"")</f>
        <v>4.3373493975903621</v>
      </c>
      <c r="U17" s="43">
        <f>VLOOKUP(Fellowes[[#This Row],[Código]],Projeção[#All],14,FALSE)+VLOOKUP(Fellowes[[#This Row],[Código]],Projeção[#All],13,FALSE)+VLOOKUP(Fellowes[[#This Row],[Código]],Projeção[#All],12,FALSE)</f>
        <v>16.633333333333333</v>
      </c>
      <c r="V17" s="39">
        <f>IFERROR(VLOOKUP(Fellowes[[#This Row],[Código]],Venda_3meses[],2,FALSE),0)</f>
        <v>24</v>
      </c>
      <c r="W17" s="44">
        <f>IFERROR(Fellowes[[#This Row],[V. 3 meses]]/Fellowes[[#This Row],[Proj. de V. 3 meses]],"")</f>
        <v>1.4428857715430863</v>
      </c>
      <c r="X1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28.099999999999998</v>
      </c>
      <c r="Y17" s="102">
        <f>IFERROR(VLOOKUP(Fellowes[[#This Row],[Código]],Venda_6meses[],2,FALSE),0)</f>
        <v>24</v>
      </c>
      <c r="Z17" s="45">
        <f>IFERROR(Fellowes[[#This Row],[V. 6 meses]]/Fellowes[[#This Row],[Proj. de V. 6 meses]],"")</f>
        <v>0.85409252669039148</v>
      </c>
      <c r="AA1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70.266666666666652</v>
      </c>
      <c r="AB17" s="39">
        <f>IFERROR(VLOOKUP(Fellowes[[#This Row],[Código]],Venda_12meses[],2,FALSE),0)</f>
        <v>41</v>
      </c>
      <c r="AC17" s="44">
        <f>IFERROR(Fellowes[[#This Row],[V. 12 meses]]/Fellowes[[#This Row],[Proj. de V. 12 meses]],"")</f>
        <v>0.58349146110056938</v>
      </c>
      <c r="AD17" s="22"/>
    </row>
    <row r="18" spans="1:30" x14ac:dyDescent="0.25">
      <c r="A18" s="22" t="str">
        <f>VLOOKUP(Fellowes[[#This Row],[Código]],BD_Produto[#All],7,FALSE)</f>
        <v>Em Linha</v>
      </c>
      <c r="B18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8" s="23">
        <v>33062063149</v>
      </c>
      <c r="D18" s="22" t="s">
        <v>892</v>
      </c>
      <c r="E18" s="22" t="str">
        <f>VLOOKUP(Fellowes[[#This Row],[Código]],BD_Produto[],3,FALSE)</f>
        <v>Fragmentadora</v>
      </c>
      <c r="F18" s="22" t="str">
        <f>VLOOKUP(Fellowes[[#This Row],[Código]],BD_Produto[],4,FALSE)</f>
        <v>Fragmentadora</v>
      </c>
      <c r="G18" s="24">
        <v>50</v>
      </c>
      <c r="H18" s="25">
        <v>327.37</v>
      </c>
      <c r="I18" s="22" t="s">
        <v>1710</v>
      </c>
      <c r="J18" s="24"/>
      <c r="K18" s="24" t="str">
        <f>IFERROR(VLOOKUP(Fellowes[[#This Row],[Código]],Importação!P:R,3,FALSE),"")</f>
        <v/>
      </c>
      <c r="L18" s="24">
        <f>IFERROR(VLOOKUP(Fellowes[[#This Row],[Código]],Saldo[],3,FALSE),0)</f>
        <v>23</v>
      </c>
      <c r="M18" s="24">
        <f>SUM(Fellowes[[#This Row],[Produção]:[Estoque]])</f>
        <v>23</v>
      </c>
      <c r="N18" s="24">
        <f>IFERROR(Fellowes[[#This Row],[Estoque+Importação]]/Fellowes[[#This Row],[Proj. de V. No prox. mes]],"Sem Projeção")</f>
        <v>12.545454545454547</v>
      </c>
      <c r="O18" s="24">
        <f>IF(OR(Fellowes[[#This Row],[Status]]="Em Linha",Fellowes[[#This Row],[Status]]="Componente",Fellowes[[#This Row],[Status]]="Materia Prima"),Fellowes[[#This Row],[Proj. de V. No prox. mes]]*10,"-")</f>
        <v>18.333333333333329</v>
      </c>
      <c r="P18" s="34">
        <f>IF(OR(Fellowes[[#This Row],[Status]]="Em Linha",Fellowes[[#This Row],[Status]]="Componente",Fellowes[[#This Row],[Status]]="Materia Prima"),Fellowes[[#This Row],[estoque 10 meses]]-Fellowes[[#This Row],[Estoque+Importação]],0)</f>
        <v>-4.6666666666666714</v>
      </c>
      <c r="Q18" s="83">
        <f>VLOOKUP(Fellowes[[#This Row],[Código]],Projeção[#All],15,FALSE)</f>
        <v>1.833333333333333</v>
      </c>
      <c r="R18" s="43">
        <f>VLOOKUP(Fellowes[[#This Row],[Código]],Projeção[#All],14,FALSE)</f>
        <v>0.70000000000000007</v>
      </c>
      <c r="S18" s="39">
        <f>IFERROR(VLOOKUP(Fellowes[[#This Row],[Código]],Venda_mes[],2,FALSE),0)</f>
        <v>0</v>
      </c>
      <c r="T18" s="44">
        <f>IFERROR(Fellowes[[#This Row],[V. No mes]]/Fellowes[[#This Row],[Proj. de V. No mes]],"")</f>
        <v>0</v>
      </c>
      <c r="U18" s="43">
        <f>VLOOKUP(Fellowes[[#This Row],[Código]],Projeção[#All],14,FALSE)+VLOOKUP(Fellowes[[#This Row],[Código]],Projeção[#All],13,FALSE)+VLOOKUP(Fellowes[[#This Row],[Código]],Projeção[#All],12,FALSE)</f>
        <v>1.4999999999999998</v>
      </c>
      <c r="V18" s="39">
        <f>IFERROR(VLOOKUP(Fellowes[[#This Row],[Código]],Venda_3meses[],2,FALSE),0)</f>
        <v>5</v>
      </c>
      <c r="W18" s="44">
        <f>IFERROR(Fellowes[[#This Row],[V. 3 meses]]/Fellowes[[#This Row],[Proj. de V. 3 meses]],"")</f>
        <v>3.3333333333333339</v>
      </c>
      <c r="X1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2.333333333333333</v>
      </c>
      <c r="Y18" s="102">
        <f>IFERROR(VLOOKUP(Fellowes[[#This Row],[Código]],Venda_6meses[],2,FALSE),0)</f>
        <v>11</v>
      </c>
      <c r="Z18" s="45">
        <f>IFERROR(Fellowes[[#This Row],[V. 6 meses]]/Fellowes[[#This Row],[Proj. de V. 6 meses]],"")</f>
        <v>4.7142857142857153</v>
      </c>
      <c r="AA1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6.0666666666666655</v>
      </c>
      <c r="AB18" s="39">
        <f>IFERROR(VLOOKUP(Fellowes[[#This Row],[Código]],Venda_12meses[],2,FALSE),0)</f>
        <v>13</v>
      </c>
      <c r="AC18" s="44">
        <f>IFERROR(Fellowes[[#This Row],[V. 12 meses]]/Fellowes[[#This Row],[Proj. de V. 12 meses]],"")</f>
        <v>2.1428571428571432</v>
      </c>
      <c r="AD18" s="22"/>
    </row>
    <row r="19" spans="1:30" x14ac:dyDescent="0.25">
      <c r="A19" s="22" t="str">
        <f>VLOOKUP(Fellowes[[#This Row],[Código]],BD_Produto[#All],7,FALSE)</f>
        <v>Em Linha</v>
      </c>
      <c r="B19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19" s="23">
        <v>33062063026</v>
      </c>
      <c r="D19" s="22" t="s">
        <v>1022</v>
      </c>
      <c r="E19" s="22" t="str">
        <f>VLOOKUP(Fellowes[[#This Row],[Código]],BD_Produto[],3,FALSE)</f>
        <v>Fragmentadora</v>
      </c>
      <c r="F19" s="22" t="str">
        <f>VLOOKUP(Fellowes[[#This Row],[Código]],BD_Produto[],4,FALSE)</f>
        <v>Fragmentadora</v>
      </c>
      <c r="G19" s="24">
        <v>100</v>
      </c>
      <c r="H19" s="25">
        <v>124.95</v>
      </c>
      <c r="I19" s="22" t="s">
        <v>1710</v>
      </c>
      <c r="J19" s="24"/>
      <c r="K19" s="24" t="str">
        <f>IFERROR(VLOOKUP(Fellowes[[#This Row],[Código]],Importação!P:R,3,FALSE),"")</f>
        <v/>
      </c>
      <c r="L19" s="24">
        <f>IFERROR(VLOOKUP(Fellowes[[#This Row],[Código]],Saldo[],3,FALSE),0)</f>
        <v>62</v>
      </c>
      <c r="M19" s="24">
        <f>SUM(Fellowes[[#This Row],[Produção]:[Estoque]])</f>
        <v>62</v>
      </c>
      <c r="N19" s="24">
        <f>IFERROR(Fellowes[[#This Row],[Estoque+Importação]]/Fellowes[[#This Row],[Proj. de V. No prox. mes]],"Sem Projeção")</f>
        <v>143.07692307692309</v>
      </c>
      <c r="O19" s="24">
        <f>IF(OR(Fellowes[[#This Row],[Status]]="Em Linha",Fellowes[[#This Row],[Status]]="Componente",Fellowes[[#This Row],[Status]]="Materia Prima"),Fellowes[[#This Row],[Proj. de V. No prox. mes]]*10,"-")</f>
        <v>4.333333333333333</v>
      </c>
      <c r="P19" s="34">
        <f>IF(OR(Fellowes[[#This Row],[Status]]="Em Linha",Fellowes[[#This Row],[Status]]="Componente",Fellowes[[#This Row],[Status]]="Materia Prima"),Fellowes[[#This Row],[estoque 10 meses]]-Fellowes[[#This Row],[Estoque+Importação]],0)</f>
        <v>-57.666666666666664</v>
      </c>
      <c r="Q19" s="83">
        <f>VLOOKUP(Fellowes[[#This Row],[Código]],Projeção[#All],15,FALSE)</f>
        <v>0.43333333333333329</v>
      </c>
      <c r="R19" s="43">
        <f>VLOOKUP(Fellowes[[#This Row],[Código]],Projeção[#All],14,FALSE)</f>
        <v>0.93333333333333313</v>
      </c>
      <c r="S19" s="39">
        <f>IFERROR(VLOOKUP(Fellowes[[#This Row],[Código]],Venda_mes[],2,FALSE),0)</f>
        <v>0</v>
      </c>
      <c r="T19" s="44">
        <f>IFERROR(Fellowes[[#This Row],[V. No mes]]/Fellowes[[#This Row],[Proj. de V. No mes]],"")</f>
        <v>0</v>
      </c>
      <c r="U19" s="43">
        <f>VLOOKUP(Fellowes[[#This Row],[Código]],Projeção[#All],14,FALSE)+VLOOKUP(Fellowes[[#This Row],[Código]],Projeção[#All],13,FALSE)+VLOOKUP(Fellowes[[#This Row],[Código]],Projeção[#All],12,FALSE)</f>
        <v>2.9999999999999991</v>
      </c>
      <c r="V19" s="39">
        <f>IFERROR(VLOOKUP(Fellowes[[#This Row],[Código]],Venda_3meses[],2,FALSE),0)</f>
        <v>0</v>
      </c>
      <c r="W19" s="44">
        <f>IFERROR(Fellowes[[#This Row],[V. 3 meses]]/Fellowes[[#This Row],[Proj. de V. 3 meses]],"")</f>
        <v>0</v>
      </c>
      <c r="X1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6.3666666666666654</v>
      </c>
      <c r="Y19" s="102">
        <f>IFERROR(VLOOKUP(Fellowes[[#This Row],[Código]],Venda_6meses[],2,FALSE),0)</f>
        <v>2</v>
      </c>
      <c r="Z19" s="45">
        <f>IFERROR(Fellowes[[#This Row],[V. 6 meses]]/Fellowes[[#This Row],[Proj. de V. 6 meses]],"")</f>
        <v>0.31413612565445032</v>
      </c>
      <c r="AA1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13.766666666666664</v>
      </c>
      <c r="AB19" s="39">
        <f>IFERROR(VLOOKUP(Fellowes[[#This Row],[Código]],Venda_12meses[],2,FALSE),0)</f>
        <v>9</v>
      </c>
      <c r="AC19" s="44">
        <f>IFERROR(Fellowes[[#This Row],[V. 12 meses]]/Fellowes[[#This Row],[Proj. de V. 12 meses]],"")</f>
        <v>0.65375302663438273</v>
      </c>
      <c r="AD19" s="22"/>
    </row>
    <row r="20" spans="1:30" x14ac:dyDescent="0.25">
      <c r="A20" s="22" t="str">
        <f>VLOOKUP(Fellowes[[#This Row],[Código]],BD_Produto[#All],7,FALSE)</f>
        <v>Em Linha</v>
      </c>
      <c r="B20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0" s="23">
        <v>33062062714</v>
      </c>
      <c r="D20" s="22" t="s">
        <v>1157</v>
      </c>
      <c r="E20" s="22" t="str">
        <f>VLOOKUP(Fellowes[[#This Row],[Código]],BD_Produto[],3,FALSE)</f>
        <v>Fragmentadora</v>
      </c>
      <c r="F20" s="22" t="str">
        <f>VLOOKUP(Fellowes[[#This Row],[Código]],BD_Produto[],4,FALSE)</f>
        <v>Fragmentadora</v>
      </c>
      <c r="G20" s="24">
        <v>100</v>
      </c>
      <c r="H20" s="25">
        <v>29.97</v>
      </c>
      <c r="I20" s="22" t="s">
        <v>1713</v>
      </c>
      <c r="J20" s="24"/>
      <c r="K20" s="24" t="str">
        <f>IFERROR(VLOOKUP(Fellowes[[#This Row],[Código]],Importação!P:R,3,FALSE),"")</f>
        <v/>
      </c>
      <c r="L20" s="24">
        <f>IFERROR(VLOOKUP(Fellowes[[#This Row],[Código]],Saldo[],3,FALSE),0)</f>
        <v>216</v>
      </c>
      <c r="M20" s="24">
        <f>SUM(Fellowes[[#This Row],[Produção]:[Estoque]])</f>
        <v>216</v>
      </c>
      <c r="N20" s="24">
        <f>IFERROR(Fellowes[[#This Row],[Estoque+Importação]]/Fellowes[[#This Row],[Proj. de V. No prox. mes]],"Sem Projeção")</f>
        <v>22.57839721254356</v>
      </c>
      <c r="O20" s="24">
        <f>IF(OR(Fellowes[[#This Row],[Status]]="Em Linha",Fellowes[[#This Row],[Status]]="Componente",Fellowes[[#This Row],[Status]]="Materia Prima"),Fellowes[[#This Row],[Proj. de V. No prox. mes]]*10,"-")</f>
        <v>95.666666666666643</v>
      </c>
      <c r="P20" s="34">
        <f>IF(OR(Fellowes[[#This Row],[Status]]="Em Linha",Fellowes[[#This Row],[Status]]="Componente",Fellowes[[#This Row],[Status]]="Materia Prima"),Fellowes[[#This Row],[estoque 10 meses]]-Fellowes[[#This Row],[Estoque+Importação]],0)</f>
        <v>-120.33333333333336</v>
      </c>
      <c r="Q20" s="75">
        <f>VLOOKUP(Fellowes[[#This Row],[Código]],Projeção[#All],15,FALSE)</f>
        <v>9.5666666666666647</v>
      </c>
      <c r="R20" s="39">
        <f>VLOOKUP(Fellowes[[#This Row],[Código]],Projeção[#All],14,FALSE)</f>
        <v>2.2333333333333329</v>
      </c>
      <c r="S20" s="39">
        <f>IFERROR(VLOOKUP(Fellowes[[#This Row],[Código]],Venda_mes[],2,FALSE),0)</f>
        <v>10</v>
      </c>
      <c r="T20" s="44">
        <f>IFERROR(Fellowes[[#This Row],[V. No mes]]/Fellowes[[#This Row],[Proj. de V. No mes]],"")</f>
        <v>4.477611940298508</v>
      </c>
      <c r="U20" s="43">
        <f>VLOOKUP(Fellowes[[#This Row],[Código]],Projeção[#All],14,FALSE)+VLOOKUP(Fellowes[[#This Row],[Código]],Projeção[#All],13,FALSE)+VLOOKUP(Fellowes[[#This Row],[Código]],Projeção[#All],12,FALSE)</f>
        <v>6.1666666666666661</v>
      </c>
      <c r="V20" s="39">
        <f>IFERROR(VLOOKUP(Fellowes[[#This Row],[Código]],Venda_3meses[],2,FALSE),0)</f>
        <v>35</v>
      </c>
      <c r="W20" s="44">
        <f>IFERROR(Fellowes[[#This Row],[V. 3 meses]]/Fellowes[[#This Row],[Proj. de V. 3 meses]],"")</f>
        <v>5.6756756756756763</v>
      </c>
      <c r="X2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11.233333333333333</v>
      </c>
      <c r="Y20" s="102">
        <f>IFERROR(VLOOKUP(Fellowes[[#This Row],[Código]],Venda_6meses[],2,FALSE),0)</f>
        <v>42</v>
      </c>
      <c r="Z20" s="45">
        <f>IFERROR(Fellowes[[#This Row],[V. 6 meses]]/Fellowes[[#This Row],[Proj. de V. 6 meses]],"")</f>
        <v>3.7388724035608312</v>
      </c>
      <c r="AA2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38.966666666666669</v>
      </c>
      <c r="AB20" s="39">
        <f>IFERROR(VLOOKUP(Fellowes[[#This Row],[Código]],Venda_12meses[],2,FALSE),0)</f>
        <v>63</v>
      </c>
      <c r="AC20" s="44">
        <f>IFERROR(Fellowes[[#This Row],[V. 12 meses]]/Fellowes[[#This Row],[Proj. de V. 12 meses]],"")</f>
        <v>1.6167664670658681</v>
      </c>
      <c r="AD20" s="22"/>
    </row>
    <row r="21" spans="1:30" x14ac:dyDescent="0.25">
      <c r="A21" s="22" t="str">
        <f>VLOOKUP(Fellowes[[#This Row],[Código]],BD_Produto[#All],7,FALSE)</f>
        <v>Em Linha</v>
      </c>
      <c r="B21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1" s="23">
        <v>33062364498</v>
      </c>
      <c r="D21" s="22" t="s">
        <v>1195</v>
      </c>
      <c r="E21" s="22" t="str">
        <f>VLOOKUP(Fellowes[[#This Row],[Código]],BD_Produto[],3,FALSE)</f>
        <v>Refiladora</v>
      </c>
      <c r="F21" s="22" t="str">
        <f>VLOOKUP(Fellowes[[#This Row],[Código]],BD_Produto[],4,FALSE)</f>
        <v>Refiladora</v>
      </c>
      <c r="G21" s="24">
        <v>1000</v>
      </c>
      <c r="H21" s="25">
        <v>4.7300000000000004</v>
      </c>
      <c r="I21" s="22" t="s">
        <v>1710</v>
      </c>
      <c r="J21" s="24"/>
      <c r="K21" s="24" t="str">
        <f>IFERROR(VLOOKUP(Fellowes[[#This Row],[Código]],Importação!P:R,3,FALSE),"")</f>
        <v/>
      </c>
      <c r="L21" s="24">
        <f>IFERROR(VLOOKUP(Fellowes[[#This Row],[Código]],Saldo[],3,FALSE),0)</f>
        <v>89</v>
      </c>
      <c r="M21" s="24">
        <f>SUM(Fellowes[[#This Row],[Produção]:[Estoque]])</f>
        <v>89</v>
      </c>
      <c r="N21" s="24">
        <f>IFERROR(Fellowes[[#This Row],[Estoque+Importação]]/Fellowes[[#This Row],[Proj. de V. No prox. mes]],"Sem Projeção")</f>
        <v>89</v>
      </c>
      <c r="O21" s="24">
        <f>IF(OR(Fellowes[[#This Row],[Status]]="Em Linha",Fellowes[[#This Row],[Status]]="Componente",Fellowes[[#This Row],[Status]]="Materia Prima"),Fellowes[[#This Row],[Proj. de V. No prox. mes]]*10,"-")</f>
        <v>10</v>
      </c>
      <c r="P21" s="34">
        <f>IF(OR(Fellowes[[#This Row],[Status]]="Em Linha",Fellowes[[#This Row],[Status]]="Componente",Fellowes[[#This Row],[Status]]="Materia Prima"),Fellowes[[#This Row],[estoque 10 meses]]-Fellowes[[#This Row],[Estoque+Importação]],0)</f>
        <v>-79</v>
      </c>
      <c r="Q21" s="83">
        <f>VLOOKUP(Fellowes[[#This Row],[Código]],Projeção[#All],15,FALSE)</f>
        <v>1</v>
      </c>
      <c r="R21" s="43">
        <f>VLOOKUP(Fellowes[[#This Row],[Código]],Projeção[#All],14,FALSE)</f>
        <v>2.0666666666666669</v>
      </c>
      <c r="S21" s="39">
        <f>IFERROR(VLOOKUP(Fellowes[[#This Row],[Código]],Venda_mes[],2,FALSE),0)</f>
        <v>0</v>
      </c>
      <c r="T21" s="44">
        <f>IFERROR(Fellowes[[#This Row],[V. No mes]]/Fellowes[[#This Row],[Proj. de V. No mes]],"")</f>
        <v>0</v>
      </c>
      <c r="U21" s="43">
        <f>VLOOKUP(Fellowes[[#This Row],[Código]],Projeção[#All],14,FALSE)+VLOOKUP(Fellowes[[#This Row],[Código]],Projeção[#All],13,FALSE)+VLOOKUP(Fellowes[[#This Row],[Código]],Projeção[#All],12,FALSE)</f>
        <v>7.2</v>
      </c>
      <c r="V21" s="39">
        <f>IFERROR(VLOOKUP(Fellowes[[#This Row],[Código]],Venda_3meses[],2,FALSE),0)</f>
        <v>3</v>
      </c>
      <c r="W21" s="44">
        <f>IFERROR(Fellowes[[#This Row],[V. 3 meses]]/Fellowes[[#This Row],[Proj. de V. 3 meses]],"")</f>
        <v>0.41666666666666663</v>
      </c>
      <c r="X2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22.866666666666667</v>
      </c>
      <c r="Y21" s="102">
        <f>IFERROR(VLOOKUP(Fellowes[[#This Row],[Código]],Venda_6meses[],2,FALSE),0)</f>
        <v>6</v>
      </c>
      <c r="Z21" s="45">
        <f>IFERROR(Fellowes[[#This Row],[V. 6 meses]]/Fellowes[[#This Row],[Proj. de V. 6 meses]],"")</f>
        <v>0.26239067055393583</v>
      </c>
      <c r="AA2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77.066666666666677</v>
      </c>
      <c r="AB21" s="39">
        <f>IFERROR(VLOOKUP(Fellowes[[#This Row],[Código]],Venda_12meses[],2,FALSE),0)</f>
        <v>6</v>
      </c>
      <c r="AC21" s="44">
        <f>IFERROR(Fellowes[[#This Row],[V. 12 meses]]/Fellowes[[#This Row],[Proj. de V. 12 meses]],"")</f>
        <v>7.7854671280276802E-2</v>
      </c>
      <c r="AD21" s="22"/>
    </row>
    <row r="22" spans="1:30" x14ac:dyDescent="0.25">
      <c r="A22" s="22" t="str">
        <f>VLOOKUP(Fellowes[[#This Row],[Código]],BD_Produto[#All],7,FALSE)</f>
        <v>Em Linha</v>
      </c>
      <c r="B22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2" s="23">
        <v>33062062715</v>
      </c>
      <c r="D22" s="22" t="s">
        <v>1017</v>
      </c>
      <c r="E22" s="22" t="str">
        <f>VLOOKUP(Fellowes[[#This Row],[Código]],BD_Produto[],3,FALSE)</f>
        <v>Fragmentadora</v>
      </c>
      <c r="F22" s="22" t="str">
        <f>VLOOKUP(Fellowes[[#This Row],[Código]],BD_Produto[],4,FALSE)</f>
        <v>Fragmentadora</v>
      </c>
      <c r="G22" s="24">
        <v>300</v>
      </c>
      <c r="H22" s="25">
        <v>29.97</v>
      </c>
      <c r="I22" s="22" t="s">
        <v>1713</v>
      </c>
      <c r="J22" s="24"/>
      <c r="K22" s="24" t="str">
        <f>IFERROR(VLOOKUP(Fellowes[[#This Row],[Código]],Importação!P:R,3,FALSE),"")</f>
        <v/>
      </c>
      <c r="L22" s="24">
        <f>IFERROR(VLOOKUP(Fellowes[[#This Row],[Código]],Saldo[],3,FALSE),0)</f>
        <v>348</v>
      </c>
      <c r="M22" s="24">
        <f>SUM(Fellowes[[#This Row],[Produção]:[Estoque]])</f>
        <v>348</v>
      </c>
      <c r="N22" s="24">
        <f>IFERROR(Fellowes[[#This Row],[Estoque+Importação]]/Fellowes[[#This Row],[Proj. de V. No prox. mes]],"Sem Projeção")</f>
        <v>35.876288659793808</v>
      </c>
      <c r="O22" s="24">
        <f>IF(OR(Fellowes[[#This Row],[Status]]="Em Linha",Fellowes[[#This Row],[Status]]="Componente",Fellowes[[#This Row],[Status]]="Materia Prima"),Fellowes[[#This Row],[Proj. de V. No prox. mes]]*10,"-")</f>
        <v>97.000000000000014</v>
      </c>
      <c r="P22" s="34">
        <f>IF(OR(Fellowes[[#This Row],[Status]]="Em Linha",Fellowes[[#This Row],[Status]]="Componente",Fellowes[[#This Row],[Status]]="Materia Prima"),Fellowes[[#This Row],[estoque 10 meses]]-Fellowes[[#This Row],[Estoque+Importação]],0)</f>
        <v>-251</v>
      </c>
      <c r="Q22" s="83">
        <f>VLOOKUP(Fellowes[[#This Row],[Código]],Projeção[#All],15,FALSE)</f>
        <v>9.7000000000000011</v>
      </c>
      <c r="R22" s="43">
        <f>VLOOKUP(Fellowes[[#This Row],[Código]],Projeção[#All],14,FALSE)</f>
        <v>9.3999999999999986</v>
      </c>
      <c r="S22" s="39">
        <f>IFERROR(VLOOKUP(Fellowes[[#This Row],[Código]],Venda_mes[],2,FALSE),0)</f>
        <v>2</v>
      </c>
      <c r="T22" s="44">
        <f>IFERROR(Fellowes[[#This Row],[V. No mes]]/Fellowes[[#This Row],[Proj. de V. No mes]],"")</f>
        <v>0.21276595744680854</v>
      </c>
      <c r="U22" s="43">
        <f>VLOOKUP(Fellowes[[#This Row],[Código]],Projeção[#All],14,FALSE)+VLOOKUP(Fellowes[[#This Row],[Código]],Projeção[#All],13,FALSE)+VLOOKUP(Fellowes[[#This Row],[Código]],Projeção[#All],12,FALSE)</f>
        <v>26.299999999999997</v>
      </c>
      <c r="V22" s="39">
        <f>IFERROR(VLOOKUP(Fellowes[[#This Row],[Código]],Venda_3meses[],2,FALSE),0)</f>
        <v>31</v>
      </c>
      <c r="W22" s="44">
        <f>IFERROR(Fellowes[[#This Row],[V. 3 meses]]/Fellowes[[#This Row],[Proj. de V. 3 meses]],"")</f>
        <v>1.1787072243346008</v>
      </c>
      <c r="X2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46.899999999999991</v>
      </c>
      <c r="Y22" s="102">
        <f>IFERROR(VLOOKUP(Fellowes[[#This Row],[Código]],Venda_6meses[],2,FALSE),0)</f>
        <v>47</v>
      </c>
      <c r="Z22" s="45">
        <f>IFERROR(Fellowes[[#This Row],[V. 6 meses]]/Fellowes[[#This Row],[Proj. de V. 6 meses]],"")</f>
        <v>1.0021321961620471</v>
      </c>
      <c r="AA2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139.23333333333332</v>
      </c>
      <c r="AB22" s="39">
        <f>IFERROR(VLOOKUP(Fellowes[[#This Row],[Código]],Venda_12meses[],2,FALSE),0)</f>
        <v>73</v>
      </c>
      <c r="AC22" s="44">
        <f>IFERROR(Fellowes[[#This Row],[V. 12 meses]]/Fellowes[[#This Row],[Proj. de V. 12 meses]],"")</f>
        <v>0.52429973665310037</v>
      </c>
      <c r="AD22" s="22"/>
    </row>
    <row r="23" spans="1:30" x14ac:dyDescent="0.25">
      <c r="A23" s="22" t="str">
        <f>VLOOKUP(Fellowes[[#This Row],[Código]],BD_Produto[#All],7,FALSE)</f>
        <v>Em Linha</v>
      </c>
      <c r="B23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3" s="23">
        <v>33062064072</v>
      </c>
      <c r="D23" s="22" t="s">
        <v>1047</v>
      </c>
      <c r="E23" s="22" t="str">
        <f>VLOOKUP(Fellowes[[#This Row],[Código]],BD_Produto[],3,FALSE)</f>
        <v>Fragmentadora</v>
      </c>
      <c r="F23" s="22" t="str">
        <f>VLOOKUP(Fellowes[[#This Row],[Código]],BD_Produto[],4,FALSE)</f>
        <v>Fragmentadora</v>
      </c>
      <c r="G23" s="24"/>
      <c r="H23" s="25">
        <v>100</v>
      </c>
      <c r="I23" s="22"/>
      <c r="J23" s="24"/>
      <c r="K23" s="24" t="str">
        <f>IFERROR(VLOOKUP(Fellowes[[#This Row],[Código]],Importação!P:R,3,FALSE),"")</f>
        <v/>
      </c>
      <c r="L23" s="24">
        <f>IFERROR(VLOOKUP(Fellowes[[#This Row],[Código]],Saldo[],3,FALSE),0)</f>
        <v>53</v>
      </c>
      <c r="M23" s="24">
        <f>SUM(Fellowes[[#This Row],[Produção]:[Estoque]])</f>
        <v>53</v>
      </c>
      <c r="N23" s="24">
        <f>IFERROR(Fellowes[[#This Row],[Estoque+Importação]]/Fellowes[[#This Row],[Proj. de V. No prox. mes]],"Sem Projeção")</f>
        <v>22.714285714285712</v>
      </c>
      <c r="O23" s="24">
        <f>IF(OR(Fellowes[[#This Row],[Status]]="Em Linha",Fellowes[[#This Row],[Status]]="Componente",Fellowes[[#This Row],[Status]]="Materia Prima"),Fellowes[[#This Row],[Proj. de V. No prox. mes]]*10,"-")</f>
        <v>23.333333333333336</v>
      </c>
      <c r="P23" s="34">
        <f>IF(OR(Fellowes[[#This Row],[Status]]="Em Linha",Fellowes[[#This Row],[Status]]="Componente",Fellowes[[#This Row],[Status]]="Materia Prima"),Fellowes[[#This Row],[estoque 10 meses]]-Fellowes[[#This Row],[Estoque+Importação]],0)</f>
        <v>-29.666666666666664</v>
      </c>
      <c r="Q23" s="83">
        <f>VLOOKUP(Fellowes[[#This Row],[Código]],Projeção[#All],15,FALSE)</f>
        <v>2.3333333333333335</v>
      </c>
      <c r="R23" s="43">
        <f>VLOOKUP(Fellowes[[#This Row],[Código]],Projeção[#All],14,FALSE)</f>
        <v>1.333333333333333</v>
      </c>
      <c r="S23" s="39">
        <f>IFERROR(VLOOKUP(Fellowes[[#This Row],[Código]],Venda_mes[],2,FALSE),0)</f>
        <v>0</v>
      </c>
      <c r="T23" s="44">
        <f>IFERROR(Fellowes[[#This Row],[V. No mes]]/Fellowes[[#This Row],[Proj. de V. No mes]],"")</f>
        <v>0</v>
      </c>
      <c r="U23" s="43">
        <f>VLOOKUP(Fellowes[[#This Row],[Código]],Projeção[#All],14,FALSE)+VLOOKUP(Fellowes[[#This Row],[Código]],Projeção[#All],13,FALSE)+VLOOKUP(Fellowes[[#This Row],[Código]],Projeção[#All],12,FALSE)</f>
        <v>3.4666666666666659</v>
      </c>
      <c r="V23" s="39">
        <f>IFERROR(VLOOKUP(Fellowes[[#This Row],[Código]],Venda_3meses[],2,FALSE),0)</f>
        <v>9</v>
      </c>
      <c r="W23" s="44">
        <f>IFERROR(Fellowes[[#This Row],[V. 3 meses]]/Fellowes[[#This Row],[Proj. de V. 3 meses]],"")</f>
        <v>2.5961538461538467</v>
      </c>
      <c r="X2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6.966666666666665</v>
      </c>
      <c r="Y23" s="102">
        <f>IFERROR(VLOOKUP(Fellowes[[#This Row],[Código]],Venda_6meses[],2,FALSE),0)</f>
        <v>10</v>
      </c>
      <c r="Z23" s="45">
        <f>IFERROR(Fellowes[[#This Row],[V. 6 meses]]/Fellowes[[#This Row],[Proj. de V. 6 meses]],"")</f>
        <v>1.4354066985645937</v>
      </c>
      <c r="AA2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11.999999999999998</v>
      </c>
      <c r="AB23" s="39">
        <f>IFERROR(VLOOKUP(Fellowes[[#This Row],[Código]],Venda_12meses[],2,FALSE),0)</f>
        <v>14</v>
      </c>
      <c r="AC23" s="44">
        <f>IFERROR(Fellowes[[#This Row],[V. 12 meses]]/Fellowes[[#This Row],[Proj. de V. 12 meses]],"")</f>
        <v>1.1666666666666667</v>
      </c>
      <c r="AD23" s="22"/>
    </row>
    <row r="24" spans="1:30" x14ac:dyDescent="0.25">
      <c r="A24" s="22" t="str">
        <f>VLOOKUP(Fellowes[[#This Row],[Código]],BD_Produto[#All],7,FALSE)</f>
        <v>Em Linha</v>
      </c>
      <c r="B24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4" s="23">
        <v>33062064073</v>
      </c>
      <c r="D24" s="22" t="s">
        <v>925</v>
      </c>
      <c r="E24" s="22" t="str">
        <f>VLOOKUP(Fellowes[[#This Row],[Código]],BD_Produto[],3,FALSE)</f>
        <v>Fragmentadora</v>
      </c>
      <c r="F24" s="22" t="str">
        <f>VLOOKUP(Fellowes[[#This Row],[Código]],BD_Produto[],4,FALSE)</f>
        <v>Fragmentadora</v>
      </c>
      <c r="G24" s="24"/>
      <c r="H24" s="25">
        <v>100</v>
      </c>
      <c r="I24" s="22"/>
      <c r="J24" s="24"/>
      <c r="K24" s="24" t="str">
        <f>IFERROR(VLOOKUP(Fellowes[[#This Row],[Código]],Importação!P:R,3,FALSE),"")</f>
        <v/>
      </c>
      <c r="L24" s="24">
        <f>IFERROR(VLOOKUP(Fellowes[[#This Row],[Código]],Saldo[],3,FALSE),0)</f>
        <v>70</v>
      </c>
      <c r="M24" s="24">
        <f>SUM(Fellowes[[#This Row],[Produção]:[Estoque]])</f>
        <v>70</v>
      </c>
      <c r="N24" s="24">
        <f>IFERROR(Fellowes[[#This Row],[Estoque+Importação]]/Fellowes[[#This Row],[Proj. de V. No prox. mes]],"Sem Projeção")</f>
        <v>233.33333333333334</v>
      </c>
      <c r="O24" s="24">
        <f>IF(OR(Fellowes[[#This Row],[Status]]="Em Linha",Fellowes[[#This Row],[Status]]="Componente",Fellowes[[#This Row],[Status]]="Materia Prima"),Fellowes[[#This Row],[Proj. de V. No prox. mes]]*10,"-")</f>
        <v>3</v>
      </c>
      <c r="P24" s="34">
        <f>IF(OR(Fellowes[[#This Row],[Status]]="Em Linha",Fellowes[[#This Row],[Status]]="Componente",Fellowes[[#This Row],[Status]]="Materia Prima"),Fellowes[[#This Row],[estoque 10 meses]]-Fellowes[[#This Row],[Estoque+Importação]],0)</f>
        <v>-67</v>
      </c>
      <c r="Q24" s="83">
        <f>VLOOKUP(Fellowes[[#This Row],[Código]],Projeção[#All],15,FALSE)</f>
        <v>0.3</v>
      </c>
      <c r="R24" s="43">
        <f>VLOOKUP(Fellowes[[#This Row],[Código]],Projeção[#All],14,FALSE)</f>
        <v>0.86666666666666659</v>
      </c>
      <c r="S24" s="39">
        <f>IFERROR(VLOOKUP(Fellowes[[#This Row],[Código]],Venda_mes[],2,FALSE),0)</f>
        <v>0</v>
      </c>
      <c r="T24" s="44">
        <f>IFERROR(Fellowes[[#This Row],[V. No mes]]/Fellowes[[#This Row],[Proj. de V. No mes]],"")</f>
        <v>0</v>
      </c>
      <c r="U24" s="43">
        <f>VLOOKUP(Fellowes[[#This Row],[Código]],Projeção[#All],14,FALSE)+VLOOKUP(Fellowes[[#This Row],[Código]],Projeção[#All],13,FALSE)+VLOOKUP(Fellowes[[#This Row],[Código]],Projeção[#All],12,FALSE)</f>
        <v>1.7333333333333332</v>
      </c>
      <c r="V24" s="39">
        <f>IFERROR(VLOOKUP(Fellowes[[#This Row],[Código]],Venda_3meses[],2,FALSE),0)</f>
        <v>1</v>
      </c>
      <c r="W24" s="44">
        <f>IFERROR(Fellowes[[#This Row],[V. 3 meses]]/Fellowes[[#This Row],[Proj. de V. 3 meses]],"")</f>
        <v>0.57692307692307698</v>
      </c>
      <c r="X2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5.0666666666666664</v>
      </c>
      <c r="Y24" s="102">
        <f>IFERROR(VLOOKUP(Fellowes[[#This Row],[Código]],Venda_6meses[],2,FALSE),0)</f>
        <v>1</v>
      </c>
      <c r="Z24" s="45">
        <f>IFERROR(Fellowes[[#This Row],[V. 6 meses]]/Fellowes[[#This Row],[Proj. de V. 6 meses]],"")</f>
        <v>0.19736842105263158</v>
      </c>
      <c r="AA2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10.399999999999999</v>
      </c>
      <c r="AB24" s="39">
        <f>IFERROR(VLOOKUP(Fellowes[[#This Row],[Código]],Venda_12meses[],2,FALSE),0)</f>
        <v>3</v>
      </c>
      <c r="AC24" s="44">
        <f>IFERROR(Fellowes[[#This Row],[V. 12 meses]]/Fellowes[[#This Row],[Proj. de V. 12 meses]],"")</f>
        <v>0.28846153846153849</v>
      </c>
      <c r="AD24" s="22"/>
    </row>
    <row r="25" spans="1:30" x14ac:dyDescent="0.25">
      <c r="A25" s="22" t="str">
        <f>VLOOKUP(Fellowes[[#This Row],[Código]],BD_Produto[#All],7,FALSE)</f>
        <v>Em Linha</v>
      </c>
      <c r="B25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5" s="23">
        <v>33062362839</v>
      </c>
      <c r="D25" s="22" t="s">
        <v>1188</v>
      </c>
      <c r="E25" s="22" t="str">
        <f>VLOOKUP(Fellowes[[#This Row],[Código]],BD_Produto[],3,FALSE)</f>
        <v>Refiladora</v>
      </c>
      <c r="F25" s="22" t="str">
        <f>VLOOKUP(Fellowes[[#This Row],[Código]],BD_Produto[],4,FALSE)</f>
        <v>Refiladora</v>
      </c>
      <c r="G25" s="24">
        <v>300</v>
      </c>
      <c r="H25" s="25">
        <v>27.8</v>
      </c>
      <c r="I25" s="22" t="s">
        <v>1710</v>
      </c>
      <c r="J25" s="24"/>
      <c r="K25" s="24" t="str">
        <f>IFERROR(VLOOKUP(Fellowes[[#This Row],[Código]],Importação!P:R,3,FALSE),"")</f>
        <v/>
      </c>
      <c r="L25" s="24">
        <f>IFERROR(VLOOKUP(Fellowes[[#This Row],[Código]],Saldo[],3,FALSE),0)</f>
        <v>200</v>
      </c>
      <c r="M25" s="24">
        <f>SUM(Fellowes[[#This Row],[Produção]:[Estoque]])</f>
        <v>200</v>
      </c>
      <c r="N25" s="24">
        <f>IFERROR(Fellowes[[#This Row],[Estoque+Importação]]/Fellowes[[#This Row],[Proj. de V. No prox. mes]],"Sem Projeção")</f>
        <v>113.20754716981131</v>
      </c>
      <c r="O25" s="24">
        <f>IF(OR(Fellowes[[#This Row],[Status]]="Em Linha",Fellowes[[#This Row],[Status]]="Componente",Fellowes[[#This Row],[Status]]="Materia Prima"),Fellowes[[#This Row],[Proj. de V. No prox. mes]]*10,"-")</f>
        <v>17.666666666666668</v>
      </c>
      <c r="P25" s="34">
        <f>IF(OR(Fellowes[[#This Row],[Status]]="Em Linha",Fellowes[[#This Row],[Status]]="Componente",Fellowes[[#This Row],[Status]]="Materia Prima"),Fellowes[[#This Row],[estoque 10 meses]]-Fellowes[[#This Row],[Estoque+Importação]],0)</f>
        <v>-182.33333333333334</v>
      </c>
      <c r="Q25" s="83">
        <f>VLOOKUP(Fellowes[[#This Row],[Código]],Projeção[#All],15,FALSE)</f>
        <v>1.7666666666666668</v>
      </c>
      <c r="R25" s="43">
        <f>VLOOKUP(Fellowes[[#This Row],[Código]],Projeção[#All],14,FALSE)</f>
        <v>1.7666666666666664</v>
      </c>
      <c r="S25" s="39">
        <f>IFERROR(VLOOKUP(Fellowes[[#This Row],[Código]],Venda_mes[],2,FALSE),0)</f>
        <v>1</v>
      </c>
      <c r="T25" s="44">
        <f>IFERROR(Fellowes[[#This Row],[V. No mes]]/Fellowes[[#This Row],[Proj. de V. No mes]],"")</f>
        <v>0.5660377358490567</v>
      </c>
      <c r="U25" s="43">
        <f>VLOOKUP(Fellowes[[#This Row],[Código]],Projeção[#All],14,FALSE)+VLOOKUP(Fellowes[[#This Row],[Código]],Projeção[#All],13,FALSE)+VLOOKUP(Fellowes[[#This Row],[Código]],Projeção[#All],12,FALSE)</f>
        <v>5.3666666666666663</v>
      </c>
      <c r="V25" s="39">
        <f>IFERROR(VLOOKUP(Fellowes[[#This Row],[Código]],Venda_3meses[],2,FALSE),0)</f>
        <v>5</v>
      </c>
      <c r="W25" s="44">
        <f>IFERROR(Fellowes[[#This Row],[V. 3 meses]]/Fellowes[[#This Row],[Proj. de V. 3 meses]],"")</f>
        <v>0.93167701863354047</v>
      </c>
      <c r="X2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12.533333333333333</v>
      </c>
      <c r="Y25" s="102">
        <f>IFERROR(VLOOKUP(Fellowes[[#This Row],[Código]],Venda_6meses[],2,FALSE),0)</f>
        <v>8</v>
      </c>
      <c r="Z25" s="45">
        <f>IFERROR(Fellowes[[#This Row],[V. 6 meses]]/Fellowes[[#This Row],[Proj. de V. 6 meses]],"")</f>
        <v>0.63829787234042556</v>
      </c>
      <c r="AA2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47.2</v>
      </c>
      <c r="AB25" s="39">
        <f>IFERROR(VLOOKUP(Fellowes[[#This Row],[Código]],Venda_12meses[],2,FALSE),0)</f>
        <v>17</v>
      </c>
      <c r="AC25" s="44">
        <f>IFERROR(Fellowes[[#This Row],[V. 12 meses]]/Fellowes[[#This Row],[Proj. de V. 12 meses]],"")</f>
        <v>0.36016949152542371</v>
      </c>
      <c r="AD25" s="22"/>
    </row>
    <row r="26" spans="1:30" x14ac:dyDescent="0.25">
      <c r="A26" s="22" t="str">
        <f>VLOOKUP(Fellowes[[#This Row],[Código]],BD_Produto[#All],7,FALSE)</f>
        <v>Em Linha</v>
      </c>
      <c r="B26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6" s="23">
        <v>33062362837</v>
      </c>
      <c r="D26" s="22" t="s">
        <v>1143</v>
      </c>
      <c r="E26" s="22" t="str">
        <f>VLOOKUP(Fellowes[[#This Row],[Código]],BD_Produto[],3,FALSE)</f>
        <v>Refiladora</v>
      </c>
      <c r="F26" s="22" t="str">
        <f>VLOOKUP(Fellowes[[#This Row],[Código]],BD_Produto[],4,FALSE)</f>
        <v>Refiladora</v>
      </c>
      <c r="G26" s="24">
        <v>300</v>
      </c>
      <c r="H26" s="25">
        <v>18.510000000000002</v>
      </c>
      <c r="I26" s="22" t="s">
        <v>1710</v>
      </c>
      <c r="J26" s="24"/>
      <c r="K26" s="24" t="str">
        <f>IFERROR(VLOOKUP(Fellowes[[#This Row],[Código]],Importação!P:R,3,FALSE),"")</f>
        <v/>
      </c>
      <c r="L26" s="24">
        <f>IFERROR(VLOOKUP(Fellowes[[#This Row],[Código]],Saldo[],3,FALSE),0)</f>
        <v>20</v>
      </c>
      <c r="M26" s="24">
        <f>SUM(Fellowes[[#This Row],[Produção]:[Estoque]])</f>
        <v>20</v>
      </c>
      <c r="N26" s="24">
        <f>IFERROR(Fellowes[[#This Row],[Estoque+Importação]]/Fellowes[[#This Row],[Proj. de V. No prox. mes]],"Sem Projeção")</f>
        <v>8</v>
      </c>
      <c r="O26" s="24">
        <f>IF(OR(Fellowes[[#This Row],[Status]]="Em Linha",Fellowes[[#This Row],[Status]]="Componente",Fellowes[[#This Row],[Status]]="Materia Prima"),Fellowes[[#This Row],[Proj. de V. No prox. mes]]*10,"-")</f>
        <v>25</v>
      </c>
      <c r="P26" s="34">
        <f>IF(OR(Fellowes[[#This Row],[Status]]="Em Linha",Fellowes[[#This Row],[Status]]="Componente",Fellowes[[#This Row],[Status]]="Materia Prima"),Fellowes[[#This Row],[estoque 10 meses]]-Fellowes[[#This Row],[Estoque+Importação]],0)</f>
        <v>5</v>
      </c>
      <c r="Q26" s="75">
        <f>VLOOKUP(Fellowes[[#This Row],[Código]],Projeção[#All],15,FALSE)</f>
        <v>2.5</v>
      </c>
      <c r="R26" s="39">
        <f>VLOOKUP(Fellowes[[#This Row],[Código]],Projeção[#All],14,FALSE)</f>
        <v>0.73333333333333339</v>
      </c>
      <c r="S26" s="39">
        <f>IFERROR(VLOOKUP(Fellowes[[#This Row],[Código]],Venda_mes[],2,FALSE),0)</f>
        <v>0</v>
      </c>
      <c r="T26" s="44">
        <f>IFERROR(Fellowes[[#This Row],[V. No mes]]/Fellowes[[#This Row],[Proj. de V. No mes]],"")</f>
        <v>0</v>
      </c>
      <c r="U26" s="43">
        <f>VLOOKUP(Fellowes[[#This Row],[Código]],Projeção[#All],14,FALSE)+VLOOKUP(Fellowes[[#This Row],[Código]],Projeção[#All],13,FALSE)+VLOOKUP(Fellowes[[#This Row],[Código]],Projeção[#All],12,FALSE)</f>
        <v>2.1999999999999997</v>
      </c>
      <c r="V26" s="39">
        <f>IFERROR(VLOOKUP(Fellowes[[#This Row],[Código]],Venda_3meses[],2,FALSE),0)</f>
        <v>9</v>
      </c>
      <c r="W26" s="44">
        <f>IFERROR(Fellowes[[#This Row],[V. 3 meses]]/Fellowes[[#This Row],[Proj. de V. 3 meses]],"")</f>
        <v>4.0909090909090917</v>
      </c>
      <c r="X2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4.0333333333333332</v>
      </c>
      <c r="Y26" s="102">
        <f>IFERROR(VLOOKUP(Fellowes[[#This Row],[Código]],Venda_6meses[],2,FALSE),0)</f>
        <v>12</v>
      </c>
      <c r="Z26" s="45">
        <f>IFERROR(Fellowes[[#This Row],[V. 6 meses]]/Fellowes[[#This Row],[Proj. de V. 6 meses]],"")</f>
        <v>2.9752066115702482</v>
      </c>
      <c r="AA2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13.066666666666666</v>
      </c>
      <c r="AB26" s="39">
        <f>IFERROR(VLOOKUP(Fellowes[[#This Row],[Código]],Venda_12meses[],2,FALSE),0)</f>
        <v>15</v>
      </c>
      <c r="AC26" s="44">
        <f>IFERROR(Fellowes[[#This Row],[V. 12 meses]]/Fellowes[[#This Row],[Proj. de V. 12 meses]],"")</f>
        <v>1.1479591836734695</v>
      </c>
      <c r="AD26" s="22"/>
    </row>
    <row r="27" spans="1:30" x14ac:dyDescent="0.25">
      <c r="A27" s="22" t="str">
        <f>VLOOKUP(Fellowes[[#This Row],[Código]],BD_Produto[#All],7,FALSE)</f>
        <v>Em Linha</v>
      </c>
      <c r="B27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7" s="23">
        <v>33062063152</v>
      </c>
      <c r="D27" s="22" t="s">
        <v>886</v>
      </c>
      <c r="E27" s="22" t="str">
        <f>VLOOKUP(Fellowes[[#This Row],[Código]],BD_Produto[],3,FALSE)</f>
        <v>Fragmentadora</v>
      </c>
      <c r="F27" s="22" t="str">
        <f>VLOOKUP(Fellowes[[#This Row],[Código]],BD_Produto[],4,FALSE)</f>
        <v>Fragmentadora</v>
      </c>
      <c r="G27" s="24">
        <v>50</v>
      </c>
      <c r="H27" s="25">
        <v>363.6</v>
      </c>
      <c r="I27" s="22" t="s">
        <v>1710</v>
      </c>
      <c r="J27" s="24"/>
      <c r="K27" s="24" t="str">
        <f>IFERROR(VLOOKUP(Fellowes[[#This Row],[Código]],Importação!P:R,3,FALSE),"")</f>
        <v/>
      </c>
      <c r="L27" s="24">
        <f>IFERROR(VLOOKUP(Fellowes[[#This Row],[Código]],Saldo[],3,FALSE),0)</f>
        <v>120</v>
      </c>
      <c r="M27" s="24">
        <f>SUM(Fellowes[[#This Row],[Produção]:[Estoque]])</f>
        <v>120</v>
      </c>
      <c r="N27" s="24">
        <f>IFERROR(Fellowes[[#This Row],[Estoque+Importação]]/Fellowes[[#This Row],[Proj. de V. No prox. mes]],"Sem Projeção")</f>
        <v>300</v>
      </c>
      <c r="O27" s="24">
        <f>IF(OR(Fellowes[[#This Row],[Status]]="Em Linha",Fellowes[[#This Row],[Status]]="Componente",Fellowes[[#This Row],[Status]]="Materia Prima"),Fellowes[[#This Row],[Proj. de V. No prox. mes]]*10,"-")</f>
        <v>3.9999999999999996</v>
      </c>
      <c r="P27" s="34">
        <f>IF(OR(Fellowes[[#This Row],[Status]]="Em Linha",Fellowes[[#This Row],[Status]]="Componente",Fellowes[[#This Row],[Status]]="Materia Prima"),Fellowes[[#This Row],[estoque 10 meses]]-Fellowes[[#This Row],[Estoque+Importação]],0)</f>
        <v>-116</v>
      </c>
      <c r="Q27" s="75">
        <f>VLOOKUP(Fellowes[[#This Row],[Código]],Projeção[#All],15,FALSE)</f>
        <v>0.39999999999999997</v>
      </c>
      <c r="R27" s="39">
        <f>VLOOKUP(Fellowes[[#This Row],[Código]],Projeção[#All],14,FALSE)</f>
        <v>0.70000000000000007</v>
      </c>
      <c r="S27" s="39">
        <f>IFERROR(VLOOKUP(Fellowes[[#This Row],[Código]],Venda_mes[],2,FALSE),0)</f>
        <v>0</v>
      </c>
      <c r="T27" s="44">
        <f>IFERROR(Fellowes[[#This Row],[V. No mes]]/Fellowes[[#This Row],[Proj. de V. No mes]],"")</f>
        <v>0</v>
      </c>
      <c r="U27" s="43">
        <f>VLOOKUP(Fellowes[[#This Row],[Código]],Projeção[#All],14,FALSE)+VLOOKUP(Fellowes[[#This Row],[Código]],Projeção[#All],13,FALSE)+VLOOKUP(Fellowes[[#This Row],[Código]],Projeção[#All],12,FALSE)</f>
        <v>3.8666666666666663</v>
      </c>
      <c r="V27" s="39">
        <f>IFERROR(VLOOKUP(Fellowes[[#This Row],[Código]],Venda_3meses[],2,FALSE),0)</f>
        <v>1</v>
      </c>
      <c r="W27" s="44">
        <f>IFERROR(Fellowes[[#This Row],[V. 3 meses]]/Fellowes[[#This Row],[Proj. de V. 3 meses]],"")</f>
        <v>0.25862068965517243</v>
      </c>
      <c r="X2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11.433333333333334</v>
      </c>
      <c r="Y27" s="102">
        <f>IFERROR(VLOOKUP(Fellowes[[#This Row],[Código]],Venda_6meses[],2,FALSE),0)</f>
        <v>2</v>
      </c>
      <c r="Z27" s="45">
        <f>IFERROR(Fellowes[[#This Row],[V. 6 meses]]/Fellowes[[#This Row],[Proj. de V. 6 meses]],"")</f>
        <v>0.1749271137026239</v>
      </c>
      <c r="AA2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30.466666666666669</v>
      </c>
      <c r="AB27" s="39">
        <f>IFERROR(VLOOKUP(Fellowes[[#This Row],[Código]],Venda_12meses[],2,FALSE),0)</f>
        <v>4</v>
      </c>
      <c r="AC27" s="44">
        <f>IFERROR(Fellowes[[#This Row],[V. 12 meses]]/Fellowes[[#This Row],[Proj. de V. 12 meses]],"")</f>
        <v>0.13129102844638948</v>
      </c>
      <c r="AD27" s="22"/>
    </row>
    <row r="28" spans="1:30" x14ac:dyDescent="0.25">
      <c r="A28" s="22" t="str">
        <f>VLOOKUP(Fellowes[[#This Row],[Código]],BD_Produto[#All],7,FALSE)</f>
        <v>Em Linha</v>
      </c>
      <c r="B28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8" s="23">
        <v>33062063030</v>
      </c>
      <c r="D28" s="22" t="s">
        <v>888</v>
      </c>
      <c r="E28" s="22" t="str">
        <f>VLOOKUP(Fellowes[[#This Row],[Código]],BD_Produto[],3,FALSE)</f>
        <v>Fragmentadora</v>
      </c>
      <c r="F28" s="22" t="str">
        <f>VLOOKUP(Fellowes[[#This Row],[Código]],BD_Produto[],4,FALSE)</f>
        <v>Fragmentadora</v>
      </c>
      <c r="G28" s="24">
        <v>100</v>
      </c>
      <c r="H28" s="25">
        <v>184.3</v>
      </c>
      <c r="I28" s="22" t="s">
        <v>1710</v>
      </c>
      <c r="J28" s="24"/>
      <c r="K28" s="24" t="str">
        <f>IFERROR(VLOOKUP(Fellowes[[#This Row],[Código]],Importação!P:R,3,FALSE),"")</f>
        <v/>
      </c>
      <c r="L28" s="24">
        <f>IFERROR(VLOOKUP(Fellowes[[#This Row],[Código]],Saldo[],3,FALSE),0)</f>
        <v>124</v>
      </c>
      <c r="M28" s="24">
        <f>SUM(Fellowes[[#This Row],[Produção]:[Estoque]])</f>
        <v>124</v>
      </c>
      <c r="N28" s="24">
        <f>IFERROR(Fellowes[[#This Row],[Estoque+Importação]]/Fellowes[[#This Row],[Proj. de V. No prox. mes]],"Sem Projeção")</f>
        <v>63.050847457627114</v>
      </c>
      <c r="O28" s="24">
        <f>IF(OR(Fellowes[[#This Row],[Status]]="Em Linha",Fellowes[[#This Row],[Status]]="Componente",Fellowes[[#This Row],[Status]]="Materia Prima"),Fellowes[[#This Row],[Proj. de V. No prox. mes]]*10,"-")</f>
        <v>19.666666666666668</v>
      </c>
      <c r="P28" s="34">
        <f>IF(OR(Fellowes[[#This Row],[Status]]="Em Linha",Fellowes[[#This Row],[Status]]="Componente",Fellowes[[#This Row],[Status]]="Materia Prima"),Fellowes[[#This Row],[estoque 10 meses]]-Fellowes[[#This Row],[Estoque+Importação]],0)</f>
        <v>-104.33333333333333</v>
      </c>
      <c r="Q28" s="75">
        <f>VLOOKUP(Fellowes[[#This Row],[Código]],Projeção[#All],15,FALSE)</f>
        <v>1.9666666666666668</v>
      </c>
      <c r="R28" s="39">
        <f>VLOOKUP(Fellowes[[#This Row],[Código]],Projeção[#All],14,FALSE)</f>
        <v>0.70000000000000007</v>
      </c>
      <c r="S28" s="39">
        <f>IFERROR(VLOOKUP(Fellowes[[#This Row],[Código]],Venda_mes[],2,FALSE),0)</f>
        <v>0</v>
      </c>
      <c r="T28" s="44">
        <f>IFERROR(Fellowes[[#This Row],[V. No mes]]/Fellowes[[#This Row],[Proj. de V. No mes]],"")</f>
        <v>0</v>
      </c>
      <c r="U28" s="43">
        <f>VLOOKUP(Fellowes[[#This Row],[Código]],Projeção[#All],14,FALSE)+VLOOKUP(Fellowes[[#This Row],[Código]],Projeção[#All],13,FALSE)+VLOOKUP(Fellowes[[#This Row],[Código]],Projeção[#All],12,FALSE)</f>
        <v>1.4</v>
      </c>
      <c r="V28" s="39">
        <f>IFERROR(VLOOKUP(Fellowes[[#This Row],[Código]],Venda_3meses[],2,FALSE),0)</f>
        <v>5</v>
      </c>
      <c r="W28" s="44">
        <f>IFERROR(Fellowes[[#This Row],[V. 3 meses]]/Fellowes[[#This Row],[Proj. de V. 3 meses]],"")</f>
        <v>3.5714285714285716</v>
      </c>
      <c r="X2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2.3666666666666667</v>
      </c>
      <c r="Y28" s="102">
        <f>IFERROR(VLOOKUP(Fellowes[[#This Row],[Código]],Venda_6meses[],2,FALSE),0)</f>
        <v>12</v>
      </c>
      <c r="Z28" s="45">
        <f>IFERROR(Fellowes[[#This Row],[V. 6 meses]]/Fellowes[[#This Row],[Proj. de V. 6 meses]],"")</f>
        <v>5.070422535211268</v>
      </c>
      <c r="AA2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8.6</v>
      </c>
      <c r="AB28" s="39">
        <f>IFERROR(VLOOKUP(Fellowes[[#This Row],[Código]],Venda_12meses[],2,FALSE),0)</f>
        <v>15</v>
      </c>
      <c r="AC28" s="44">
        <f>IFERROR(Fellowes[[#This Row],[V. 12 meses]]/Fellowes[[#This Row],[Proj. de V. 12 meses]],"")</f>
        <v>1.7441860465116279</v>
      </c>
      <c r="AD28" s="22"/>
    </row>
    <row r="29" spans="1:30" x14ac:dyDescent="0.25">
      <c r="A29" s="22" t="str">
        <f>VLOOKUP(Fellowes[[#This Row],[Código]],BD_Produto[#All],7,FALSE)</f>
        <v>Em Linha</v>
      </c>
      <c r="B29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29" s="23">
        <v>33062364496</v>
      </c>
      <c r="D29" s="22" t="s">
        <v>929</v>
      </c>
      <c r="E29" s="22" t="str">
        <f>VLOOKUP(Fellowes[[#This Row],[Código]],BD_Produto[],3,FALSE)</f>
        <v>Refiladora</v>
      </c>
      <c r="F29" s="22" t="str">
        <f>VLOOKUP(Fellowes[[#This Row],[Código]],BD_Produto[],4,FALSE)</f>
        <v>Refiladora</v>
      </c>
      <c r="G29" s="24">
        <v>100</v>
      </c>
      <c r="H29" s="25">
        <v>56.67</v>
      </c>
      <c r="I29" s="22" t="s">
        <v>1710</v>
      </c>
      <c r="J29" s="24"/>
      <c r="K29" s="24" t="str">
        <f>IFERROR(VLOOKUP(Fellowes[[#This Row],[Código]],Importação!P:R,3,FALSE),"")</f>
        <v/>
      </c>
      <c r="L29" s="24">
        <f>IFERROR(VLOOKUP(Fellowes[[#This Row],[Código]],Saldo[],3,FALSE),0)</f>
        <v>92</v>
      </c>
      <c r="M29" s="24">
        <f>SUM(Fellowes[[#This Row],[Produção]:[Estoque]])</f>
        <v>92</v>
      </c>
      <c r="N29" s="24">
        <f>IFERROR(Fellowes[[#This Row],[Estoque+Importação]]/Fellowes[[#This Row],[Proj. de V. No prox. mes]],"Sem Projeção")</f>
        <v>306.66666666666669</v>
      </c>
      <c r="O29" s="24">
        <f>IF(OR(Fellowes[[#This Row],[Status]]="Em Linha",Fellowes[[#This Row],[Status]]="Componente",Fellowes[[#This Row],[Status]]="Materia Prima"),Fellowes[[#This Row],[Proj. de V. No prox. mes]]*10,"-")</f>
        <v>3</v>
      </c>
      <c r="P29" s="34">
        <f>IF(OR(Fellowes[[#This Row],[Status]]="Em Linha",Fellowes[[#This Row],[Status]]="Componente",Fellowes[[#This Row],[Status]]="Materia Prima"),Fellowes[[#This Row],[estoque 10 meses]]-Fellowes[[#This Row],[Estoque+Importação]],0)</f>
        <v>-89</v>
      </c>
      <c r="Q29" s="75">
        <f>VLOOKUP(Fellowes[[#This Row],[Código]],Projeção[#All],15,FALSE)</f>
        <v>0.3</v>
      </c>
      <c r="R29" s="39">
        <f>VLOOKUP(Fellowes[[#This Row],[Código]],Projeção[#All],14,FALSE)</f>
        <v>0.59999999999999987</v>
      </c>
      <c r="S29" s="39">
        <f>IFERROR(VLOOKUP(Fellowes[[#This Row],[Código]],Venda_mes[],2,FALSE),0)</f>
        <v>0</v>
      </c>
      <c r="T29" s="44">
        <f>IFERROR(Fellowes[[#This Row],[V. No mes]]/Fellowes[[#This Row],[Proj. de V. No mes]],"")</f>
        <v>0</v>
      </c>
      <c r="U29" s="43">
        <f>VLOOKUP(Fellowes[[#This Row],[Código]],Projeção[#All],14,FALSE)+VLOOKUP(Fellowes[[#This Row],[Código]],Projeção[#All],13,FALSE)+VLOOKUP(Fellowes[[#This Row],[Código]],Projeção[#All],12,FALSE)</f>
        <v>0.79999999999999982</v>
      </c>
      <c r="V29" s="39">
        <f>IFERROR(VLOOKUP(Fellowes[[#This Row],[Código]],Venda_3meses[],2,FALSE),0)</f>
        <v>1</v>
      </c>
      <c r="W29" s="44">
        <f>IFERROR(Fellowes[[#This Row],[V. 3 meses]]/Fellowes[[#This Row],[Proj. de V. 3 meses]],"")</f>
        <v>1.2500000000000002</v>
      </c>
      <c r="X2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1.3999999999999997</v>
      </c>
      <c r="Y29" s="102">
        <f>IFERROR(VLOOKUP(Fellowes[[#This Row],[Código]],Venda_6meses[],2,FALSE),0)</f>
        <v>1</v>
      </c>
      <c r="Z29" s="45">
        <f>IFERROR(Fellowes[[#This Row],[V. 6 meses]]/Fellowes[[#This Row],[Proj. de V. 6 meses]],"")</f>
        <v>0.71428571428571441</v>
      </c>
      <c r="AA2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2.5333333333333328</v>
      </c>
      <c r="AB29" s="39">
        <f>IFERROR(VLOOKUP(Fellowes[[#This Row],[Código]],Venda_12meses[],2,FALSE),0)</f>
        <v>3</v>
      </c>
      <c r="AC29" s="44">
        <f>IFERROR(Fellowes[[#This Row],[V. 12 meses]]/Fellowes[[#This Row],[Proj. de V. 12 meses]],"")</f>
        <v>1.1842105263157898</v>
      </c>
      <c r="AD29" s="22"/>
    </row>
    <row r="30" spans="1:30" x14ac:dyDescent="0.25">
      <c r="A30" s="22" t="str">
        <f>VLOOKUP(Fellowes[[#This Row],[Código]],BD_Produto[#All],7,FALSE)</f>
        <v>Em Linha</v>
      </c>
      <c r="B30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0" s="23">
        <v>33062362845</v>
      </c>
      <c r="D30" s="22" t="s">
        <v>974</v>
      </c>
      <c r="E30" s="22" t="str">
        <f>VLOOKUP(Fellowes[[#This Row],[Código]],BD_Produto[],3,FALSE)</f>
        <v>Guilhotina</v>
      </c>
      <c r="F30" s="22" t="str">
        <f>VLOOKUP(Fellowes[[#This Row],[Código]],BD_Produto[],4,FALSE)</f>
        <v>Guilhotina</v>
      </c>
      <c r="G30" s="24">
        <v>100</v>
      </c>
      <c r="H30" s="25">
        <v>57.67</v>
      </c>
      <c r="I30" s="22" t="s">
        <v>1710</v>
      </c>
      <c r="J30" s="24"/>
      <c r="K30" s="24" t="str">
        <f>IFERROR(VLOOKUP(Fellowes[[#This Row],[Código]],Importação!P:R,3,FALSE),"")</f>
        <v/>
      </c>
      <c r="L30" s="24">
        <f>IFERROR(VLOOKUP(Fellowes[[#This Row],[Código]],Saldo[],3,FALSE),0)</f>
        <v>0</v>
      </c>
      <c r="M30" s="24">
        <f>SUM(Fellowes[[#This Row],[Produção]:[Estoque]])</f>
        <v>0</v>
      </c>
      <c r="N30" s="24">
        <f>IFERROR(Fellowes[[#This Row],[Estoque+Importação]]/Fellowes[[#This Row],[Proj. de V. No prox. mes]],"Sem Projeção")</f>
        <v>0</v>
      </c>
      <c r="O30" s="24">
        <f>IF(OR(Fellowes[[#This Row],[Status]]="Em Linha",Fellowes[[#This Row],[Status]]="Componente",Fellowes[[#This Row],[Status]]="Materia Prima"),Fellowes[[#This Row],[Proj. de V. No prox. mes]]*10,"-")</f>
        <v>0.33333333333333331</v>
      </c>
      <c r="P30" s="34">
        <f>IF(OR(Fellowes[[#This Row],[Status]]="Em Linha",Fellowes[[#This Row],[Status]]="Componente",Fellowes[[#This Row],[Status]]="Materia Prima"),Fellowes[[#This Row],[estoque 10 meses]]-Fellowes[[#This Row],[Estoque+Importação]],0)</f>
        <v>0.33333333333333331</v>
      </c>
      <c r="Q30" s="83">
        <f>VLOOKUP(Fellowes[[#This Row],[Código]],Projeção[#All],15,FALSE)</f>
        <v>3.3333333333333333E-2</v>
      </c>
      <c r="R30" s="43">
        <f>VLOOKUP(Fellowes[[#This Row],[Código]],Projeção[#All],14,FALSE)</f>
        <v>9.9999999999999992E-2</v>
      </c>
      <c r="S30" s="39">
        <f>IFERROR(VLOOKUP(Fellowes[[#This Row],[Código]],Venda_mes[],2,FALSE),0)</f>
        <v>0</v>
      </c>
      <c r="T30" s="44">
        <f>IFERROR(Fellowes[[#This Row],[V. No mes]]/Fellowes[[#This Row],[Proj. de V. No mes]],"")</f>
        <v>0</v>
      </c>
      <c r="U30" s="43">
        <f>VLOOKUP(Fellowes[[#This Row],[Código]],Projeção[#All],14,FALSE)+VLOOKUP(Fellowes[[#This Row],[Código]],Projeção[#All],13,FALSE)+VLOOKUP(Fellowes[[#This Row],[Código]],Projeção[#All],12,FALSE)</f>
        <v>0.23333333333333331</v>
      </c>
      <c r="V30" s="39">
        <f>IFERROR(VLOOKUP(Fellowes[[#This Row],[Código]],Venda_3meses[],2,FALSE),0)</f>
        <v>0</v>
      </c>
      <c r="W30" s="44">
        <f>IFERROR(Fellowes[[#This Row],[V. 3 meses]]/Fellowes[[#This Row],[Proj. de V. 3 meses]],"")</f>
        <v>0</v>
      </c>
      <c r="X3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1.3333333333333335</v>
      </c>
      <c r="Y30" s="102">
        <f>IFERROR(VLOOKUP(Fellowes[[#This Row],[Código]],Venda_6meses[],2,FALSE),0)</f>
        <v>0</v>
      </c>
      <c r="Z30" s="45">
        <f>IFERROR(Fellowes[[#This Row],[V. 6 meses]]/Fellowes[[#This Row],[Proj. de V. 6 meses]],"")</f>
        <v>0</v>
      </c>
      <c r="AA3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2.7000000000000006</v>
      </c>
      <c r="AB30" s="39">
        <f>IFERROR(VLOOKUP(Fellowes[[#This Row],[Código]],Venda_12meses[],2,FALSE),0)</f>
        <v>1</v>
      </c>
      <c r="AC30" s="44">
        <f>IFERROR(Fellowes[[#This Row],[V. 12 meses]]/Fellowes[[#This Row],[Proj. de V. 12 meses]],"")</f>
        <v>0.37037037037037029</v>
      </c>
      <c r="AD30" s="22"/>
    </row>
    <row r="31" spans="1:30" x14ac:dyDescent="0.25">
      <c r="A31" s="22" t="str">
        <f>VLOOKUP(Fellowes[[#This Row],[Código]],BD_Produto[#All],7,FALSE)</f>
        <v>Em Linha</v>
      </c>
      <c r="B31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1" s="23">
        <v>33062362846</v>
      </c>
      <c r="D31" s="22" t="s">
        <v>1107</v>
      </c>
      <c r="E31" s="22" t="str">
        <f>VLOOKUP(Fellowes[[#This Row],[Código]],BD_Produto[],3,FALSE)</f>
        <v>Guilhotina</v>
      </c>
      <c r="F31" s="22" t="str">
        <f>VLOOKUP(Fellowes[[#This Row],[Código]],BD_Produto[],4,FALSE)</f>
        <v>Guilhotina</v>
      </c>
      <c r="G31" s="24">
        <v>100</v>
      </c>
      <c r="H31" s="25">
        <v>72.290000000000006</v>
      </c>
      <c r="I31" s="22" t="s">
        <v>1710</v>
      </c>
      <c r="J31" s="24"/>
      <c r="K31" s="24" t="str">
        <f>IFERROR(VLOOKUP(Fellowes[[#This Row],[Código]],Importação!P:R,3,FALSE),"")</f>
        <v/>
      </c>
      <c r="L31" s="24">
        <f>IFERROR(VLOOKUP(Fellowes[[#This Row],[Código]],Saldo[],3,FALSE),0)</f>
        <v>55</v>
      </c>
      <c r="M31" s="24">
        <f>SUM(Fellowes[[#This Row],[Produção]:[Estoque]])</f>
        <v>55</v>
      </c>
      <c r="N31" s="24">
        <f>IFERROR(Fellowes[[#This Row],[Estoque+Importação]]/Fellowes[[#This Row],[Proj. de V. No prox. mes]],"Sem Projeção")</f>
        <v>38.372093023255815</v>
      </c>
      <c r="O31" s="24">
        <f>IF(OR(Fellowes[[#This Row],[Status]]="Em Linha",Fellowes[[#This Row],[Status]]="Componente",Fellowes[[#This Row],[Status]]="Materia Prima"),Fellowes[[#This Row],[Proj. de V. No prox. mes]]*10,"-")</f>
        <v>14.333333333333334</v>
      </c>
      <c r="P31" s="34">
        <f>IF(OR(Fellowes[[#This Row],[Status]]="Em Linha",Fellowes[[#This Row],[Status]]="Componente",Fellowes[[#This Row],[Status]]="Materia Prima"),Fellowes[[#This Row],[estoque 10 meses]]-Fellowes[[#This Row],[Estoque+Importação]],0)</f>
        <v>-40.666666666666664</v>
      </c>
      <c r="Q31" s="83">
        <f>VLOOKUP(Fellowes[[#This Row],[Código]],Projeção[#All],15,FALSE)</f>
        <v>1.4333333333333333</v>
      </c>
      <c r="R31" s="43">
        <f>VLOOKUP(Fellowes[[#This Row],[Código]],Projeção[#All],14,FALSE)</f>
        <v>0.33333333333333326</v>
      </c>
      <c r="S31" s="39">
        <f>IFERROR(VLOOKUP(Fellowes[[#This Row],[Código]],Venda_mes[],2,FALSE),0)</f>
        <v>4</v>
      </c>
      <c r="T31" s="44">
        <f>IFERROR(Fellowes[[#This Row],[V. No mes]]/Fellowes[[#This Row],[Proj. de V. No mes]],"")</f>
        <v>12.000000000000004</v>
      </c>
      <c r="U31" s="43">
        <f>VLOOKUP(Fellowes[[#This Row],[Código]],Projeção[#All],14,FALSE)+VLOOKUP(Fellowes[[#This Row],[Código]],Projeção[#All],13,FALSE)+VLOOKUP(Fellowes[[#This Row],[Código]],Projeção[#All],12,FALSE)</f>
        <v>1.333333333333333</v>
      </c>
      <c r="V31" s="39">
        <f>IFERROR(VLOOKUP(Fellowes[[#This Row],[Código]],Venda_3meses[],2,FALSE),0)</f>
        <v>6</v>
      </c>
      <c r="W31" s="44">
        <f>IFERROR(Fellowes[[#This Row],[V. 3 meses]]/Fellowes[[#This Row],[Proj. de V. 3 meses]],"")</f>
        <v>4.5000000000000009</v>
      </c>
      <c r="X3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1.9666666666666666</v>
      </c>
      <c r="Y31" s="102">
        <f>IFERROR(VLOOKUP(Fellowes[[#This Row],[Código]],Venda_6meses[],2,FALSE),0)</f>
        <v>6</v>
      </c>
      <c r="Z31" s="45">
        <f>IFERROR(Fellowes[[#This Row],[V. 6 meses]]/Fellowes[[#This Row],[Proj. de V. 6 meses]],"")</f>
        <v>3.050847457627119</v>
      </c>
      <c r="AA3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3.9999999999999996</v>
      </c>
      <c r="AB31" s="39">
        <f>IFERROR(VLOOKUP(Fellowes[[#This Row],[Código]],Venda_12meses[],2,FALSE),0)</f>
        <v>7</v>
      </c>
      <c r="AC31" s="44">
        <f>IFERROR(Fellowes[[#This Row],[V. 12 meses]]/Fellowes[[#This Row],[Proj. de V. 12 meses]],"")</f>
        <v>1.7500000000000002</v>
      </c>
      <c r="AD31" s="22"/>
    </row>
    <row r="32" spans="1:30" x14ac:dyDescent="0.25">
      <c r="A32" s="22" t="str">
        <f>VLOOKUP(Fellowes[[#This Row],[Código]],BD_Produto[#All],7,FALSE)</f>
        <v>Em Linha</v>
      </c>
      <c r="B32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2" s="23">
        <v>33062364500</v>
      </c>
      <c r="D32" s="22" t="s">
        <v>987</v>
      </c>
      <c r="E32" s="22" t="str">
        <f>VLOOKUP(Fellowes[[#This Row],[Código]],BD_Produto[],3,FALSE)</f>
        <v>Guilhotina</v>
      </c>
      <c r="F32" s="22" t="str">
        <f>VLOOKUP(Fellowes[[#This Row],[Código]],BD_Produto[],4,FALSE)</f>
        <v>Guilhotina</v>
      </c>
      <c r="G32" s="24">
        <v>300</v>
      </c>
      <c r="H32" s="25">
        <v>30.48</v>
      </c>
      <c r="I32" s="22" t="s">
        <v>1710</v>
      </c>
      <c r="J32" s="24"/>
      <c r="K32" s="24" t="str">
        <f>IFERROR(VLOOKUP(Fellowes[[#This Row],[Código]],Importação!P:R,3,FALSE),"")</f>
        <v/>
      </c>
      <c r="L32" s="24">
        <f>IFERROR(VLOOKUP(Fellowes[[#This Row],[Código]],Saldo[],3,FALSE),0)</f>
        <v>91</v>
      </c>
      <c r="M32" s="24">
        <f>SUM(Fellowes[[#This Row],[Produção]:[Estoque]])</f>
        <v>91</v>
      </c>
      <c r="N32" s="24">
        <f>IFERROR(Fellowes[[#This Row],[Estoque+Importação]]/Fellowes[[#This Row],[Proj. de V. No prox. mes]],"Sem Projeção")</f>
        <v>2730</v>
      </c>
      <c r="O32" s="24">
        <f>IF(OR(Fellowes[[#This Row],[Status]]="Em Linha",Fellowes[[#This Row],[Status]]="Componente",Fellowes[[#This Row],[Status]]="Materia Prima"),Fellowes[[#This Row],[Proj. de V. No prox. mes]]*10,"-")</f>
        <v>0.33333333333333331</v>
      </c>
      <c r="P32" s="34">
        <f>IF(OR(Fellowes[[#This Row],[Status]]="Em Linha",Fellowes[[#This Row],[Status]]="Componente",Fellowes[[#This Row],[Status]]="Materia Prima"),Fellowes[[#This Row],[estoque 10 meses]]-Fellowes[[#This Row],[Estoque+Importação]],0)</f>
        <v>-90.666666666666671</v>
      </c>
      <c r="Q32" s="83">
        <f>VLOOKUP(Fellowes[[#This Row],[Código]],Projeção[#All],15,FALSE)</f>
        <v>3.3333333333333333E-2</v>
      </c>
      <c r="R32" s="43">
        <f>VLOOKUP(Fellowes[[#This Row],[Código]],Projeção[#All],14,FALSE)</f>
        <v>0</v>
      </c>
      <c r="S32" s="39">
        <f>IFERROR(VLOOKUP(Fellowes[[#This Row],[Código]],Venda_mes[],2,FALSE),0)</f>
        <v>0</v>
      </c>
      <c r="T32" s="44" t="str">
        <f>IFERROR(Fellowes[[#This Row],[V. No mes]]/Fellowes[[#This Row],[Proj. de V. No mes]],"")</f>
        <v/>
      </c>
      <c r="U32" s="43">
        <f>VLOOKUP(Fellowes[[#This Row],[Código]],Projeção[#All],14,FALSE)+VLOOKUP(Fellowes[[#This Row],[Código]],Projeção[#All],13,FALSE)+VLOOKUP(Fellowes[[#This Row],[Código]],Projeção[#All],12,FALSE)</f>
        <v>0</v>
      </c>
      <c r="V32" s="39">
        <f>IFERROR(VLOOKUP(Fellowes[[#This Row],[Código]],Venda_3meses[],2,FALSE),0)</f>
        <v>0</v>
      </c>
      <c r="W32" s="44" t="str">
        <f>IFERROR(Fellowes[[#This Row],[V. 3 meses]]/Fellowes[[#This Row],[Proj. de V. 3 meses]],"")</f>
        <v/>
      </c>
      <c r="X3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0.3</v>
      </c>
      <c r="Y32" s="102">
        <f>IFERROR(VLOOKUP(Fellowes[[#This Row],[Código]],Venda_6meses[],2,FALSE),0)</f>
        <v>0</v>
      </c>
      <c r="Z32" s="45">
        <f>IFERROR(Fellowes[[#This Row],[V. 6 meses]]/Fellowes[[#This Row],[Proj. de V. 6 meses]],"")</f>
        <v>0</v>
      </c>
      <c r="AA3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1.0333333333333332</v>
      </c>
      <c r="AB32" s="39">
        <f>IFERROR(VLOOKUP(Fellowes[[#This Row],[Código]],Venda_12meses[],2,FALSE),0)</f>
        <v>1</v>
      </c>
      <c r="AC32" s="44">
        <f>IFERROR(Fellowes[[#This Row],[V. 12 meses]]/Fellowes[[#This Row],[Proj. de V. 12 meses]],"")</f>
        <v>0.96774193548387111</v>
      </c>
      <c r="AD32" s="22"/>
    </row>
    <row r="33" spans="1:30" x14ac:dyDescent="0.25">
      <c r="A33" s="22" t="str">
        <f>VLOOKUP(Fellowes[[#This Row],[Código]],BD_Produto[#All],7,FALSE)</f>
        <v>Em Linha</v>
      </c>
      <c r="B33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3" s="23">
        <v>33062364499</v>
      </c>
      <c r="D33" s="22" t="s">
        <v>1013</v>
      </c>
      <c r="E33" s="22" t="str">
        <f>VLOOKUP(Fellowes[[#This Row],[Código]],BD_Produto[],3,FALSE)</f>
        <v>Guilhotina</v>
      </c>
      <c r="F33" s="22" t="str">
        <f>VLOOKUP(Fellowes[[#This Row],[Código]],BD_Produto[],4,FALSE)</f>
        <v>Guilhotina</v>
      </c>
      <c r="G33" s="24">
        <v>300</v>
      </c>
      <c r="H33" s="25">
        <v>22.32</v>
      </c>
      <c r="I33" s="22" t="s">
        <v>1710</v>
      </c>
      <c r="J33" s="24"/>
      <c r="K33" s="24" t="str">
        <f>IFERROR(VLOOKUP(Fellowes[[#This Row],[Código]],Importação!P:R,3,FALSE),"")</f>
        <v/>
      </c>
      <c r="L33" s="24">
        <f>IFERROR(VLOOKUP(Fellowes[[#This Row],[Código]],Saldo[],3,FALSE),0)</f>
        <v>93</v>
      </c>
      <c r="M33" s="24">
        <f>SUM(Fellowes[[#This Row],[Produção]:[Estoque]])</f>
        <v>93</v>
      </c>
      <c r="N33" s="24" t="str">
        <f>IFERROR(Fellowes[[#This Row],[Estoque+Importação]]/Fellowes[[#This Row],[Proj. de V. No prox. mes]],"Sem Projeção")</f>
        <v>Sem Projeção</v>
      </c>
      <c r="O33" s="24">
        <f>IF(OR(Fellowes[[#This Row],[Status]]="Em Linha",Fellowes[[#This Row],[Status]]="Componente",Fellowes[[#This Row],[Status]]="Materia Prima"),Fellowes[[#This Row],[Proj. de V. No prox. mes]]*10,"-")</f>
        <v>0</v>
      </c>
      <c r="P33" s="34">
        <f>IF(OR(Fellowes[[#This Row],[Status]]="Em Linha",Fellowes[[#This Row],[Status]]="Componente",Fellowes[[#This Row],[Status]]="Materia Prima"),Fellowes[[#This Row],[estoque 10 meses]]-Fellowes[[#This Row],[Estoque+Importação]],0)</f>
        <v>-93</v>
      </c>
      <c r="Q33" s="83">
        <f>VLOOKUP(Fellowes[[#This Row],[Código]],Projeção[#All],15,FALSE)</f>
        <v>0</v>
      </c>
      <c r="R33" s="43">
        <f>VLOOKUP(Fellowes[[#This Row],[Código]],Projeção[#All],14,FALSE)</f>
        <v>9.9999999999999992E-2</v>
      </c>
      <c r="S33" s="39">
        <f>IFERROR(VLOOKUP(Fellowes[[#This Row],[Código]],Venda_mes[],2,FALSE),0)</f>
        <v>0</v>
      </c>
      <c r="T33" s="44">
        <f>IFERROR(Fellowes[[#This Row],[V. No mes]]/Fellowes[[#This Row],[Proj. de V. No mes]],"")</f>
        <v>0</v>
      </c>
      <c r="U33" s="43">
        <f>VLOOKUP(Fellowes[[#This Row],[Código]],Projeção[#All],14,FALSE)+VLOOKUP(Fellowes[[#This Row],[Código]],Projeção[#All],13,FALSE)+VLOOKUP(Fellowes[[#This Row],[Código]],Projeção[#All],12,FALSE)</f>
        <v>0.23333333333333331</v>
      </c>
      <c r="V33" s="39">
        <f>IFERROR(VLOOKUP(Fellowes[[#This Row],[Código]],Venda_3meses[],2,FALSE),0)</f>
        <v>0</v>
      </c>
      <c r="W33" s="44">
        <f>IFERROR(Fellowes[[#This Row],[V. 3 meses]]/Fellowes[[#This Row],[Proj. de V. 3 meses]],"")</f>
        <v>0</v>
      </c>
      <c r="X3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0.8999999999999998</v>
      </c>
      <c r="Y33" s="102">
        <f>IFERROR(VLOOKUP(Fellowes[[#This Row],[Código]],Venda_6meses[],2,FALSE),0)</f>
        <v>0</v>
      </c>
      <c r="Z33" s="45">
        <f>IFERROR(Fellowes[[#This Row],[V. 6 meses]]/Fellowes[[#This Row],[Proj. de V. 6 meses]],"")</f>
        <v>0</v>
      </c>
      <c r="AA3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1.7333333333333329</v>
      </c>
      <c r="AB33" s="39">
        <f>IFERROR(VLOOKUP(Fellowes[[#This Row],[Código]],Venda_12meses[],2,FALSE),0)</f>
        <v>0</v>
      </c>
      <c r="AC33" s="44">
        <f>IFERROR(Fellowes[[#This Row],[V. 12 meses]]/Fellowes[[#This Row],[Proj. de V. 12 meses]],"")</f>
        <v>0</v>
      </c>
      <c r="AD33" s="22"/>
    </row>
    <row r="34" spans="1:30" x14ac:dyDescent="0.25">
      <c r="A34" s="22" t="str">
        <f>VLOOKUP(Fellowes[[#This Row],[Código]],BD_Produto[#All],7,FALSE)</f>
        <v>Em Linha</v>
      </c>
      <c r="B34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4" s="23">
        <v>33062364497</v>
      </c>
      <c r="D34" s="22" t="s">
        <v>928</v>
      </c>
      <c r="E34" s="22" t="str">
        <f>VLOOKUP(Fellowes[[#This Row],[Código]],BD_Produto[],3,FALSE)</f>
        <v>Refiladora</v>
      </c>
      <c r="F34" s="22" t="str">
        <f>VLOOKUP(Fellowes[[#This Row],[Código]],BD_Produto[],4,FALSE)</f>
        <v>Refiladora</v>
      </c>
      <c r="G34" s="24">
        <v>100</v>
      </c>
      <c r="H34" s="25">
        <v>65.39</v>
      </c>
      <c r="I34" s="22" t="s">
        <v>1710</v>
      </c>
      <c r="J34" s="24"/>
      <c r="K34" s="24" t="str">
        <f>IFERROR(VLOOKUP(Fellowes[[#This Row],[Código]],Importação!P:R,3,FALSE),"")</f>
        <v/>
      </c>
      <c r="L34" s="24">
        <f>IFERROR(VLOOKUP(Fellowes[[#This Row],[Código]],Saldo[],3,FALSE),0)</f>
        <v>98</v>
      </c>
      <c r="M34" s="24">
        <f>SUM(Fellowes[[#This Row],[Produção]:[Estoque]])</f>
        <v>98</v>
      </c>
      <c r="N34" s="24" t="str">
        <f>IFERROR(Fellowes[[#This Row],[Estoque+Importação]]/Fellowes[[#This Row],[Proj. de V. No prox. mes]],"Sem Projeção")</f>
        <v>Sem Projeção</v>
      </c>
      <c r="O34" s="24">
        <f>IF(OR(Fellowes[[#This Row],[Status]]="Em Linha",Fellowes[[#This Row],[Status]]="Componente",Fellowes[[#This Row],[Status]]="Materia Prima"),Fellowes[[#This Row],[Proj. de V. No prox. mes]]*10,"-")</f>
        <v>0</v>
      </c>
      <c r="P34" s="34">
        <f>IF(OR(Fellowes[[#This Row],[Status]]="Em Linha",Fellowes[[#This Row],[Status]]="Componente",Fellowes[[#This Row],[Status]]="Materia Prima"),Fellowes[[#This Row],[estoque 10 meses]]-Fellowes[[#This Row],[Estoque+Importação]],0)</f>
        <v>-98</v>
      </c>
      <c r="Q34" s="83">
        <f>VLOOKUP(Fellowes[[#This Row],[Código]],Projeção[#All],15,FALSE)</f>
        <v>0</v>
      </c>
      <c r="R34" s="43">
        <f>VLOOKUP(Fellowes[[#This Row],[Código]],Projeção[#All],14,FALSE)</f>
        <v>3.3333333333333333E-2</v>
      </c>
      <c r="S34" s="39">
        <f>IFERROR(VLOOKUP(Fellowes[[#This Row],[Código]],Venda_mes[],2,FALSE),0)</f>
        <v>0</v>
      </c>
      <c r="T34" s="44">
        <f>IFERROR(Fellowes[[#This Row],[V. No mes]]/Fellowes[[#This Row],[Proj. de V. No mes]],"")</f>
        <v>0</v>
      </c>
      <c r="U34" s="43">
        <f>VLOOKUP(Fellowes[[#This Row],[Código]],Projeção[#All],14,FALSE)+VLOOKUP(Fellowes[[#This Row],[Código]],Projeção[#All],13,FALSE)+VLOOKUP(Fellowes[[#This Row],[Código]],Projeção[#All],12,FALSE)</f>
        <v>0.1</v>
      </c>
      <c r="V34" s="39">
        <f>IFERROR(VLOOKUP(Fellowes[[#This Row],[Código]],Venda_3meses[],2,FALSE),0)</f>
        <v>0</v>
      </c>
      <c r="W34" s="44">
        <f>IFERROR(Fellowes[[#This Row],[V. 3 meses]]/Fellowes[[#This Row],[Proj. de V. 3 meses]],"")</f>
        <v>0</v>
      </c>
      <c r="X3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0.19999999999999998</v>
      </c>
      <c r="Y34" s="102">
        <f>IFERROR(VLOOKUP(Fellowes[[#This Row],[Código]],Venda_6meses[],2,FALSE),0)</f>
        <v>0</v>
      </c>
      <c r="Z34" s="45">
        <f>IFERROR(Fellowes[[#This Row],[V. 6 meses]]/Fellowes[[#This Row],[Proj. de V. 6 meses]],"")</f>
        <v>0</v>
      </c>
      <c r="AA3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1.1333333333333331</v>
      </c>
      <c r="AB34" s="39">
        <f>IFERROR(VLOOKUP(Fellowes[[#This Row],[Código]],Venda_12meses[],2,FALSE),0)</f>
        <v>0</v>
      </c>
      <c r="AC34" s="44">
        <f>IFERROR(Fellowes[[#This Row],[V. 12 meses]]/Fellowes[[#This Row],[Proj. de V. 12 meses]],"")</f>
        <v>0</v>
      </c>
      <c r="AD34" s="22"/>
    </row>
    <row r="35" spans="1:30" x14ac:dyDescent="0.25">
      <c r="A35" s="22" t="str">
        <f>VLOOKUP(Fellowes[[#This Row],[Código]],BD_Produto[#All],7,FALSE)</f>
        <v>Em Linha</v>
      </c>
      <c r="B35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5" s="23">
        <v>33062063150</v>
      </c>
      <c r="D35" s="22" t="s">
        <v>362</v>
      </c>
      <c r="E35" s="22" t="str">
        <f>VLOOKUP(Fellowes[[#This Row],[Código]],BD_Produto[],3,FALSE)</f>
        <v>Fragmentadora</v>
      </c>
      <c r="F35" s="22" t="str">
        <f>VLOOKUP(Fellowes[[#This Row],[Código]],BD_Produto[],4,FALSE)</f>
        <v>Fragmentadora</v>
      </c>
      <c r="G35" s="24">
        <v>50</v>
      </c>
      <c r="H35" s="25">
        <v>327.37</v>
      </c>
      <c r="I35" s="22" t="s">
        <v>1710</v>
      </c>
      <c r="J35" s="24"/>
      <c r="K35" s="24" t="str">
        <f>IFERROR(VLOOKUP(Fellowes[[#This Row],[Código]],Importação!P:R,3,FALSE),"")</f>
        <v/>
      </c>
      <c r="L35" s="24">
        <f>IFERROR(VLOOKUP(Fellowes[[#This Row],[Código]],Saldo[],3,FALSE),0)</f>
        <v>48</v>
      </c>
      <c r="M35" s="24">
        <f>SUM(Fellowes[[#This Row],[Produção]:[Estoque]])</f>
        <v>48</v>
      </c>
      <c r="N35" s="24" t="str">
        <f>IFERROR(Fellowes[[#This Row],[Estoque+Importação]]/Fellowes[[#This Row],[Proj. de V. No prox. mes]],"Sem Projeção")</f>
        <v>Sem Projeção</v>
      </c>
      <c r="O35" s="24">
        <f>IF(OR(Fellowes[[#This Row],[Status]]="Em Linha",Fellowes[[#This Row],[Status]]="Componente",Fellowes[[#This Row],[Status]]="Materia Prima"),Fellowes[[#This Row],[Proj. de V. No prox. mes]]*10,"-")</f>
        <v>0</v>
      </c>
      <c r="P35" s="34">
        <f>IF(OR(Fellowes[[#This Row],[Status]]="Em Linha",Fellowes[[#This Row],[Status]]="Componente",Fellowes[[#This Row],[Status]]="Materia Prima"),Fellowes[[#This Row],[estoque 10 meses]]-Fellowes[[#This Row],[Estoque+Importação]],0)</f>
        <v>-48</v>
      </c>
      <c r="Q35" s="83">
        <f>VLOOKUP(Fellowes[[#This Row],[Código]],Projeção[#All],15,FALSE)</f>
        <v>0</v>
      </c>
      <c r="R35" s="43">
        <f>VLOOKUP(Fellowes[[#This Row],[Código]],Projeção[#All],14,FALSE)</f>
        <v>0</v>
      </c>
      <c r="S35" s="39">
        <f>IFERROR(VLOOKUP(Fellowes[[#This Row],[Código]],Venda_mes[],2,FALSE),0)</f>
        <v>0</v>
      </c>
      <c r="T35" s="44" t="str">
        <f>IFERROR(Fellowes[[#This Row],[V. No mes]]/Fellowes[[#This Row],[Proj. de V. No mes]],"")</f>
        <v/>
      </c>
      <c r="U35" s="43">
        <f>VLOOKUP(Fellowes[[#This Row],[Código]],Projeção[#All],14,FALSE)+VLOOKUP(Fellowes[[#This Row],[Código]],Projeção[#All],13,FALSE)+VLOOKUP(Fellowes[[#This Row],[Código]],Projeção[#All],12,FALSE)</f>
        <v>0</v>
      </c>
      <c r="V35" s="39">
        <f>IFERROR(VLOOKUP(Fellowes[[#This Row],[Código]],Venda_3meses[],2,FALSE),0)</f>
        <v>0</v>
      </c>
      <c r="W35" s="44" t="str">
        <f>IFERROR(Fellowes[[#This Row],[V. 3 meses]]/Fellowes[[#This Row],[Proj. de V. 3 meses]],"")</f>
        <v/>
      </c>
      <c r="X3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0.1</v>
      </c>
      <c r="Y35" s="102">
        <f>IFERROR(VLOOKUP(Fellowes[[#This Row],[Código]],Venda_6meses[],2,FALSE),0)</f>
        <v>0</v>
      </c>
      <c r="Z35" s="45">
        <f>IFERROR(Fellowes[[#This Row],[V. 6 meses]]/Fellowes[[#This Row],[Proj. de V. 6 meses]],"")</f>
        <v>0</v>
      </c>
      <c r="AA3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0.3</v>
      </c>
      <c r="AB35" s="39">
        <f>IFERROR(VLOOKUP(Fellowes[[#This Row],[Código]],Venda_12meses[],2,FALSE),0)</f>
        <v>0</v>
      </c>
      <c r="AC35" s="44">
        <f>IFERROR(Fellowes[[#This Row],[V. 12 meses]]/Fellowes[[#This Row],[Proj. de V. 12 meses]],"")</f>
        <v>0</v>
      </c>
      <c r="AD35" s="22"/>
    </row>
    <row r="36" spans="1:30" x14ac:dyDescent="0.25">
      <c r="A36" s="22" t="str">
        <f>VLOOKUP(Fellowes[[#This Row],[Código]],BD_Produto[#All],7,FALSE)</f>
        <v>Em Linha</v>
      </c>
      <c r="B36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6" s="23">
        <v>33062064359</v>
      </c>
      <c r="D36" s="22" t="s">
        <v>1384</v>
      </c>
      <c r="E36" s="22" t="str">
        <f>VLOOKUP(Fellowes[[#This Row],[Código]],BD_Produto[],3,FALSE)</f>
        <v>Fragmentadora</v>
      </c>
      <c r="F36" s="22" t="str">
        <f>VLOOKUP(Fellowes[[#This Row],[Código]],BD_Produto[],4,FALSE)</f>
        <v>Fragmentadora</v>
      </c>
      <c r="G36" s="24"/>
      <c r="H36" s="25">
        <v>800</v>
      </c>
      <c r="I36" s="22"/>
      <c r="J36" s="24"/>
      <c r="K36" s="24" t="str">
        <f>IFERROR(VLOOKUP(Fellowes[[#This Row],[Código]],Importação!P:R,3,FALSE),"")</f>
        <v/>
      </c>
      <c r="L36" s="24">
        <f>IFERROR(VLOOKUP(Fellowes[[#This Row],[Código]],Saldo[],3,FALSE),0)</f>
        <v>2</v>
      </c>
      <c r="M36" s="24">
        <f>SUM(Fellowes[[#This Row],[Produção]:[Estoque]])</f>
        <v>2</v>
      </c>
      <c r="N36" s="24" t="str">
        <f>IFERROR(Fellowes[[#This Row],[Estoque+Importação]]/Fellowes[[#This Row],[Proj. de V. No prox. mes]],"Sem Projeção")</f>
        <v>Sem Projeção</v>
      </c>
      <c r="O36" s="24">
        <f>IF(OR(Fellowes[[#This Row],[Status]]="Em Linha",Fellowes[[#This Row],[Status]]="Componente",Fellowes[[#This Row],[Status]]="Materia Prima"),Fellowes[[#This Row],[Proj. de V. No prox. mes]]*10,"-")</f>
        <v>0</v>
      </c>
      <c r="P36" s="34">
        <f>IF(OR(Fellowes[[#This Row],[Status]]="Em Linha",Fellowes[[#This Row],[Status]]="Componente",Fellowes[[#This Row],[Status]]="Materia Prima"),Fellowes[[#This Row],[estoque 10 meses]]-Fellowes[[#This Row],[Estoque+Importação]],0)</f>
        <v>-2</v>
      </c>
      <c r="Q36" s="83">
        <f>VLOOKUP(Fellowes[[#This Row],[Código]],Projeção[#All],15,FALSE)</f>
        <v>0</v>
      </c>
      <c r="R36" s="43">
        <f>VLOOKUP(Fellowes[[#This Row],[Código]],Projeção[#All],14,FALSE)</f>
        <v>0</v>
      </c>
      <c r="S36" s="39">
        <f>IFERROR(VLOOKUP(Fellowes[[#This Row],[Código]],Venda_mes[],2,FALSE),0)</f>
        <v>0</v>
      </c>
      <c r="T36" s="44" t="str">
        <f>IFERROR(Fellowes[[#This Row],[V. No mes]]/Fellowes[[#This Row],[Proj. de V. No mes]],"")</f>
        <v/>
      </c>
      <c r="U36" s="43">
        <f>VLOOKUP(Fellowes[[#This Row],[Código]],Projeção[#All],14,FALSE)+VLOOKUP(Fellowes[[#This Row],[Código]],Projeção[#All],13,FALSE)+VLOOKUP(Fellowes[[#This Row],[Código]],Projeção[#All],12,FALSE)</f>
        <v>0</v>
      </c>
      <c r="V36" s="39">
        <f>IFERROR(VLOOKUP(Fellowes[[#This Row],[Código]],Venda_3meses[],2,FALSE),0)</f>
        <v>0</v>
      </c>
      <c r="W36" s="44" t="str">
        <f>IFERROR(Fellowes[[#This Row],[V. 3 meses]]/Fellowes[[#This Row],[Proj. de V. 3 meses]],"")</f>
        <v/>
      </c>
      <c r="X3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36" s="102">
        <f>IFERROR(VLOOKUP(Fellowes[[#This Row],[Código]],Venda_6meses[],2,FALSE),0)</f>
        <v>0</v>
      </c>
      <c r="Z36" s="45" t="str">
        <f>IFERROR(Fellowes[[#This Row],[V. 6 meses]]/Fellowes[[#This Row],[Proj. de V. 6 meses]],"")</f>
        <v/>
      </c>
      <c r="AA3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36" s="39">
        <f>IFERROR(VLOOKUP(Fellowes[[#This Row],[Código]],Venda_12meses[],2,FALSE),0)</f>
        <v>0</v>
      </c>
      <c r="AC36" s="44" t="str">
        <f>IFERROR(Fellowes[[#This Row],[V. 12 meses]]/Fellowes[[#This Row],[Proj. de V. 12 meses]],"")</f>
        <v/>
      </c>
      <c r="AD36" s="22"/>
    </row>
    <row r="37" spans="1:30" x14ac:dyDescent="0.25">
      <c r="A37" s="22" t="str">
        <f>VLOOKUP(Fellowes[[#This Row],[Código]],BD_Produto[#All],7,FALSE)</f>
        <v>Em Linha</v>
      </c>
      <c r="B37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7" s="23">
        <v>33062063155</v>
      </c>
      <c r="D37" s="22" t="s">
        <v>1387</v>
      </c>
      <c r="E37" s="22" t="str">
        <f>VLOOKUP(Fellowes[[#This Row],[Código]],BD_Produto[],3,FALSE)</f>
        <v>Fragmentadora</v>
      </c>
      <c r="F37" s="22" t="str">
        <f>VLOOKUP(Fellowes[[#This Row],[Código]],BD_Produto[],4,FALSE)</f>
        <v>Fragmentadora</v>
      </c>
      <c r="G37" s="24"/>
      <c r="H37" s="25">
        <v>1050</v>
      </c>
      <c r="I37" s="22"/>
      <c r="J37" s="24"/>
      <c r="K37" s="24" t="str">
        <f>IFERROR(VLOOKUP(Fellowes[[#This Row],[Código]],Importação!P:R,3,FALSE),"")</f>
        <v/>
      </c>
      <c r="L37" s="24">
        <f>IFERROR(VLOOKUP(Fellowes[[#This Row],[Código]],Saldo[],3,FALSE),0)</f>
        <v>3</v>
      </c>
      <c r="M37" s="24">
        <f>SUM(Fellowes[[#This Row],[Produção]:[Estoque]])</f>
        <v>3</v>
      </c>
      <c r="N37" s="24" t="str">
        <f>IFERROR(Fellowes[[#This Row],[Estoque+Importação]]/Fellowes[[#This Row],[Proj. de V. No prox. mes]],"Sem Projeção")</f>
        <v>Sem Projeção</v>
      </c>
      <c r="O37" s="24">
        <f>IF(OR(Fellowes[[#This Row],[Status]]="Em Linha",Fellowes[[#This Row],[Status]]="Componente",Fellowes[[#This Row],[Status]]="Materia Prima"),Fellowes[[#This Row],[Proj. de V. No prox. mes]]*10,"-")</f>
        <v>0</v>
      </c>
      <c r="P37" s="34">
        <f>IF(OR(Fellowes[[#This Row],[Status]]="Em Linha",Fellowes[[#This Row],[Status]]="Componente",Fellowes[[#This Row],[Status]]="Materia Prima"),Fellowes[[#This Row],[estoque 10 meses]]-Fellowes[[#This Row],[Estoque+Importação]],0)</f>
        <v>-3</v>
      </c>
      <c r="Q37" s="83">
        <f>VLOOKUP(Fellowes[[#This Row],[Código]],Projeção[#All],15,FALSE)</f>
        <v>0</v>
      </c>
      <c r="R37" s="43">
        <f>VLOOKUP(Fellowes[[#This Row],[Código]],Projeção[#All],14,FALSE)</f>
        <v>0</v>
      </c>
      <c r="S37" s="39">
        <f>IFERROR(VLOOKUP(Fellowes[[#This Row],[Código]],Venda_mes[],2,FALSE),0)</f>
        <v>0</v>
      </c>
      <c r="T37" s="44" t="str">
        <f>IFERROR(Fellowes[[#This Row],[V. No mes]]/Fellowes[[#This Row],[Proj. de V. No mes]],"")</f>
        <v/>
      </c>
      <c r="U37" s="43">
        <f>VLOOKUP(Fellowes[[#This Row],[Código]],Projeção[#All],14,FALSE)+VLOOKUP(Fellowes[[#This Row],[Código]],Projeção[#All],13,FALSE)+VLOOKUP(Fellowes[[#This Row],[Código]],Projeção[#All],12,FALSE)</f>
        <v>0</v>
      </c>
      <c r="V37" s="39">
        <f>IFERROR(VLOOKUP(Fellowes[[#This Row],[Código]],Venda_3meses[],2,FALSE),0)</f>
        <v>0</v>
      </c>
      <c r="W37" s="44" t="str">
        <f>IFERROR(Fellowes[[#This Row],[V. 3 meses]]/Fellowes[[#This Row],[Proj. de V. 3 meses]],"")</f>
        <v/>
      </c>
      <c r="X3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37" s="102">
        <f>IFERROR(VLOOKUP(Fellowes[[#This Row],[Código]],Venda_6meses[],2,FALSE),0)</f>
        <v>0</v>
      </c>
      <c r="Z37" s="45" t="str">
        <f>IFERROR(Fellowes[[#This Row],[V. 6 meses]]/Fellowes[[#This Row],[Proj. de V. 6 meses]],"")</f>
        <v/>
      </c>
      <c r="AA3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37" s="39">
        <f>IFERROR(VLOOKUP(Fellowes[[#This Row],[Código]],Venda_12meses[],2,FALSE),0)</f>
        <v>0</v>
      </c>
      <c r="AC37" s="44" t="str">
        <f>IFERROR(Fellowes[[#This Row],[V. 12 meses]]/Fellowes[[#This Row],[Proj. de V. 12 meses]],"")</f>
        <v/>
      </c>
      <c r="AD37" s="22"/>
    </row>
    <row r="38" spans="1:30" x14ac:dyDescent="0.25">
      <c r="A38" s="22" t="str">
        <f>VLOOKUP(Fellowes[[#This Row],[Código]],BD_Produto[#All],7,FALSE)</f>
        <v>Em Linha</v>
      </c>
      <c r="B38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8" s="23">
        <v>33062063153</v>
      </c>
      <c r="D38" s="22" t="s">
        <v>1388</v>
      </c>
      <c r="E38" s="22" t="str">
        <f>VLOOKUP(Fellowes[[#This Row],[Código]],BD_Produto[],3,FALSE)</f>
        <v>Fragmentadora</v>
      </c>
      <c r="F38" s="22" t="str">
        <f>VLOOKUP(Fellowes[[#This Row],[Código]],BD_Produto[],4,FALSE)</f>
        <v>Fragmentadora</v>
      </c>
      <c r="G38" s="24"/>
      <c r="H38" s="25">
        <v>990</v>
      </c>
      <c r="I38" s="22"/>
      <c r="J38" s="24"/>
      <c r="K38" s="24" t="str">
        <f>IFERROR(VLOOKUP(Fellowes[[#This Row],[Código]],Importação!P:R,3,FALSE),"")</f>
        <v/>
      </c>
      <c r="L38" s="24">
        <f>IFERROR(VLOOKUP(Fellowes[[#This Row],[Código]],Saldo[],3,FALSE),0)</f>
        <v>4</v>
      </c>
      <c r="M38" s="24">
        <f>SUM(Fellowes[[#This Row],[Produção]:[Estoque]])</f>
        <v>4</v>
      </c>
      <c r="N38" s="24" t="str">
        <f>IFERROR(Fellowes[[#This Row],[Estoque+Importação]]/Fellowes[[#This Row],[Proj. de V. No prox. mes]],"Sem Projeção")</f>
        <v>Sem Projeção</v>
      </c>
      <c r="O38" s="24">
        <f>IF(OR(Fellowes[[#This Row],[Status]]="Em Linha",Fellowes[[#This Row],[Status]]="Componente",Fellowes[[#This Row],[Status]]="Materia Prima"),Fellowes[[#This Row],[Proj. de V. No prox. mes]]*10,"-")</f>
        <v>0</v>
      </c>
      <c r="P38" s="34">
        <f>IF(OR(Fellowes[[#This Row],[Status]]="Em Linha",Fellowes[[#This Row],[Status]]="Componente",Fellowes[[#This Row],[Status]]="Materia Prima"),Fellowes[[#This Row],[estoque 10 meses]]-Fellowes[[#This Row],[Estoque+Importação]],0)</f>
        <v>-4</v>
      </c>
      <c r="Q38" s="83">
        <f>VLOOKUP(Fellowes[[#This Row],[Código]],Projeção[#All],15,FALSE)</f>
        <v>0</v>
      </c>
      <c r="R38" s="43">
        <f>VLOOKUP(Fellowes[[#This Row],[Código]],Projeção[#All],14,FALSE)</f>
        <v>0</v>
      </c>
      <c r="S38" s="39">
        <f>IFERROR(VLOOKUP(Fellowes[[#This Row],[Código]],Venda_mes[],2,FALSE),0)</f>
        <v>0</v>
      </c>
      <c r="T38" s="44" t="str">
        <f>IFERROR(Fellowes[[#This Row],[V. No mes]]/Fellowes[[#This Row],[Proj. de V. No mes]],"")</f>
        <v/>
      </c>
      <c r="U38" s="43">
        <f>VLOOKUP(Fellowes[[#This Row],[Código]],Projeção[#All],14,FALSE)+VLOOKUP(Fellowes[[#This Row],[Código]],Projeção[#All],13,FALSE)+VLOOKUP(Fellowes[[#This Row],[Código]],Projeção[#All],12,FALSE)</f>
        <v>0</v>
      </c>
      <c r="V38" s="39">
        <f>IFERROR(VLOOKUP(Fellowes[[#This Row],[Código]],Venda_3meses[],2,FALSE),0)</f>
        <v>0</v>
      </c>
      <c r="W38" s="44" t="str">
        <f>IFERROR(Fellowes[[#This Row],[V. 3 meses]]/Fellowes[[#This Row],[Proj. de V. 3 meses]],"")</f>
        <v/>
      </c>
      <c r="X3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38" s="102">
        <f>IFERROR(VLOOKUP(Fellowes[[#This Row],[Código]],Venda_6meses[],2,FALSE),0)</f>
        <v>0</v>
      </c>
      <c r="Z38" s="45" t="str">
        <f>IFERROR(Fellowes[[#This Row],[V. 6 meses]]/Fellowes[[#This Row],[Proj. de V. 6 meses]],"")</f>
        <v/>
      </c>
      <c r="AA3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38" s="39">
        <f>IFERROR(VLOOKUP(Fellowes[[#This Row],[Código]],Venda_12meses[],2,FALSE),0)</f>
        <v>0</v>
      </c>
      <c r="AC38" s="44" t="str">
        <f>IFERROR(Fellowes[[#This Row],[V. 12 meses]]/Fellowes[[#This Row],[Proj. de V. 12 meses]],"")</f>
        <v/>
      </c>
      <c r="AD38" s="22"/>
    </row>
    <row r="39" spans="1:30" x14ac:dyDescent="0.25">
      <c r="A39" s="22" t="str">
        <f>VLOOKUP(Fellowes[[#This Row],[Código]],BD_Produto[#All],7,FALSE)</f>
        <v>Em Linha</v>
      </c>
      <c r="B39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39" s="23">
        <v>33062063157</v>
      </c>
      <c r="D39" s="22" t="s">
        <v>1389</v>
      </c>
      <c r="E39" s="22" t="str">
        <f>VLOOKUP(Fellowes[[#This Row],[Código]],BD_Produto[],3,FALSE)</f>
        <v>Fragmentadora</v>
      </c>
      <c r="F39" s="22" t="str">
        <f>VLOOKUP(Fellowes[[#This Row],[Código]],BD_Produto[],4,FALSE)</f>
        <v>Fragmentadora</v>
      </c>
      <c r="G39" s="24"/>
      <c r="H39" s="25">
        <v>1245</v>
      </c>
      <c r="I39" s="22"/>
      <c r="J39" s="24"/>
      <c r="K39" s="24" t="str">
        <f>IFERROR(VLOOKUP(Fellowes[[#This Row],[Código]],Importação!P:R,3,FALSE),"")</f>
        <v/>
      </c>
      <c r="L39" s="24">
        <f>IFERROR(VLOOKUP(Fellowes[[#This Row],[Código]],Saldo[],3,FALSE),0)</f>
        <v>3</v>
      </c>
      <c r="M39" s="24">
        <f>SUM(Fellowes[[#This Row],[Produção]:[Estoque]])</f>
        <v>3</v>
      </c>
      <c r="N39" s="24">
        <f>IFERROR(Fellowes[[#This Row],[Estoque+Importação]]/Fellowes[[#This Row],[Proj. de V. No prox. mes]],"Sem Projeção")</f>
        <v>30.000000000000004</v>
      </c>
      <c r="O39" s="24">
        <f>IF(OR(Fellowes[[#This Row],[Status]]="Em Linha",Fellowes[[#This Row],[Status]]="Componente",Fellowes[[#This Row],[Status]]="Materia Prima"),Fellowes[[#This Row],[Proj. de V. No prox. mes]]*10,"-")</f>
        <v>0.99999999999999989</v>
      </c>
      <c r="P39" s="34">
        <f>IF(OR(Fellowes[[#This Row],[Status]]="Em Linha",Fellowes[[#This Row],[Status]]="Componente",Fellowes[[#This Row],[Status]]="Materia Prima"),Fellowes[[#This Row],[estoque 10 meses]]-Fellowes[[#This Row],[Estoque+Importação]],0)</f>
        <v>-2</v>
      </c>
      <c r="Q39" s="75">
        <f>VLOOKUP(Fellowes[[#This Row],[Código]],Projeção[#All],15,FALSE)</f>
        <v>9.9999999999999992E-2</v>
      </c>
      <c r="R39" s="39">
        <f>VLOOKUP(Fellowes[[#This Row],[Código]],Projeção[#All],14,FALSE)</f>
        <v>0</v>
      </c>
      <c r="S39" s="39">
        <f>IFERROR(VLOOKUP(Fellowes[[#This Row],[Código]],Venda_mes[],2,FALSE),0)</f>
        <v>0</v>
      </c>
      <c r="T39" s="44" t="str">
        <f>IFERROR(Fellowes[[#This Row],[V. No mes]]/Fellowes[[#This Row],[Proj. de V. No mes]],"")</f>
        <v/>
      </c>
      <c r="U39" s="43">
        <f>VLOOKUP(Fellowes[[#This Row],[Código]],Projeção[#All],14,FALSE)+VLOOKUP(Fellowes[[#This Row],[Código]],Projeção[#All],13,FALSE)+VLOOKUP(Fellowes[[#This Row],[Código]],Projeção[#All],12,FALSE)</f>
        <v>0</v>
      </c>
      <c r="V39" s="39">
        <f>IFERROR(VLOOKUP(Fellowes[[#This Row],[Código]],Venda_3meses[],2,FALSE),0)</f>
        <v>0</v>
      </c>
      <c r="W39" s="44" t="str">
        <f>IFERROR(Fellowes[[#This Row],[V. 3 meses]]/Fellowes[[#This Row],[Proj. de V. 3 meses]],"")</f>
        <v/>
      </c>
      <c r="X3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39" s="102">
        <f>IFERROR(VLOOKUP(Fellowes[[#This Row],[Código]],Venda_6meses[],2,FALSE),0)</f>
        <v>1</v>
      </c>
      <c r="Z39" s="45" t="str">
        <f>IFERROR(Fellowes[[#This Row],[V. 6 meses]]/Fellowes[[#This Row],[Proj. de V. 6 meses]],"")</f>
        <v/>
      </c>
      <c r="AA3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39" s="39">
        <f>IFERROR(VLOOKUP(Fellowes[[#This Row],[Código]],Venda_12meses[],2,FALSE),0)</f>
        <v>1</v>
      </c>
      <c r="AC39" s="44" t="str">
        <f>IFERROR(Fellowes[[#This Row],[V. 12 meses]]/Fellowes[[#This Row],[Proj. de V. 12 meses]],"")</f>
        <v/>
      </c>
      <c r="AD39" s="22"/>
    </row>
    <row r="40" spans="1:30" x14ac:dyDescent="0.25">
      <c r="A40" s="22" t="str">
        <f>VLOOKUP(Fellowes[[#This Row],[Código]],BD_Produto[#All],7,FALSE)</f>
        <v>Em Linha</v>
      </c>
      <c r="B40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0" s="23">
        <v>33062064358</v>
      </c>
      <c r="D40" s="22" t="s">
        <v>1390</v>
      </c>
      <c r="E40" s="22" t="str">
        <f>VLOOKUP(Fellowes[[#This Row],[Código]],BD_Produto[],3,FALSE)</f>
        <v>Fragmentadora</v>
      </c>
      <c r="F40" s="22" t="str">
        <f>VLOOKUP(Fellowes[[#This Row],[Código]],BD_Produto[],4,FALSE)</f>
        <v>Fragmentadora</v>
      </c>
      <c r="G40" s="24"/>
      <c r="H40" s="25">
        <v>800</v>
      </c>
      <c r="I40" s="22"/>
      <c r="J40" s="24"/>
      <c r="K40" s="24" t="str">
        <f>IFERROR(VLOOKUP(Fellowes[[#This Row],[Código]],Importação!P:R,3,FALSE),"")</f>
        <v/>
      </c>
      <c r="L40" s="24">
        <f>IFERROR(VLOOKUP(Fellowes[[#This Row],[Código]],Saldo[],3,FALSE),0)</f>
        <v>3</v>
      </c>
      <c r="M40" s="24">
        <f>SUM(Fellowes[[#This Row],[Produção]:[Estoque]])</f>
        <v>3</v>
      </c>
      <c r="N40" s="24">
        <f>IFERROR(Fellowes[[#This Row],[Estoque+Importação]]/Fellowes[[#This Row],[Proj. de V. No prox. mes]],"Sem Projeção")</f>
        <v>30.000000000000004</v>
      </c>
      <c r="O40" s="24">
        <f>IF(OR(Fellowes[[#This Row],[Status]]="Em Linha",Fellowes[[#This Row],[Status]]="Componente",Fellowes[[#This Row],[Status]]="Materia Prima"),Fellowes[[#This Row],[Proj. de V. No prox. mes]]*10,"-")</f>
        <v>0.99999999999999989</v>
      </c>
      <c r="P40" s="34">
        <f>IF(OR(Fellowes[[#This Row],[Status]]="Em Linha",Fellowes[[#This Row],[Status]]="Componente",Fellowes[[#This Row],[Status]]="Materia Prima"),Fellowes[[#This Row],[estoque 10 meses]]-Fellowes[[#This Row],[Estoque+Importação]],0)</f>
        <v>-2</v>
      </c>
      <c r="Q40" s="75">
        <f>VLOOKUP(Fellowes[[#This Row],[Código]],Projeção[#All],15,FALSE)</f>
        <v>9.9999999999999992E-2</v>
      </c>
      <c r="R40" s="39">
        <f>VLOOKUP(Fellowes[[#This Row],[Código]],Projeção[#All],14,FALSE)</f>
        <v>0</v>
      </c>
      <c r="S40" s="39">
        <f>IFERROR(VLOOKUP(Fellowes[[#This Row],[Código]],Venda_mes[],2,FALSE),0)</f>
        <v>0</v>
      </c>
      <c r="T40" s="44" t="str">
        <f>IFERROR(Fellowes[[#This Row],[V. No mes]]/Fellowes[[#This Row],[Proj. de V. No mes]],"")</f>
        <v/>
      </c>
      <c r="U40" s="43">
        <f>VLOOKUP(Fellowes[[#This Row],[Código]],Projeção[#All],14,FALSE)+VLOOKUP(Fellowes[[#This Row],[Código]],Projeção[#All],13,FALSE)+VLOOKUP(Fellowes[[#This Row],[Código]],Projeção[#All],12,FALSE)</f>
        <v>0</v>
      </c>
      <c r="V40" s="39">
        <f>IFERROR(VLOOKUP(Fellowes[[#This Row],[Código]],Venda_3meses[],2,FALSE),0)</f>
        <v>0</v>
      </c>
      <c r="W40" s="44" t="str">
        <f>IFERROR(Fellowes[[#This Row],[V. 3 meses]]/Fellowes[[#This Row],[Proj. de V. 3 meses]],"")</f>
        <v/>
      </c>
      <c r="X4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40" s="102">
        <f>IFERROR(VLOOKUP(Fellowes[[#This Row],[Código]],Venda_6meses[],2,FALSE),0)</f>
        <v>1</v>
      </c>
      <c r="Z40" s="45" t="str">
        <f>IFERROR(Fellowes[[#This Row],[V. 6 meses]]/Fellowes[[#This Row],[Proj. de V. 6 meses]],"")</f>
        <v/>
      </c>
      <c r="AA4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40" s="39">
        <f>IFERROR(VLOOKUP(Fellowes[[#This Row],[Código]],Venda_12meses[],2,FALSE),0)</f>
        <v>1</v>
      </c>
      <c r="AC40" s="44" t="str">
        <f>IFERROR(Fellowes[[#This Row],[V. 12 meses]]/Fellowes[[#This Row],[Proj. de V. 12 meses]],"")</f>
        <v/>
      </c>
      <c r="AD40" s="22"/>
    </row>
    <row r="41" spans="1:30" x14ac:dyDescent="0.25">
      <c r="A41" s="22" t="str">
        <f>VLOOKUP(Fellowes[[#This Row],[Código]],BD_Produto[#All],7,FALSE)</f>
        <v>Em Linha</v>
      </c>
      <c r="B41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1" s="23">
        <v>33062063159</v>
      </c>
      <c r="D41" s="22" t="s">
        <v>1392</v>
      </c>
      <c r="E41" s="22" t="str">
        <f>VLOOKUP(Fellowes[[#This Row],[Código]],BD_Produto[],3,FALSE)</f>
        <v>Fragmentadora</v>
      </c>
      <c r="F41" s="22" t="str">
        <f>VLOOKUP(Fellowes[[#This Row],[Código]],BD_Produto[],4,FALSE)</f>
        <v>Fragmentadora</v>
      </c>
      <c r="G41" s="24"/>
      <c r="H41" s="25">
        <v>1380</v>
      </c>
      <c r="I41" s="22"/>
      <c r="J41" s="24"/>
      <c r="K41" s="24" t="str">
        <f>IFERROR(VLOOKUP(Fellowes[[#This Row],[Código]],Importação!P:R,3,FALSE),"")</f>
        <v/>
      </c>
      <c r="L41" s="24">
        <f>IFERROR(VLOOKUP(Fellowes[[#This Row],[Código]],Saldo[],3,FALSE),0)</f>
        <v>7</v>
      </c>
      <c r="M41" s="24">
        <f>SUM(Fellowes[[#This Row],[Produção]:[Estoque]])</f>
        <v>7</v>
      </c>
      <c r="N41" s="24" t="str">
        <f>IFERROR(Fellowes[[#This Row],[Estoque+Importação]]/Fellowes[[#This Row],[Proj. de V. No prox. mes]],"Sem Projeção")</f>
        <v>Sem Projeção</v>
      </c>
      <c r="O41" s="24">
        <f>IF(OR(Fellowes[[#This Row],[Status]]="Em Linha",Fellowes[[#This Row],[Status]]="Componente",Fellowes[[#This Row],[Status]]="Materia Prima"),Fellowes[[#This Row],[Proj. de V. No prox. mes]]*10,"-")</f>
        <v>0</v>
      </c>
      <c r="P41" s="34">
        <f>IF(OR(Fellowes[[#This Row],[Status]]="Em Linha",Fellowes[[#This Row],[Status]]="Componente",Fellowes[[#This Row],[Status]]="Materia Prima"),Fellowes[[#This Row],[estoque 10 meses]]-Fellowes[[#This Row],[Estoque+Importação]],0)</f>
        <v>-7</v>
      </c>
      <c r="Q41" s="75">
        <f>VLOOKUP(Fellowes[[#This Row],[Código]],Projeção[#All],15,FALSE)</f>
        <v>0</v>
      </c>
      <c r="R41" s="39">
        <f>VLOOKUP(Fellowes[[#This Row],[Código]],Projeção[#All],14,FALSE)</f>
        <v>0</v>
      </c>
      <c r="S41" s="39">
        <f>IFERROR(VLOOKUP(Fellowes[[#This Row],[Código]],Venda_mes[],2,FALSE),0)</f>
        <v>0</v>
      </c>
      <c r="T41" s="44" t="str">
        <f>IFERROR(Fellowes[[#This Row],[V. No mes]]/Fellowes[[#This Row],[Proj. de V. No mes]],"")</f>
        <v/>
      </c>
      <c r="U41" s="43">
        <f>VLOOKUP(Fellowes[[#This Row],[Código]],Projeção[#All],14,FALSE)+VLOOKUP(Fellowes[[#This Row],[Código]],Projeção[#All],13,FALSE)+VLOOKUP(Fellowes[[#This Row],[Código]],Projeção[#All],12,FALSE)</f>
        <v>0</v>
      </c>
      <c r="V41" s="39">
        <f>IFERROR(VLOOKUP(Fellowes[[#This Row],[Código]],Venda_3meses[],2,FALSE),0)</f>
        <v>0</v>
      </c>
      <c r="W41" s="44" t="str">
        <f>IFERROR(Fellowes[[#This Row],[V. 3 meses]]/Fellowes[[#This Row],[Proj. de V. 3 meses]],"")</f>
        <v/>
      </c>
      <c r="X4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41" s="102">
        <f>IFERROR(VLOOKUP(Fellowes[[#This Row],[Código]],Venda_6meses[],2,FALSE),0)</f>
        <v>0</v>
      </c>
      <c r="Z41" s="45" t="str">
        <f>IFERROR(Fellowes[[#This Row],[V. 6 meses]]/Fellowes[[#This Row],[Proj. de V. 6 meses]],"")</f>
        <v/>
      </c>
      <c r="AA4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41" s="39">
        <f>IFERROR(VLOOKUP(Fellowes[[#This Row],[Código]],Venda_12meses[],2,FALSE),0)</f>
        <v>0</v>
      </c>
      <c r="AC41" s="44" t="str">
        <f>IFERROR(Fellowes[[#This Row],[V. 12 meses]]/Fellowes[[#This Row],[Proj. de V. 12 meses]],"")</f>
        <v/>
      </c>
      <c r="AD41" s="22"/>
    </row>
    <row r="42" spans="1:30" x14ac:dyDescent="0.25">
      <c r="A42" s="22" t="str">
        <f>VLOOKUP(Fellowes[[#This Row],[Código]],BD_Produto[#All],7,FALSE)</f>
        <v>Em Linha</v>
      </c>
      <c r="B42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2" s="23">
        <v>33062364495</v>
      </c>
      <c r="D42" s="22" t="s">
        <v>1400</v>
      </c>
      <c r="E42" s="22" t="str">
        <f>VLOOKUP(Fellowes[[#This Row],[Código]],BD_Produto[],3,FALSE)</f>
        <v>Refiladora</v>
      </c>
      <c r="F42" s="22" t="str">
        <f>VLOOKUP(Fellowes[[#This Row],[Código]],BD_Produto[],4,FALSE)</f>
        <v>Refiladora</v>
      </c>
      <c r="G42" s="24">
        <v>500</v>
      </c>
      <c r="H42" s="25">
        <v>14.26</v>
      </c>
      <c r="I42" s="22" t="s">
        <v>1710</v>
      </c>
      <c r="J42" s="24"/>
      <c r="K42" s="24" t="str">
        <f>IFERROR(VLOOKUP(Fellowes[[#This Row],[Código]],Importação!P:R,3,FALSE),"")</f>
        <v/>
      </c>
      <c r="L42" s="24">
        <f>IFERROR(VLOOKUP(Fellowes[[#This Row],[Código]],Saldo[],3,FALSE),0)</f>
        <v>197</v>
      </c>
      <c r="M42" s="24">
        <f>SUM(Fellowes[[#This Row],[Produção]:[Estoque]])</f>
        <v>197</v>
      </c>
      <c r="N42" s="24" t="str">
        <f>IFERROR(Fellowes[[#This Row],[Estoque+Importação]]/Fellowes[[#This Row],[Proj. de V. No prox. mes]],"Sem Projeção")</f>
        <v>Sem Projeção</v>
      </c>
      <c r="O42" s="24">
        <f>IF(OR(Fellowes[[#This Row],[Status]]="Em Linha",Fellowes[[#This Row],[Status]]="Componente",Fellowes[[#This Row],[Status]]="Materia Prima"),Fellowes[[#This Row],[Proj. de V. No prox. mes]]*10,"-")</f>
        <v>0</v>
      </c>
      <c r="P42" s="34">
        <f>IF(OR(Fellowes[[#This Row],[Status]]="Em Linha",Fellowes[[#This Row],[Status]]="Componente",Fellowes[[#This Row],[Status]]="Materia Prima"),Fellowes[[#This Row],[estoque 10 meses]]-Fellowes[[#This Row],[Estoque+Importação]],0)</f>
        <v>-197</v>
      </c>
      <c r="Q42" s="75">
        <f>VLOOKUP(Fellowes[[#This Row],[Código]],Projeção[#All],15,FALSE)</f>
        <v>0</v>
      </c>
      <c r="R42" s="39">
        <f>VLOOKUP(Fellowes[[#This Row],[Código]],Projeção[#All],14,FALSE)</f>
        <v>0</v>
      </c>
      <c r="S42" s="39">
        <f>IFERROR(VLOOKUP(Fellowes[[#This Row],[Código]],Venda_mes[],2,FALSE),0)</f>
        <v>0</v>
      </c>
      <c r="T42" s="44" t="str">
        <f>IFERROR(Fellowes[[#This Row],[V. No mes]]/Fellowes[[#This Row],[Proj. de V. No mes]],"")</f>
        <v/>
      </c>
      <c r="U42" s="43">
        <f>VLOOKUP(Fellowes[[#This Row],[Código]],Projeção[#All],14,FALSE)+VLOOKUP(Fellowes[[#This Row],[Código]],Projeção[#All],13,FALSE)+VLOOKUP(Fellowes[[#This Row],[Código]],Projeção[#All],12,FALSE)</f>
        <v>0</v>
      </c>
      <c r="V42" s="39">
        <f>IFERROR(VLOOKUP(Fellowes[[#This Row],[Código]],Venda_3meses[],2,FALSE),0)</f>
        <v>0</v>
      </c>
      <c r="W42" s="44" t="str">
        <f>IFERROR(Fellowes[[#This Row],[V. 3 meses]]/Fellowes[[#This Row],[Proj. de V. 3 meses]],"")</f>
        <v/>
      </c>
      <c r="X4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42" s="102">
        <f>IFERROR(VLOOKUP(Fellowes[[#This Row],[Código]],Venda_6meses[],2,FALSE),0)</f>
        <v>0</v>
      </c>
      <c r="Z42" s="45" t="str">
        <f>IFERROR(Fellowes[[#This Row],[V. 6 meses]]/Fellowes[[#This Row],[Proj. de V. 6 meses]],"")</f>
        <v/>
      </c>
      <c r="AA4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42" s="39">
        <f>IFERROR(VLOOKUP(Fellowes[[#This Row],[Código]],Venda_12meses[],2,FALSE),0)</f>
        <v>0</v>
      </c>
      <c r="AC42" s="44" t="str">
        <f>IFERROR(Fellowes[[#This Row],[V. 12 meses]]/Fellowes[[#This Row],[Proj. de V. 12 meses]],"")</f>
        <v/>
      </c>
      <c r="AD42" s="22"/>
    </row>
    <row r="43" spans="1:30" x14ac:dyDescent="0.25">
      <c r="A43" s="22" t="str">
        <f>VLOOKUP(Fellowes[[#This Row],[Código]],BD_Produto[#All],7,FALSE)</f>
        <v>Fora de linha</v>
      </c>
      <c r="B43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3" s="23">
        <v>33062062722</v>
      </c>
      <c r="D43" s="22" t="s">
        <v>1194</v>
      </c>
      <c r="E43" s="22" t="str">
        <f>VLOOKUP(Fellowes[[#This Row],[Código]],BD_Produto[],3,FALSE)</f>
        <v>Fragmentadora</v>
      </c>
      <c r="F43" s="22" t="str">
        <f>VLOOKUP(Fellowes[[#This Row],[Código]],BD_Produto[],4,FALSE)</f>
        <v>Fragmentadora</v>
      </c>
      <c r="G43" s="24">
        <v>300</v>
      </c>
      <c r="H43" s="25">
        <v>102.26</v>
      </c>
      <c r="I43" s="22" t="s">
        <v>1713</v>
      </c>
      <c r="J43" s="24"/>
      <c r="K43" s="24" t="str">
        <f>IFERROR(VLOOKUP(Fellowes[[#This Row],[Código]],Importação!P:R,3,FALSE),"")</f>
        <v/>
      </c>
      <c r="L43" s="24">
        <f>IFERROR(VLOOKUP(Fellowes[[#This Row],[Código]],Saldo[],3,FALSE),0)</f>
        <v>38</v>
      </c>
      <c r="M43" s="24">
        <f>SUM(Fellowes[[#This Row],[Produção]:[Estoque]])</f>
        <v>38</v>
      </c>
      <c r="N43" s="24">
        <f>IFERROR(Fellowes[[#This Row],[Estoque+Importação]]/Fellowes[[#This Row],[Proj. de V. No prox. mes]],"Sem Projeção")</f>
        <v>2.5909090909090908</v>
      </c>
      <c r="O43" s="24" t="str">
        <f>IF(OR(Fellowes[[#This Row],[Status]]="Em Linha",Fellowes[[#This Row],[Status]]="Componente",Fellowes[[#This Row],[Status]]="Materia Prima"),Fellowes[[#This Row],[Proj. de V. No prox. mes]]*10,"-")</f>
        <v>-</v>
      </c>
      <c r="P43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3" s="75">
        <f>VLOOKUP(Fellowes[[#This Row],[Código]],Projeção[#All],15,FALSE)</f>
        <v>14.666666666666668</v>
      </c>
      <c r="R43" s="39">
        <f>VLOOKUP(Fellowes[[#This Row],[Código]],Projeção[#All],14,FALSE)</f>
        <v>54.133333333333326</v>
      </c>
      <c r="S43" s="39">
        <f>IFERROR(VLOOKUP(Fellowes[[#This Row],[Código]],Venda_mes[],2,FALSE),0)</f>
        <v>4</v>
      </c>
      <c r="T43" s="44">
        <f>IFERROR(Fellowes[[#This Row],[V. No mes]]/Fellowes[[#This Row],[Proj. de V. No mes]],"")</f>
        <v>7.3891625615763554E-2</v>
      </c>
      <c r="U43" s="43">
        <f>VLOOKUP(Fellowes[[#This Row],[Código]],Projeção[#All],14,FALSE)+VLOOKUP(Fellowes[[#This Row],[Código]],Projeção[#All],13,FALSE)+VLOOKUP(Fellowes[[#This Row],[Código]],Projeção[#All],12,FALSE)</f>
        <v>143.79999999999998</v>
      </c>
      <c r="V43" s="39">
        <f>IFERROR(VLOOKUP(Fellowes[[#This Row],[Código]],Venda_3meses[],2,FALSE),0)</f>
        <v>20</v>
      </c>
      <c r="W43" s="44">
        <f>IFERROR(Fellowes[[#This Row],[V. 3 meses]]/Fellowes[[#This Row],[Proj. de V. 3 meses]],"")</f>
        <v>0.13908205841446455</v>
      </c>
      <c r="X4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161.59999999999997</v>
      </c>
      <c r="Y43" s="102">
        <f>IFERROR(VLOOKUP(Fellowes[[#This Row],[Código]],Venda_6meses[],2,FALSE),0)</f>
        <v>44</v>
      </c>
      <c r="Z43" s="45">
        <f>IFERROR(Fellowes[[#This Row],[V. 6 meses]]/Fellowes[[#This Row],[Proj. de V. 6 meses]],"")</f>
        <v>0.27227722772277235</v>
      </c>
      <c r="AA4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207.93333333333331</v>
      </c>
      <c r="AB43" s="39">
        <f>IFERROR(VLOOKUP(Fellowes[[#This Row],[Código]],Venda_12meses[],2,FALSE),0)</f>
        <v>272</v>
      </c>
      <c r="AC43" s="44">
        <f>IFERROR(Fellowes[[#This Row],[V. 12 meses]]/Fellowes[[#This Row],[Proj. de V. 12 meses]],"")</f>
        <v>1.3081115742225073</v>
      </c>
      <c r="AD43" s="22"/>
    </row>
    <row r="44" spans="1:30" x14ac:dyDescent="0.25">
      <c r="A44" s="22" t="str">
        <f>VLOOKUP(Fellowes[[#This Row],[Código]],BD_Produto[#All],7,FALSE)</f>
        <v>Fora de linha</v>
      </c>
      <c r="B44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4" s="23">
        <v>33062062738</v>
      </c>
      <c r="D44" s="22" t="s">
        <v>1046</v>
      </c>
      <c r="E44" s="22" t="str">
        <f>VLOOKUP(Fellowes[[#This Row],[Código]],BD_Produto[],3,FALSE)</f>
        <v>Fragmentadora</v>
      </c>
      <c r="F44" s="22" t="str">
        <f>VLOOKUP(Fellowes[[#This Row],[Código]],BD_Produto[],4,FALSE)</f>
        <v>Fragmentadora</v>
      </c>
      <c r="G44" s="24">
        <v>50</v>
      </c>
      <c r="H44" s="25">
        <v>189.06</v>
      </c>
      <c r="I44" s="22" t="s">
        <v>1713</v>
      </c>
      <c r="J44" s="24"/>
      <c r="K44" s="24" t="str">
        <f>IFERROR(VLOOKUP(Fellowes[[#This Row],[Código]],Importação!P:R,3,FALSE),"")</f>
        <v/>
      </c>
      <c r="L44" s="24">
        <f>IFERROR(VLOOKUP(Fellowes[[#This Row],[Código]],Saldo[],3,FALSE),0)</f>
        <v>7</v>
      </c>
      <c r="M44" s="24">
        <f>SUM(Fellowes[[#This Row],[Produção]:[Estoque]])</f>
        <v>7</v>
      </c>
      <c r="N44" s="24">
        <f>IFERROR(Fellowes[[#This Row],[Estoque+Importação]]/Fellowes[[#This Row],[Proj. de V. No prox. mes]],"Sem Projeção")</f>
        <v>5.6756756756756763</v>
      </c>
      <c r="O44" s="24" t="str">
        <f>IF(OR(Fellowes[[#This Row],[Status]]="Em Linha",Fellowes[[#This Row],[Status]]="Componente",Fellowes[[#This Row],[Status]]="Materia Prima"),Fellowes[[#This Row],[Proj. de V. No prox. mes]]*10,"-")</f>
        <v>-</v>
      </c>
      <c r="P44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4" s="75">
        <f>VLOOKUP(Fellowes[[#This Row],[Código]],Projeção[#All],15,FALSE)</f>
        <v>1.2333333333333332</v>
      </c>
      <c r="R44" s="39">
        <f>VLOOKUP(Fellowes[[#This Row],[Código]],Projeção[#All],14,FALSE)</f>
        <v>2.7666666666666671</v>
      </c>
      <c r="S44" s="39">
        <f>IFERROR(VLOOKUP(Fellowes[[#This Row],[Código]],Venda_mes[],2,FALSE),0)</f>
        <v>0</v>
      </c>
      <c r="T44" s="44">
        <f>IFERROR(Fellowes[[#This Row],[V. No mes]]/Fellowes[[#This Row],[Proj. de V. No mes]],"")</f>
        <v>0</v>
      </c>
      <c r="U44" s="43">
        <f>VLOOKUP(Fellowes[[#This Row],[Código]],Projeção[#All],14,FALSE)+VLOOKUP(Fellowes[[#This Row],[Código]],Projeção[#All],13,FALSE)+VLOOKUP(Fellowes[[#This Row],[Código]],Projeção[#All],12,FALSE)</f>
        <v>6.3333333333333339</v>
      </c>
      <c r="V44" s="39">
        <f>IFERROR(VLOOKUP(Fellowes[[#This Row],[Código]],Venda_3meses[],2,FALSE),0)</f>
        <v>4</v>
      </c>
      <c r="W44" s="44">
        <f>IFERROR(Fellowes[[#This Row],[V. 3 meses]]/Fellowes[[#This Row],[Proj. de V. 3 meses]],"")</f>
        <v>0.63157894736842102</v>
      </c>
      <c r="X4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9.5</v>
      </c>
      <c r="Y44" s="102">
        <f>IFERROR(VLOOKUP(Fellowes[[#This Row],[Código]],Venda_6meses[],2,FALSE),0)</f>
        <v>4</v>
      </c>
      <c r="Z44" s="45">
        <f>IFERROR(Fellowes[[#This Row],[V. 6 meses]]/Fellowes[[#This Row],[Proj. de V. 6 meses]],"")</f>
        <v>0.42105263157894735</v>
      </c>
      <c r="AA4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14.899999999999997</v>
      </c>
      <c r="AB44" s="39">
        <f>IFERROR(VLOOKUP(Fellowes[[#This Row],[Código]],Venda_12meses[],2,FALSE),0)</f>
        <v>13</v>
      </c>
      <c r="AC44" s="44">
        <f>IFERROR(Fellowes[[#This Row],[V. 12 meses]]/Fellowes[[#This Row],[Proj. de V. 12 meses]],"")</f>
        <v>0.87248322147651025</v>
      </c>
      <c r="AD44" s="22"/>
    </row>
    <row r="45" spans="1:30" x14ac:dyDescent="0.25">
      <c r="A45" s="22" t="str">
        <f>VLOOKUP(Fellowes[[#This Row],[Código]],BD_Produto[#All],7,FALSE)</f>
        <v>Fora de linha</v>
      </c>
      <c r="B45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45" s="23">
        <v>33062062735</v>
      </c>
      <c r="D45" s="22" t="s">
        <v>1120</v>
      </c>
      <c r="E45" s="22" t="str">
        <f>VLOOKUP(Fellowes[[#This Row],[Código]],BD_Produto[],3,FALSE)</f>
        <v>Fragmentadora</v>
      </c>
      <c r="F45" s="22" t="str">
        <f>VLOOKUP(Fellowes[[#This Row],[Código]],BD_Produto[],4,FALSE)</f>
        <v>Fragmentadora</v>
      </c>
      <c r="G45" s="24">
        <v>300</v>
      </c>
      <c r="H45" s="25">
        <v>46.92</v>
      </c>
      <c r="I45" s="22" t="s">
        <v>1713</v>
      </c>
      <c r="J45" s="24"/>
      <c r="K45" s="24" t="str">
        <f>IFERROR(VLOOKUP(Fellowes[[#This Row],[Código]],Importação!P:R,3,FALSE),"")</f>
        <v/>
      </c>
      <c r="L45" s="24">
        <f>IFERROR(VLOOKUP(Fellowes[[#This Row],[Código]],Saldo[],3,FALSE),0)</f>
        <v>0</v>
      </c>
      <c r="M45" s="24">
        <f>SUM(Fellowes[[#This Row],[Produção]:[Estoque]])</f>
        <v>0</v>
      </c>
      <c r="N45" s="24">
        <f>IFERROR(Fellowes[[#This Row],[Estoque+Importação]]/Fellowes[[#This Row],[Proj. de V. No prox. mes]],"Sem Projeção")</f>
        <v>0</v>
      </c>
      <c r="O45" s="24" t="str">
        <f>IF(OR(Fellowes[[#This Row],[Status]]="Em Linha",Fellowes[[#This Row],[Status]]="Componente",Fellowes[[#This Row],[Status]]="Materia Prima"),Fellowes[[#This Row],[Proj. de V. No prox. mes]]*10,"-")</f>
        <v>-</v>
      </c>
      <c r="P45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5" s="75">
        <f>VLOOKUP(Fellowes[[#This Row],[Código]],Projeção[#All],15,FALSE)</f>
        <v>1.5666666666666667</v>
      </c>
      <c r="R45" s="39">
        <f>VLOOKUP(Fellowes[[#This Row],[Código]],Projeção[#All],14,FALSE)</f>
        <v>0.53333333333333333</v>
      </c>
      <c r="S45" s="39">
        <f>IFERROR(VLOOKUP(Fellowes[[#This Row],[Código]],Venda_mes[],2,FALSE),0)</f>
        <v>2</v>
      </c>
      <c r="T45" s="44">
        <f>IFERROR(Fellowes[[#This Row],[V. No mes]]/Fellowes[[#This Row],[Proj. de V. No mes]],"")</f>
        <v>3.75</v>
      </c>
      <c r="U45" s="43">
        <f>VLOOKUP(Fellowes[[#This Row],[Código]],Projeção[#All],14,FALSE)+VLOOKUP(Fellowes[[#This Row],[Código]],Projeção[#All],13,FALSE)+VLOOKUP(Fellowes[[#This Row],[Código]],Projeção[#All],12,FALSE)</f>
        <v>2</v>
      </c>
      <c r="V45" s="39">
        <f>IFERROR(VLOOKUP(Fellowes[[#This Row],[Código]],Venda_3meses[],2,FALSE),0)</f>
        <v>5</v>
      </c>
      <c r="W45" s="44">
        <f>IFERROR(Fellowes[[#This Row],[V. 3 meses]]/Fellowes[[#This Row],[Proj. de V. 3 meses]],"")</f>
        <v>2.5</v>
      </c>
      <c r="X4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4.166666666666667</v>
      </c>
      <c r="Y45" s="102">
        <f>IFERROR(VLOOKUP(Fellowes[[#This Row],[Código]],Venda_6meses[],2,FALSE),0)</f>
        <v>9</v>
      </c>
      <c r="Z45" s="45">
        <f>IFERROR(Fellowes[[#This Row],[V. 6 meses]]/Fellowes[[#This Row],[Proj. de V. 6 meses]],"")</f>
        <v>2.1599999999999997</v>
      </c>
      <c r="AA4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10.5</v>
      </c>
      <c r="AB45" s="39">
        <f>IFERROR(VLOOKUP(Fellowes[[#This Row],[Código]],Venda_12meses[],2,FALSE),0)</f>
        <v>9</v>
      </c>
      <c r="AC45" s="44">
        <f>IFERROR(Fellowes[[#This Row],[V. 12 meses]]/Fellowes[[#This Row],[Proj. de V. 12 meses]],"")</f>
        <v>0.8571428571428571</v>
      </c>
      <c r="AD45" s="22"/>
    </row>
    <row r="46" spans="1:30" x14ac:dyDescent="0.25">
      <c r="A46" s="22" t="str">
        <f>VLOOKUP(Fellowes[[#This Row],[Código]],BD_Produto[#All],7,FALSE)</f>
        <v>Fora de linha</v>
      </c>
      <c r="B46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6" s="23">
        <v>33062062718</v>
      </c>
      <c r="D46" s="22" t="s">
        <v>1172</v>
      </c>
      <c r="E46" s="22" t="str">
        <f>VLOOKUP(Fellowes[[#This Row],[Código]],BD_Produto[],3,FALSE)</f>
        <v>Fragmentadora</v>
      </c>
      <c r="F46" s="22" t="str">
        <f>VLOOKUP(Fellowes[[#This Row],[Código]],BD_Produto[],4,FALSE)</f>
        <v>Fragmentadora</v>
      </c>
      <c r="G46" s="24">
        <v>100</v>
      </c>
      <c r="H46" s="25">
        <v>44.62</v>
      </c>
      <c r="I46" s="22" t="s">
        <v>1713</v>
      </c>
      <c r="J46" s="24"/>
      <c r="K46" s="24" t="str">
        <f>IFERROR(VLOOKUP(Fellowes[[#This Row],[Código]],Importação!P:R,3,FALSE),"")</f>
        <v/>
      </c>
      <c r="L46" s="24">
        <f>IFERROR(VLOOKUP(Fellowes[[#This Row],[Código]],Saldo[],3,FALSE),0)</f>
        <v>97</v>
      </c>
      <c r="M46" s="24">
        <f>SUM(Fellowes[[#This Row],[Produção]:[Estoque]])</f>
        <v>97</v>
      </c>
      <c r="N46" s="24">
        <f>IFERROR(Fellowes[[#This Row],[Estoque+Importação]]/Fellowes[[#This Row],[Proj. de V. No prox. mes]],"Sem Projeção")</f>
        <v>16.348314606741571</v>
      </c>
      <c r="O46" s="24" t="str">
        <f>IF(OR(Fellowes[[#This Row],[Status]]="Em Linha",Fellowes[[#This Row],[Status]]="Componente",Fellowes[[#This Row],[Status]]="Materia Prima"),Fellowes[[#This Row],[Proj. de V. No prox. mes]]*10,"-")</f>
        <v>-</v>
      </c>
      <c r="P46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6" s="75">
        <f>VLOOKUP(Fellowes[[#This Row],[Código]],Projeção[#All],15,FALSE)</f>
        <v>5.9333333333333345</v>
      </c>
      <c r="R46" s="39">
        <f>VLOOKUP(Fellowes[[#This Row],[Código]],Projeção[#All],14,FALSE)</f>
        <v>3.4666666666666672</v>
      </c>
      <c r="S46" s="39">
        <f>IFERROR(VLOOKUP(Fellowes[[#This Row],[Código]],Venda_mes[],2,FALSE),0)</f>
        <v>8</v>
      </c>
      <c r="T46" s="44">
        <f>IFERROR(Fellowes[[#This Row],[V. No mes]]/Fellowes[[#This Row],[Proj. de V. No mes]],"")</f>
        <v>2.3076923076923075</v>
      </c>
      <c r="U46" s="43">
        <f>VLOOKUP(Fellowes[[#This Row],[Código]],Projeção[#All],14,FALSE)+VLOOKUP(Fellowes[[#This Row],[Código]],Projeção[#All],13,FALSE)+VLOOKUP(Fellowes[[#This Row],[Código]],Projeção[#All],12,FALSE)</f>
        <v>9.8000000000000007</v>
      </c>
      <c r="V46" s="39">
        <f>IFERROR(VLOOKUP(Fellowes[[#This Row],[Código]],Venda_3meses[],2,FALSE),0)</f>
        <v>12</v>
      </c>
      <c r="W46" s="44">
        <f>IFERROR(Fellowes[[#This Row],[V. 3 meses]]/Fellowes[[#This Row],[Proj. de V. 3 meses]],"")</f>
        <v>1.2244897959183672</v>
      </c>
      <c r="X4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15.100000000000001</v>
      </c>
      <c r="Y46" s="102">
        <f>IFERROR(VLOOKUP(Fellowes[[#This Row],[Código]],Venda_6meses[],2,FALSE),0)</f>
        <v>34</v>
      </c>
      <c r="Z46" s="45">
        <f>IFERROR(Fellowes[[#This Row],[V. 6 meses]]/Fellowes[[#This Row],[Proj. de V. 6 meses]],"")</f>
        <v>2.2516556291390728</v>
      </c>
      <c r="AA4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46.966666666666669</v>
      </c>
      <c r="AB46" s="39">
        <f>IFERROR(VLOOKUP(Fellowes[[#This Row],[Código]],Venda_12meses[],2,FALSE),0)</f>
        <v>62</v>
      </c>
      <c r="AC46" s="44">
        <f>IFERROR(Fellowes[[#This Row],[V. 12 meses]]/Fellowes[[#This Row],[Proj. de V. 12 meses]],"")</f>
        <v>1.3200851667849538</v>
      </c>
      <c r="AD46" s="22"/>
    </row>
    <row r="47" spans="1:30" x14ac:dyDescent="0.25">
      <c r="A47" s="22" t="str">
        <f>VLOOKUP(Fellowes[[#This Row],[Código]],BD_Produto[#All],7,FALSE)</f>
        <v>Fora de linha</v>
      </c>
      <c r="B47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7" s="23">
        <v>33062262836</v>
      </c>
      <c r="D47" s="22" t="s">
        <v>1025</v>
      </c>
      <c r="E47" s="22" t="str">
        <f>VLOOKUP(Fellowes[[#This Row],[Código]],BD_Produto[],3,FALSE)</f>
        <v>Encadernadora</v>
      </c>
      <c r="F47" s="22" t="str">
        <f>VLOOKUP(Fellowes[[#This Row],[Código]],BD_Produto[],4,FALSE)</f>
        <v>Encadernadora</v>
      </c>
      <c r="G47" s="24">
        <v>100</v>
      </c>
      <c r="H47" s="25">
        <v>48.01</v>
      </c>
      <c r="I47" s="22" t="s">
        <v>1713</v>
      </c>
      <c r="J47" s="24"/>
      <c r="K47" s="24" t="str">
        <f>IFERROR(VLOOKUP(Fellowes[[#This Row],[Código]],Importação!P:R,3,FALSE),"")</f>
        <v/>
      </c>
      <c r="L47" s="24">
        <f>IFERROR(VLOOKUP(Fellowes[[#This Row],[Código]],Saldo[],3,FALSE),0)</f>
        <v>17</v>
      </c>
      <c r="M47" s="24">
        <f>SUM(Fellowes[[#This Row],[Produção]:[Estoque]])</f>
        <v>17</v>
      </c>
      <c r="N47" s="24">
        <f>IFERROR(Fellowes[[#This Row],[Estoque+Importação]]/Fellowes[[#This Row],[Proj. de V. No prox. mes]],"Sem Projeção")</f>
        <v>39.230769230769234</v>
      </c>
      <c r="O47" s="24" t="str">
        <f>IF(OR(Fellowes[[#This Row],[Status]]="Em Linha",Fellowes[[#This Row],[Status]]="Componente",Fellowes[[#This Row],[Status]]="Materia Prima"),Fellowes[[#This Row],[Proj. de V. No prox. mes]]*10,"-")</f>
        <v>-</v>
      </c>
      <c r="P47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7" s="75">
        <f>VLOOKUP(Fellowes[[#This Row],[Código]],Projeção[#All],15,FALSE)</f>
        <v>0.43333333333333329</v>
      </c>
      <c r="R47" s="39">
        <f>VLOOKUP(Fellowes[[#This Row],[Código]],Projeção[#All],14,FALSE)</f>
        <v>0.86666666666666681</v>
      </c>
      <c r="S47" s="39">
        <f>IFERROR(VLOOKUP(Fellowes[[#This Row],[Código]],Venda_mes[],2,FALSE),0)</f>
        <v>1</v>
      </c>
      <c r="T47" s="44">
        <f>IFERROR(Fellowes[[#This Row],[V. No mes]]/Fellowes[[#This Row],[Proj. de V. No mes]],"")</f>
        <v>1.1538461538461537</v>
      </c>
      <c r="U47" s="43">
        <f>VLOOKUP(Fellowes[[#This Row],[Código]],Projeção[#All],14,FALSE)+VLOOKUP(Fellowes[[#This Row],[Código]],Projeção[#All],13,FALSE)+VLOOKUP(Fellowes[[#This Row],[Código]],Projeção[#All],12,FALSE)</f>
        <v>2.8666666666666667</v>
      </c>
      <c r="V47" s="39">
        <f>IFERROR(VLOOKUP(Fellowes[[#This Row],[Código]],Venda_3meses[],2,FALSE),0)</f>
        <v>1</v>
      </c>
      <c r="W47" s="44">
        <f>IFERROR(Fellowes[[#This Row],[V. 3 meses]]/Fellowes[[#This Row],[Proj. de V. 3 meses]],"")</f>
        <v>0.34883720930232559</v>
      </c>
      <c r="X4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5.333333333333333</v>
      </c>
      <c r="Y47" s="102">
        <f>IFERROR(VLOOKUP(Fellowes[[#This Row],[Código]],Venda_6meses[],2,FALSE),0)</f>
        <v>2</v>
      </c>
      <c r="Z47" s="45">
        <f>IFERROR(Fellowes[[#This Row],[V. 6 meses]]/Fellowes[[#This Row],[Proj. de V. 6 meses]],"")</f>
        <v>0.375</v>
      </c>
      <c r="AA4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14.566666666666665</v>
      </c>
      <c r="AB47" s="39">
        <f>IFERROR(VLOOKUP(Fellowes[[#This Row],[Código]],Venda_12meses[],2,FALSE),0)</f>
        <v>5</v>
      </c>
      <c r="AC47" s="44">
        <f>IFERROR(Fellowes[[#This Row],[V. 12 meses]]/Fellowes[[#This Row],[Proj. de V. 12 meses]],"")</f>
        <v>0.3432494279176202</v>
      </c>
      <c r="AD47" s="22"/>
    </row>
    <row r="48" spans="1:30" x14ac:dyDescent="0.25">
      <c r="A48" s="22" t="str">
        <f>VLOOKUP(Fellowes[[#This Row],[Código]],BD_Produto[#All],7,FALSE)</f>
        <v>Fora de linha</v>
      </c>
      <c r="B48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8" s="23">
        <v>33062062716</v>
      </c>
      <c r="D48" s="22" t="s">
        <v>1189</v>
      </c>
      <c r="E48" s="22" t="str">
        <f>VLOOKUP(Fellowes[[#This Row],[Código]],BD_Produto[],3,FALSE)</f>
        <v>Fragmentadora</v>
      </c>
      <c r="F48" s="22" t="str">
        <f>VLOOKUP(Fellowes[[#This Row],[Código]],BD_Produto[],4,FALSE)</f>
        <v>Fragmentadora</v>
      </c>
      <c r="G48" s="24">
        <v>100</v>
      </c>
      <c r="H48" s="25">
        <v>30.5</v>
      </c>
      <c r="I48" s="22" t="s">
        <v>1713</v>
      </c>
      <c r="J48" s="24"/>
      <c r="K48" s="24" t="str">
        <f>IFERROR(VLOOKUP(Fellowes[[#This Row],[Código]],Importação!P:R,3,FALSE),"")</f>
        <v/>
      </c>
      <c r="L48" s="24">
        <f>IFERROR(VLOOKUP(Fellowes[[#This Row],[Código]],Saldo[],3,FALSE),0)</f>
        <v>55</v>
      </c>
      <c r="M48" s="24">
        <f>SUM(Fellowes[[#This Row],[Produção]:[Estoque]])</f>
        <v>55</v>
      </c>
      <c r="N48" s="24">
        <f>IFERROR(Fellowes[[#This Row],[Estoque+Importação]]/Fellowes[[#This Row],[Proj. de V. No prox. mes]],"Sem Projeção")</f>
        <v>15.13761467889908</v>
      </c>
      <c r="O48" s="24" t="str">
        <f>IF(OR(Fellowes[[#This Row],[Status]]="Em Linha",Fellowes[[#This Row],[Status]]="Componente",Fellowes[[#This Row],[Status]]="Materia Prima"),Fellowes[[#This Row],[Proj. de V. No prox. mes]]*10,"-")</f>
        <v>-</v>
      </c>
      <c r="P48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8" s="75">
        <f>VLOOKUP(Fellowes[[#This Row],[Código]],Projeção[#All],15,FALSE)</f>
        <v>3.6333333333333337</v>
      </c>
      <c r="R48" s="39">
        <f>VLOOKUP(Fellowes[[#This Row],[Código]],Projeção[#All],14,FALSE)</f>
        <v>1.5333333333333334</v>
      </c>
      <c r="S48" s="39">
        <f>IFERROR(VLOOKUP(Fellowes[[#This Row],[Código]],Venda_mes[],2,FALSE),0)</f>
        <v>0</v>
      </c>
      <c r="T48" s="44">
        <f>IFERROR(Fellowes[[#This Row],[V. No mes]]/Fellowes[[#This Row],[Proj. de V. No mes]],"")</f>
        <v>0</v>
      </c>
      <c r="U48" s="43">
        <f>VLOOKUP(Fellowes[[#This Row],[Código]],Projeção[#All],14,FALSE)+VLOOKUP(Fellowes[[#This Row],[Código]],Projeção[#All],13,FALSE)+VLOOKUP(Fellowes[[#This Row],[Código]],Projeção[#All],12,FALSE)</f>
        <v>5.5</v>
      </c>
      <c r="V48" s="39">
        <f>IFERROR(VLOOKUP(Fellowes[[#This Row],[Código]],Venda_3meses[],2,FALSE),0)</f>
        <v>9</v>
      </c>
      <c r="W48" s="44">
        <f>IFERROR(Fellowes[[#This Row],[V. 3 meses]]/Fellowes[[#This Row],[Proj. de V. 3 meses]],"")</f>
        <v>1.6363636363636365</v>
      </c>
      <c r="X4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18.366666666666667</v>
      </c>
      <c r="Y48" s="102">
        <f>IFERROR(VLOOKUP(Fellowes[[#This Row],[Código]],Venda_6meses[],2,FALSE),0)</f>
        <v>21</v>
      </c>
      <c r="Z48" s="45">
        <f>IFERROR(Fellowes[[#This Row],[V. 6 meses]]/Fellowes[[#This Row],[Proj. de V. 6 meses]],"")</f>
        <v>1.1433756805807622</v>
      </c>
      <c r="AA4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66.666666666666657</v>
      </c>
      <c r="AB48" s="39">
        <f>IFERROR(VLOOKUP(Fellowes[[#This Row],[Código]],Venda_12meses[],2,FALSE),0)</f>
        <v>31</v>
      </c>
      <c r="AC48" s="44">
        <f>IFERROR(Fellowes[[#This Row],[V. 12 meses]]/Fellowes[[#This Row],[Proj. de V. 12 meses]],"")</f>
        <v>0.46500000000000008</v>
      </c>
      <c r="AD48" s="22"/>
    </row>
    <row r="49" spans="1:30" x14ac:dyDescent="0.25">
      <c r="A49" s="22" t="str">
        <f>VLOOKUP(Fellowes[[#This Row],[Código]],BD_Produto[#All],7,FALSE)</f>
        <v>Fora de linha</v>
      </c>
      <c r="B49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49" s="23">
        <v>33062063024</v>
      </c>
      <c r="D49" s="22" t="s">
        <v>1115</v>
      </c>
      <c r="E49" s="22" t="str">
        <f>VLOOKUP(Fellowes[[#This Row],[Código]],BD_Produto[],3,FALSE)</f>
        <v>Fragmentadora</v>
      </c>
      <c r="F49" s="22" t="str">
        <f>VLOOKUP(Fellowes[[#This Row],[Código]],BD_Produto[],4,FALSE)</f>
        <v>Fragmentadora</v>
      </c>
      <c r="G49" s="24">
        <v>300</v>
      </c>
      <c r="H49" s="25">
        <v>98.96</v>
      </c>
      <c r="I49" s="22" t="s">
        <v>1713</v>
      </c>
      <c r="J49" s="24"/>
      <c r="K49" s="24" t="str">
        <f>IFERROR(VLOOKUP(Fellowes[[#This Row],[Código]],Importação!P:R,3,FALSE),"")</f>
        <v/>
      </c>
      <c r="L49" s="24">
        <f>IFERROR(VLOOKUP(Fellowes[[#This Row],[Código]],Saldo[],3,FALSE),0)</f>
        <v>223</v>
      </c>
      <c r="M49" s="24">
        <f>SUM(Fellowes[[#This Row],[Produção]:[Estoque]])</f>
        <v>223</v>
      </c>
      <c r="N49" s="24">
        <f>IFERROR(Fellowes[[#This Row],[Estoque+Importação]]/Fellowes[[#This Row],[Proj. de V. No prox. mes]],"Sem Projeção")</f>
        <v>59.203539823008853</v>
      </c>
      <c r="O49" s="24" t="str">
        <f>IF(OR(Fellowes[[#This Row],[Status]]="Em Linha",Fellowes[[#This Row],[Status]]="Componente",Fellowes[[#This Row],[Status]]="Materia Prima"),Fellowes[[#This Row],[Proj. de V. No prox. mes]]*10,"-")</f>
        <v>-</v>
      </c>
      <c r="P49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49" s="75">
        <f>VLOOKUP(Fellowes[[#This Row],[Código]],Projeção[#All],15,FALSE)</f>
        <v>3.7666666666666666</v>
      </c>
      <c r="R49" s="39">
        <f>VLOOKUP(Fellowes[[#This Row],[Código]],Projeção[#All],14,FALSE)</f>
        <v>5.5666666666666673</v>
      </c>
      <c r="S49" s="39">
        <f>IFERROR(VLOOKUP(Fellowes[[#This Row],[Código]],Venda_mes[],2,FALSE),0)</f>
        <v>0</v>
      </c>
      <c r="T49" s="44">
        <f>IFERROR(Fellowes[[#This Row],[V. No mes]]/Fellowes[[#This Row],[Proj. de V. No mes]],"")</f>
        <v>0</v>
      </c>
      <c r="U49" s="43">
        <f>VLOOKUP(Fellowes[[#This Row],[Código]],Projeção[#All],14,FALSE)+VLOOKUP(Fellowes[[#This Row],[Código]],Projeção[#All],13,FALSE)+VLOOKUP(Fellowes[[#This Row],[Código]],Projeção[#All],12,FALSE)</f>
        <v>11.6</v>
      </c>
      <c r="V49" s="39">
        <f>IFERROR(VLOOKUP(Fellowes[[#This Row],[Código]],Venda_3meses[],2,FALSE),0)</f>
        <v>8</v>
      </c>
      <c r="W49" s="44">
        <f>IFERROR(Fellowes[[#This Row],[V. 3 meses]]/Fellowes[[#This Row],[Proj. de V. 3 meses]],"")</f>
        <v>0.68965517241379315</v>
      </c>
      <c r="X4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23.666666666666664</v>
      </c>
      <c r="Y49" s="102">
        <f>IFERROR(VLOOKUP(Fellowes[[#This Row],[Código]],Venda_6meses[],2,FALSE),0)</f>
        <v>22</v>
      </c>
      <c r="Z49" s="45">
        <f>IFERROR(Fellowes[[#This Row],[V. 6 meses]]/Fellowes[[#This Row],[Proj. de V. 6 meses]],"")</f>
        <v>0.92957746478873249</v>
      </c>
      <c r="AA4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57.533333333333331</v>
      </c>
      <c r="AB49" s="39">
        <f>IFERROR(VLOOKUP(Fellowes[[#This Row],[Código]],Venda_12meses[],2,FALSE),0)</f>
        <v>37</v>
      </c>
      <c r="AC49" s="44">
        <f>IFERROR(Fellowes[[#This Row],[V. 12 meses]]/Fellowes[[#This Row],[Proj. de V. 12 meses]],"")</f>
        <v>0.64310544611819243</v>
      </c>
      <c r="AD49" s="22"/>
    </row>
    <row r="50" spans="1:30" x14ac:dyDescent="0.25">
      <c r="A50" s="22" t="str">
        <f>VLOOKUP(Fellowes[[#This Row],[Código]],BD_Produto[#All],7,FALSE)</f>
        <v>Fora de linha</v>
      </c>
      <c r="B50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0" s="23">
        <v>33062062737</v>
      </c>
      <c r="D50" s="22" t="s">
        <v>1139</v>
      </c>
      <c r="E50" s="22" t="str">
        <f>VLOOKUP(Fellowes[[#This Row],[Código]],BD_Produto[],3,FALSE)</f>
        <v>Fragmentadora</v>
      </c>
      <c r="F50" s="22" t="str">
        <f>VLOOKUP(Fellowes[[#This Row],[Código]],BD_Produto[],4,FALSE)</f>
        <v>Fragmentadora</v>
      </c>
      <c r="G50" s="24">
        <v>300</v>
      </c>
      <c r="H50" s="25">
        <v>35.39</v>
      </c>
      <c r="I50" s="22" t="s">
        <v>1713</v>
      </c>
      <c r="J50" s="24"/>
      <c r="K50" s="24" t="str">
        <f>IFERROR(VLOOKUP(Fellowes[[#This Row],[Código]],Importação!P:R,3,FALSE),"")</f>
        <v/>
      </c>
      <c r="L50" s="24">
        <f>IFERROR(VLOOKUP(Fellowes[[#This Row],[Código]],Saldo[],3,FALSE),0)</f>
        <v>199</v>
      </c>
      <c r="M50" s="24">
        <f>SUM(Fellowes[[#This Row],[Produção]:[Estoque]])</f>
        <v>199</v>
      </c>
      <c r="N50" s="24">
        <f>IFERROR(Fellowes[[#This Row],[Estoque+Importação]]/Fellowes[[#This Row],[Proj. de V. No prox. mes]],"Sem Projeção")</f>
        <v>19.899999999999999</v>
      </c>
      <c r="O50" s="24" t="str">
        <f>IF(OR(Fellowes[[#This Row],[Status]]="Em Linha",Fellowes[[#This Row],[Status]]="Componente",Fellowes[[#This Row],[Status]]="Materia Prima"),Fellowes[[#This Row],[Proj. de V. No prox. mes]]*10,"-")</f>
        <v>-</v>
      </c>
      <c r="P50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0" s="75">
        <f>VLOOKUP(Fellowes[[#This Row],[Código]],Projeção[#All],15,FALSE)</f>
        <v>10</v>
      </c>
      <c r="R50" s="39">
        <f>VLOOKUP(Fellowes[[#This Row],[Código]],Projeção[#All],14,FALSE)</f>
        <v>6.2666666666666666</v>
      </c>
      <c r="S50" s="39">
        <f>IFERROR(VLOOKUP(Fellowes[[#This Row],[Código]],Venda_mes[],2,FALSE),0)</f>
        <v>6</v>
      </c>
      <c r="T50" s="44">
        <f>IFERROR(Fellowes[[#This Row],[V. No mes]]/Fellowes[[#This Row],[Proj. de V. No mes]],"")</f>
        <v>0.95744680851063835</v>
      </c>
      <c r="U50" s="43">
        <f>VLOOKUP(Fellowes[[#This Row],[Código]],Projeção[#All],14,FALSE)+VLOOKUP(Fellowes[[#This Row],[Código]],Projeção[#All],13,FALSE)+VLOOKUP(Fellowes[[#This Row],[Código]],Projeção[#All],12,FALSE)</f>
        <v>19.8</v>
      </c>
      <c r="V50" s="39">
        <f>IFERROR(VLOOKUP(Fellowes[[#This Row],[Código]],Venda_3meses[],2,FALSE),0)</f>
        <v>31</v>
      </c>
      <c r="W50" s="44">
        <f>IFERROR(Fellowes[[#This Row],[V. 3 meses]]/Fellowes[[#This Row],[Proj. de V. 3 meses]],"")</f>
        <v>1.5656565656565655</v>
      </c>
      <c r="X5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55.099999999999994</v>
      </c>
      <c r="Y50" s="102">
        <f>IFERROR(VLOOKUP(Fellowes[[#This Row],[Código]],Venda_6meses[],2,FALSE),0)</f>
        <v>54</v>
      </c>
      <c r="Z50" s="45">
        <f>IFERROR(Fellowes[[#This Row],[V. 6 meses]]/Fellowes[[#This Row],[Proj. de V. 6 meses]],"")</f>
        <v>0.98003629764065348</v>
      </c>
      <c r="AA5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137.5</v>
      </c>
      <c r="AB50" s="39">
        <f>IFERROR(VLOOKUP(Fellowes[[#This Row],[Código]],Venda_12meses[],2,FALSE),0)</f>
        <v>68</v>
      </c>
      <c r="AC50" s="44">
        <f>IFERROR(Fellowes[[#This Row],[V. 12 meses]]/Fellowes[[#This Row],[Proj. de V. 12 meses]],"")</f>
        <v>0.49454545454545457</v>
      </c>
      <c r="AD50" s="22"/>
    </row>
    <row r="51" spans="1:30" x14ac:dyDescent="0.25">
      <c r="A51" s="22" t="str">
        <f>VLOOKUP(Fellowes[[#This Row],[Código]],BD_Produto[#All],7,FALSE)</f>
        <v>Fora de linha</v>
      </c>
      <c r="B51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1" s="23">
        <v>33062063139</v>
      </c>
      <c r="D51" s="22" t="s">
        <v>1165</v>
      </c>
      <c r="E51" s="22" t="str">
        <f>VLOOKUP(Fellowes[[#This Row],[Código]],BD_Produto[],3,FALSE)</f>
        <v>Fragmentadora</v>
      </c>
      <c r="F51" s="22" t="str">
        <f>VLOOKUP(Fellowes[[#This Row],[Código]],BD_Produto[],4,FALSE)</f>
        <v>Fragmentadora</v>
      </c>
      <c r="G51" s="24">
        <v>300</v>
      </c>
      <c r="H51" s="25">
        <v>59.82</v>
      </c>
      <c r="I51" s="22" t="s">
        <v>1713</v>
      </c>
      <c r="J51" s="24"/>
      <c r="K51" s="24" t="str">
        <f>IFERROR(VLOOKUP(Fellowes[[#This Row],[Código]],Importação!P:R,3,FALSE),"")</f>
        <v/>
      </c>
      <c r="L51" s="24">
        <f>IFERROR(VLOOKUP(Fellowes[[#This Row],[Código]],Saldo[],3,FALSE),0)</f>
        <v>296</v>
      </c>
      <c r="M51" s="24">
        <f>SUM(Fellowes[[#This Row],[Produção]:[Estoque]])</f>
        <v>296</v>
      </c>
      <c r="N51" s="24">
        <f>IFERROR(Fellowes[[#This Row],[Estoque+Importação]]/Fellowes[[#This Row],[Proj. de V. No prox. mes]],"Sem Projeção")</f>
        <v>16.69172932330827</v>
      </c>
      <c r="O51" s="24" t="str">
        <f>IF(OR(Fellowes[[#This Row],[Status]]="Em Linha",Fellowes[[#This Row],[Status]]="Componente",Fellowes[[#This Row],[Status]]="Materia Prima"),Fellowes[[#This Row],[Proj. de V. No prox. mes]]*10,"-")</f>
        <v>-</v>
      </c>
      <c r="P51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1" s="75">
        <f>VLOOKUP(Fellowes[[#This Row],[Código]],Projeção[#All],15,FALSE)</f>
        <v>17.733333333333334</v>
      </c>
      <c r="R51" s="39">
        <f>VLOOKUP(Fellowes[[#This Row],[Código]],Projeção[#All],14,FALSE)</f>
        <v>4.333333333333333</v>
      </c>
      <c r="S51" s="39">
        <f>IFERROR(VLOOKUP(Fellowes[[#This Row],[Código]],Venda_mes[],2,FALSE),0)</f>
        <v>3</v>
      </c>
      <c r="T51" s="44">
        <f>IFERROR(Fellowes[[#This Row],[V. No mes]]/Fellowes[[#This Row],[Proj. de V. No mes]],"")</f>
        <v>0.6923076923076924</v>
      </c>
      <c r="U51" s="43">
        <f>VLOOKUP(Fellowes[[#This Row],[Código]],Projeção[#All],14,FALSE)+VLOOKUP(Fellowes[[#This Row],[Código]],Projeção[#All],13,FALSE)+VLOOKUP(Fellowes[[#This Row],[Código]],Projeção[#All],12,FALSE)</f>
        <v>10.333333333333332</v>
      </c>
      <c r="V51" s="39">
        <f>IFERROR(VLOOKUP(Fellowes[[#This Row],[Código]],Venda_3meses[],2,FALSE),0)</f>
        <v>57</v>
      </c>
      <c r="W51" s="44">
        <f>IFERROR(Fellowes[[#This Row],[V. 3 meses]]/Fellowes[[#This Row],[Proj. de V. 3 meses]],"")</f>
        <v>5.5161290322580649</v>
      </c>
      <c r="X5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21.966666666666669</v>
      </c>
      <c r="Y51" s="102">
        <f>IFERROR(VLOOKUP(Fellowes[[#This Row],[Código]],Venda_6meses[],2,FALSE),0)</f>
        <v>96</v>
      </c>
      <c r="Z51" s="45">
        <f>IFERROR(Fellowes[[#This Row],[V. 6 meses]]/Fellowes[[#This Row],[Proj. de V. 6 meses]],"")</f>
        <v>4.3702579666160846</v>
      </c>
      <c r="AA5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61.866666666666674</v>
      </c>
      <c r="AB51" s="39">
        <f>IFERROR(VLOOKUP(Fellowes[[#This Row],[Código]],Venda_12meses[],2,FALSE),0)</f>
        <v>112</v>
      </c>
      <c r="AC51" s="44">
        <f>IFERROR(Fellowes[[#This Row],[V. 12 meses]]/Fellowes[[#This Row],[Proj. de V. 12 meses]],"")</f>
        <v>1.8103448275862066</v>
      </c>
      <c r="AD51" s="22"/>
    </row>
    <row r="52" spans="1:30" x14ac:dyDescent="0.25">
      <c r="A52" s="22" t="str">
        <f>VLOOKUP(Fellowes[[#This Row],[Código]],BD_Produto[#All],7,FALSE)</f>
        <v>Fora de linha</v>
      </c>
      <c r="B52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2" s="23">
        <v>33062162830</v>
      </c>
      <c r="D52" s="22" t="s">
        <v>895</v>
      </c>
      <c r="E52" s="22" t="str">
        <f>VLOOKUP(Fellowes[[#This Row],[Código]],BD_Produto[],3,FALSE)</f>
        <v>Plastificadora</v>
      </c>
      <c r="F52" s="22" t="str">
        <f>VLOOKUP(Fellowes[[#This Row],[Código]],BD_Produto[],4,FALSE)</f>
        <v>Plastificadora</v>
      </c>
      <c r="G52" s="24">
        <v>100</v>
      </c>
      <c r="H52" s="25">
        <v>134.25</v>
      </c>
      <c r="I52" s="22" t="s">
        <v>1713</v>
      </c>
      <c r="J52" s="24"/>
      <c r="K52" s="24" t="str">
        <f>IFERROR(VLOOKUP(Fellowes[[#This Row],[Código]],Importação!P:R,3,FALSE),"")</f>
        <v/>
      </c>
      <c r="L52" s="24">
        <f>IFERROR(VLOOKUP(Fellowes[[#This Row],[Código]],Saldo[],3,FALSE),0)</f>
        <v>37</v>
      </c>
      <c r="M52" s="24">
        <f>SUM(Fellowes[[#This Row],[Produção]:[Estoque]])</f>
        <v>37</v>
      </c>
      <c r="N52" s="24">
        <f>IFERROR(Fellowes[[#This Row],[Estoque+Importação]]/Fellowes[[#This Row],[Proj. de V. No prox. mes]],"Sem Projeção")</f>
        <v>48.260869565217398</v>
      </c>
      <c r="O52" s="24" t="str">
        <f>IF(OR(Fellowes[[#This Row],[Status]]="Em Linha",Fellowes[[#This Row],[Status]]="Componente",Fellowes[[#This Row],[Status]]="Materia Prima"),Fellowes[[#This Row],[Proj. de V. No prox. mes]]*10,"-")</f>
        <v>-</v>
      </c>
      <c r="P52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2" s="75">
        <f>VLOOKUP(Fellowes[[#This Row],[Código]],Projeção[#All],15,FALSE)</f>
        <v>0.76666666666666661</v>
      </c>
      <c r="R52" s="39">
        <f>VLOOKUP(Fellowes[[#This Row],[Código]],Projeção[#All],14,FALSE)</f>
        <v>0.26666666666666666</v>
      </c>
      <c r="S52" s="39">
        <f>IFERROR(VLOOKUP(Fellowes[[#This Row],[Código]],Venda_mes[],2,FALSE),0)</f>
        <v>0</v>
      </c>
      <c r="T52" s="44">
        <f>IFERROR(Fellowes[[#This Row],[V. No mes]]/Fellowes[[#This Row],[Proj. de V. No mes]],"")</f>
        <v>0</v>
      </c>
      <c r="U52" s="43">
        <f>VLOOKUP(Fellowes[[#This Row],[Código]],Projeção[#All],14,FALSE)+VLOOKUP(Fellowes[[#This Row],[Código]],Projeção[#All],13,FALSE)+VLOOKUP(Fellowes[[#This Row],[Código]],Projeção[#All],12,FALSE)</f>
        <v>1.2</v>
      </c>
      <c r="V52" s="39">
        <f>IFERROR(VLOOKUP(Fellowes[[#This Row],[Código]],Venda_3meses[],2,FALSE),0)</f>
        <v>2</v>
      </c>
      <c r="W52" s="44">
        <f>IFERROR(Fellowes[[#This Row],[V. 3 meses]]/Fellowes[[#This Row],[Proj. de V. 3 meses]],"")</f>
        <v>1.6666666666666667</v>
      </c>
      <c r="X5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2.6666666666666665</v>
      </c>
      <c r="Y52" s="102">
        <f>IFERROR(VLOOKUP(Fellowes[[#This Row],[Código]],Venda_6meses[],2,FALSE),0)</f>
        <v>4</v>
      </c>
      <c r="Z52" s="45">
        <f>IFERROR(Fellowes[[#This Row],[V. 6 meses]]/Fellowes[[#This Row],[Proj. de V. 6 meses]],"")</f>
        <v>1.5</v>
      </c>
      <c r="AA5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8.7666666666666657</v>
      </c>
      <c r="AB52" s="39">
        <f>IFERROR(VLOOKUP(Fellowes[[#This Row],[Código]],Venda_12meses[],2,FALSE),0)</f>
        <v>7</v>
      </c>
      <c r="AC52" s="44">
        <f>IFERROR(Fellowes[[#This Row],[V. 12 meses]]/Fellowes[[#This Row],[Proj. de V. 12 meses]],"")</f>
        <v>0.79847908745247154</v>
      </c>
      <c r="AD52" s="22"/>
    </row>
    <row r="53" spans="1:30" x14ac:dyDescent="0.25">
      <c r="A53" s="22" t="str">
        <f>VLOOKUP(Fellowes[[#This Row],[Código]],BD_Produto[#All],7,FALSE)</f>
        <v>Fora de linha</v>
      </c>
      <c r="B53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3" s="23">
        <v>33062062720</v>
      </c>
      <c r="D53" s="22" t="s">
        <v>1122</v>
      </c>
      <c r="E53" s="22" t="str">
        <f>VLOOKUP(Fellowes[[#This Row],[Código]],BD_Produto[],3,FALSE)</f>
        <v>Fragmentadora</v>
      </c>
      <c r="F53" s="22" t="str">
        <f>VLOOKUP(Fellowes[[#This Row],[Código]],BD_Produto[],4,FALSE)</f>
        <v>Fragmentadora</v>
      </c>
      <c r="G53" s="24">
        <v>300</v>
      </c>
      <c r="H53" s="25">
        <v>88.41</v>
      </c>
      <c r="I53" s="22" t="s">
        <v>1713</v>
      </c>
      <c r="J53" s="24"/>
      <c r="K53" s="24" t="str">
        <f>IFERROR(VLOOKUP(Fellowes[[#This Row],[Código]],Importação!P:R,3,FALSE),"")</f>
        <v/>
      </c>
      <c r="L53" s="24">
        <f>IFERROR(VLOOKUP(Fellowes[[#This Row],[Código]],Saldo[],3,FALSE),0)</f>
        <v>209</v>
      </c>
      <c r="M53" s="24">
        <f>SUM(Fellowes[[#This Row],[Produção]:[Estoque]])</f>
        <v>209</v>
      </c>
      <c r="N53" s="24">
        <f>IFERROR(Fellowes[[#This Row],[Estoque+Importação]]/Fellowes[[#This Row],[Proj. de V. No prox. mes]],"Sem Projeção")</f>
        <v>190.00000000000003</v>
      </c>
      <c r="O53" s="24" t="str">
        <f>IF(OR(Fellowes[[#This Row],[Status]]="Em Linha",Fellowes[[#This Row],[Status]]="Componente",Fellowes[[#This Row],[Status]]="Materia Prima"),Fellowes[[#This Row],[Proj. de V. No prox. mes]]*10,"-")</f>
        <v>-</v>
      </c>
      <c r="P53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3" s="75">
        <f>VLOOKUP(Fellowes[[#This Row],[Código]],Projeção[#All],15,FALSE)</f>
        <v>1.0999999999999999</v>
      </c>
      <c r="R53" s="39">
        <f>VLOOKUP(Fellowes[[#This Row],[Código]],Projeção[#All],14,FALSE)</f>
        <v>1.7</v>
      </c>
      <c r="S53" s="39">
        <f>IFERROR(VLOOKUP(Fellowes[[#This Row],[Código]],Venda_mes[],2,FALSE),0)</f>
        <v>0</v>
      </c>
      <c r="T53" s="44">
        <f>IFERROR(Fellowes[[#This Row],[V. No mes]]/Fellowes[[#This Row],[Proj. de V. No mes]],"")</f>
        <v>0</v>
      </c>
      <c r="U53" s="43">
        <f>VLOOKUP(Fellowes[[#This Row],[Código]],Projeção[#All],14,FALSE)+VLOOKUP(Fellowes[[#This Row],[Código]],Projeção[#All],13,FALSE)+VLOOKUP(Fellowes[[#This Row],[Código]],Projeção[#All],12,FALSE)</f>
        <v>5</v>
      </c>
      <c r="V53" s="39">
        <f>IFERROR(VLOOKUP(Fellowes[[#This Row],[Código]],Venda_3meses[],2,FALSE),0)</f>
        <v>4</v>
      </c>
      <c r="W53" s="44">
        <f>IFERROR(Fellowes[[#This Row],[V. 3 meses]]/Fellowes[[#This Row],[Proj. de V. 3 meses]],"")</f>
        <v>0.8</v>
      </c>
      <c r="X5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9.4666666666666668</v>
      </c>
      <c r="Y53" s="102">
        <f>IFERROR(VLOOKUP(Fellowes[[#This Row],[Código]],Venda_6meses[],2,FALSE),0)</f>
        <v>4</v>
      </c>
      <c r="Z53" s="45">
        <f>IFERROR(Fellowes[[#This Row],[V. 6 meses]]/Fellowes[[#This Row],[Proj. de V. 6 meses]],"")</f>
        <v>0.42253521126760563</v>
      </c>
      <c r="AA5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38.6</v>
      </c>
      <c r="AB53" s="39">
        <f>IFERROR(VLOOKUP(Fellowes[[#This Row],[Código]],Venda_12meses[],2,FALSE),0)</f>
        <v>9</v>
      </c>
      <c r="AC53" s="44">
        <f>IFERROR(Fellowes[[#This Row],[V. 12 meses]]/Fellowes[[#This Row],[Proj. de V. 12 meses]],"")</f>
        <v>0.23316062176165803</v>
      </c>
      <c r="AD53" s="22"/>
    </row>
    <row r="54" spans="1:30" x14ac:dyDescent="0.25">
      <c r="A54" s="22" t="str">
        <f>VLOOKUP(Fellowes[[#This Row],[Código]],BD_Produto[#All],7,FALSE)</f>
        <v>Fora de linha</v>
      </c>
      <c r="B54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4" s="23">
        <v>33062162829</v>
      </c>
      <c r="D54" s="22" t="s">
        <v>1071</v>
      </c>
      <c r="E54" s="22" t="str">
        <f>VLOOKUP(Fellowes[[#This Row],[Código]],BD_Produto[],3,FALSE)</f>
        <v>Plastificadora</v>
      </c>
      <c r="F54" s="22" t="str">
        <f>VLOOKUP(Fellowes[[#This Row],[Código]],BD_Produto[],4,FALSE)</f>
        <v>Plastificadora</v>
      </c>
      <c r="G54" s="24"/>
      <c r="H54" s="25">
        <v>54.96</v>
      </c>
      <c r="I54" s="22"/>
      <c r="J54" s="24"/>
      <c r="K54" s="24" t="str">
        <f>IFERROR(VLOOKUP(Fellowes[[#This Row],[Código]],Importação!P:R,3,FALSE),"")</f>
        <v/>
      </c>
      <c r="L54" s="24">
        <f>IFERROR(VLOOKUP(Fellowes[[#This Row],[Código]],Saldo[],3,FALSE),0)</f>
        <v>237</v>
      </c>
      <c r="M54" s="24">
        <f>SUM(Fellowes[[#This Row],[Produção]:[Estoque]])</f>
        <v>237</v>
      </c>
      <c r="N54" s="24">
        <f>IFERROR(Fellowes[[#This Row],[Estoque+Importação]]/Fellowes[[#This Row],[Proj. de V. No prox. mes]],"Sem Projeção")</f>
        <v>215.45454545454547</v>
      </c>
      <c r="O54" s="24" t="str">
        <f>IF(OR(Fellowes[[#This Row],[Status]]="Em Linha",Fellowes[[#This Row],[Status]]="Componente",Fellowes[[#This Row],[Status]]="Materia Prima"),Fellowes[[#This Row],[Proj. de V. No prox. mes]]*10,"-")</f>
        <v>-</v>
      </c>
      <c r="P54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4" s="75">
        <f>VLOOKUP(Fellowes[[#This Row],[Código]],Projeção[#All],15,FALSE)</f>
        <v>1.0999999999999999</v>
      </c>
      <c r="R54" s="39">
        <f>VLOOKUP(Fellowes[[#This Row],[Código]],Projeção[#All],14,FALSE)</f>
        <v>1.3666666666666665</v>
      </c>
      <c r="S54" s="39">
        <f>IFERROR(VLOOKUP(Fellowes[[#This Row],[Código]],Venda_mes[],2,FALSE),0)</f>
        <v>1</v>
      </c>
      <c r="T54" s="44">
        <f>IFERROR(Fellowes[[#This Row],[V. No mes]]/Fellowes[[#This Row],[Proj. de V. No mes]],"")</f>
        <v>0.73170731707317083</v>
      </c>
      <c r="U54" s="43">
        <f>VLOOKUP(Fellowes[[#This Row],[Código]],Projeção[#All],14,FALSE)+VLOOKUP(Fellowes[[#This Row],[Código]],Projeção[#All],13,FALSE)+VLOOKUP(Fellowes[[#This Row],[Código]],Projeção[#All],12,FALSE)</f>
        <v>2.2999999999999998</v>
      </c>
      <c r="V54" s="39">
        <f>IFERROR(VLOOKUP(Fellowes[[#This Row],[Código]],Venda_3meses[],2,FALSE),0)</f>
        <v>2</v>
      </c>
      <c r="W54" s="44">
        <f>IFERROR(Fellowes[[#This Row],[V. 3 meses]]/Fellowes[[#This Row],[Proj. de V. 3 meses]],"")</f>
        <v>0.86956521739130443</v>
      </c>
      <c r="X5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4.5666666666666664</v>
      </c>
      <c r="Y54" s="102">
        <f>IFERROR(VLOOKUP(Fellowes[[#This Row],[Código]],Venda_6meses[],2,FALSE),0)</f>
        <v>6</v>
      </c>
      <c r="Z54" s="45">
        <f>IFERROR(Fellowes[[#This Row],[V. 6 meses]]/Fellowes[[#This Row],[Proj. de V. 6 meses]],"")</f>
        <v>1.3138686131386863</v>
      </c>
      <c r="AA5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12.899999999999999</v>
      </c>
      <c r="AB54" s="39">
        <f>IFERROR(VLOOKUP(Fellowes[[#This Row],[Código]],Venda_12meses[],2,FALSE),0)</f>
        <v>13</v>
      </c>
      <c r="AC54" s="44">
        <f>IFERROR(Fellowes[[#This Row],[V. 12 meses]]/Fellowes[[#This Row],[Proj. de V. 12 meses]],"")</f>
        <v>1.0077519379844961</v>
      </c>
      <c r="AD54" s="22"/>
    </row>
    <row r="55" spans="1:30" x14ac:dyDescent="0.25">
      <c r="A55" s="22" t="str">
        <f>VLOOKUP(Fellowes[[#This Row],[Código]],BD_Produto[#All],7,FALSE)</f>
        <v>Fora de linha</v>
      </c>
      <c r="B55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5" s="23">
        <v>33062063140</v>
      </c>
      <c r="D55" s="22" t="s">
        <v>1183</v>
      </c>
      <c r="E55" s="22" t="str">
        <f>VLOOKUP(Fellowes[[#This Row],[Código]],BD_Produto[],3,FALSE)</f>
        <v>Fragmentadora</v>
      </c>
      <c r="F55" s="22" t="str">
        <f>VLOOKUP(Fellowes[[#This Row],[Código]],BD_Produto[],4,FALSE)</f>
        <v>Fragmentadora</v>
      </c>
      <c r="G55" s="24">
        <v>300</v>
      </c>
      <c r="H55" s="25">
        <v>59.82</v>
      </c>
      <c r="I55" s="22" t="s">
        <v>1713</v>
      </c>
      <c r="J55" s="24"/>
      <c r="K55" s="24" t="str">
        <f>IFERROR(VLOOKUP(Fellowes[[#This Row],[Código]],Importação!P:R,3,FALSE),"")</f>
        <v/>
      </c>
      <c r="L55" s="24">
        <f>IFERROR(VLOOKUP(Fellowes[[#This Row],[Código]],Saldo[],3,FALSE),0)</f>
        <v>231</v>
      </c>
      <c r="M55" s="24">
        <f>SUM(Fellowes[[#This Row],[Produção]:[Estoque]])</f>
        <v>231</v>
      </c>
      <c r="N55" s="24">
        <f>IFERROR(Fellowes[[#This Row],[Estoque+Importação]]/Fellowes[[#This Row],[Proj. de V. No prox. mes]],"Sem Projeção")</f>
        <v>135.88235294117646</v>
      </c>
      <c r="O55" s="24" t="str">
        <f>IF(OR(Fellowes[[#This Row],[Status]]="Em Linha",Fellowes[[#This Row],[Status]]="Componente",Fellowes[[#This Row],[Status]]="Materia Prima"),Fellowes[[#This Row],[Proj. de V. No prox. mes]]*10,"-")</f>
        <v>-</v>
      </c>
      <c r="P55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5" s="75">
        <f>VLOOKUP(Fellowes[[#This Row],[Código]],Projeção[#All],15,FALSE)</f>
        <v>1.7</v>
      </c>
      <c r="R55" s="39">
        <f>VLOOKUP(Fellowes[[#This Row],[Código]],Projeção[#All],14,FALSE)</f>
        <v>1.5333333333333332</v>
      </c>
      <c r="S55" s="39">
        <f>IFERROR(VLOOKUP(Fellowes[[#This Row],[Código]],Venda_mes[],2,FALSE),0)</f>
        <v>1</v>
      </c>
      <c r="T55" s="44">
        <f>IFERROR(Fellowes[[#This Row],[V. No mes]]/Fellowes[[#This Row],[Proj. de V. No mes]],"")</f>
        <v>0.65217391304347827</v>
      </c>
      <c r="U55" s="43">
        <f>VLOOKUP(Fellowes[[#This Row],[Código]],Projeção[#All],14,FALSE)+VLOOKUP(Fellowes[[#This Row],[Código]],Projeção[#All],13,FALSE)+VLOOKUP(Fellowes[[#This Row],[Código]],Projeção[#All],12,FALSE)</f>
        <v>4.4000000000000004</v>
      </c>
      <c r="V55" s="39">
        <f>IFERROR(VLOOKUP(Fellowes[[#This Row],[Código]],Venda_3meses[],2,FALSE),0)</f>
        <v>5</v>
      </c>
      <c r="W55" s="44">
        <f>IFERROR(Fellowes[[#This Row],[V. 3 meses]]/Fellowes[[#This Row],[Proj. de V. 3 meses]],"")</f>
        <v>1.1363636363636362</v>
      </c>
      <c r="X5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14.433333333333334</v>
      </c>
      <c r="Y55" s="102">
        <f>IFERROR(VLOOKUP(Fellowes[[#This Row],[Código]],Venda_6meses[],2,FALSE),0)</f>
        <v>9</v>
      </c>
      <c r="Z55" s="45">
        <f>IFERROR(Fellowes[[#This Row],[V. 6 meses]]/Fellowes[[#This Row],[Proj. de V. 6 meses]],"")</f>
        <v>0.62355658198614317</v>
      </c>
      <c r="AA5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31.499999999999993</v>
      </c>
      <c r="AB55" s="39">
        <f>IFERROR(VLOOKUP(Fellowes[[#This Row],[Código]],Venda_12meses[],2,FALSE),0)</f>
        <v>13</v>
      </c>
      <c r="AC55" s="44">
        <f>IFERROR(Fellowes[[#This Row],[V. 12 meses]]/Fellowes[[#This Row],[Proj. de V. 12 meses]],"")</f>
        <v>0.41269841269841279</v>
      </c>
      <c r="AD55" s="22"/>
    </row>
    <row r="56" spans="1:30" x14ac:dyDescent="0.25">
      <c r="A56" s="22" t="str">
        <f>VLOOKUP(Fellowes[[#This Row],[Código]],BD_Produto[#All],7,FALSE)</f>
        <v>Fora de linha</v>
      </c>
      <c r="B56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6" s="23">
        <v>33062262832</v>
      </c>
      <c r="D56" s="22" t="s">
        <v>986</v>
      </c>
      <c r="E56" s="22" t="str">
        <f>VLOOKUP(Fellowes[[#This Row],[Código]],BD_Produto[],3,FALSE)</f>
        <v>Encadernadora</v>
      </c>
      <c r="F56" s="22" t="str">
        <f>VLOOKUP(Fellowes[[#This Row],[Código]],BD_Produto[],4,FALSE)</f>
        <v>Encadernadora</v>
      </c>
      <c r="G56" s="24">
        <v>50</v>
      </c>
      <c r="H56" s="25">
        <v>128.16999999999999</v>
      </c>
      <c r="I56" s="22" t="s">
        <v>1713</v>
      </c>
      <c r="J56" s="24"/>
      <c r="K56" s="24" t="str">
        <f>IFERROR(VLOOKUP(Fellowes[[#This Row],[Código]],Importação!P:R,3,FALSE),"")</f>
        <v/>
      </c>
      <c r="L56" s="24">
        <f>IFERROR(VLOOKUP(Fellowes[[#This Row],[Código]],Saldo[],3,FALSE),0)</f>
        <v>46</v>
      </c>
      <c r="M56" s="24">
        <f>SUM(Fellowes[[#This Row],[Produção]:[Estoque]])</f>
        <v>46</v>
      </c>
      <c r="N56" s="24">
        <f>IFERROR(Fellowes[[#This Row],[Estoque+Importação]]/Fellowes[[#This Row],[Proj. de V. No prox. mes]],"Sem Projeção")</f>
        <v>1380</v>
      </c>
      <c r="O56" s="24" t="str">
        <f>IF(OR(Fellowes[[#This Row],[Status]]="Em Linha",Fellowes[[#This Row],[Status]]="Componente",Fellowes[[#This Row],[Status]]="Materia Prima"),Fellowes[[#This Row],[Proj. de V. No prox. mes]]*10,"-")</f>
        <v>-</v>
      </c>
      <c r="P56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6" s="75">
        <f>VLOOKUP(Fellowes[[#This Row],[Código]],Projeção[#All],15,FALSE)</f>
        <v>3.3333333333333333E-2</v>
      </c>
      <c r="R56" s="39">
        <f>VLOOKUP(Fellowes[[#This Row],[Código]],Projeção[#All],14,FALSE)</f>
        <v>0.26666666666666666</v>
      </c>
      <c r="S56" s="39">
        <f>IFERROR(VLOOKUP(Fellowes[[#This Row],[Código]],Venda_mes[],2,FALSE),0)</f>
        <v>0</v>
      </c>
      <c r="T56" s="44">
        <f>IFERROR(Fellowes[[#This Row],[V. No mes]]/Fellowes[[#This Row],[Proj. de V. No mes]],"")</f>
        <v>0</v>
      </c>
      <c r="U56" s="43">
        <f>VLOOKUP(Fellowes[[#This Row],[Código]],Projeção[#All],14,FALSE)+VLOOKUP(Fellowes[[#This Row],[Código]],Projeção[#All],13,FALSE)+VLOOKUP(Fellowes[[#This Row],[Código]],Projeção[#All],12,FALSE)</f>
        <v>0.6333333333333333</v>
      </c>
      <c r="V56" s="39">
        <f>IFERROR(VLOOKUP(Fellowes[[#This Row],[Código]],Venda_3meses[],2,FALSE),0)</f>
        <v>0</v>
      </c>
      <c r="W56" s="44">
        <f>IFERROR(Fellowes[[#This Row],[V. 3 meses]]/Fellowes[[#This Row],[Proj. de V. 3 meses]],"")</f>
        <v>0</v>
      </c>
      <c r="X5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0.83333333333333326</v>
      </c>
      <c r="Y56" s="102">
        <f>IFERROR(VLOOKUP(Fellowes[[#This Row],[Código]],Venda_6meses[],2,FALSE),0)</f>
        <v>0</v>
      </c>
      <c r="Z56" s="45">
        <f>IFERROR(Fellowes[[#This Row],[V. 6 meses]]/Fellowes[[#This Row],[Proj. de V. 6 meses]],"")</f>
        <v>0</v>
      </c>
      <c r="AA5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2.2999999999999998</v>
      </c>
      <c r="AB56" s="39">
        <f>IFERROR(VLOOKUP(Fellowes[[#This Row],[Código]],Venda_12meses[],2,FALSE),0)</f>
        <v>1</v>
      </c>
      <c r="AC56" s="44">
        <f>IFERROR(Fellowes[[#This Row],[V. 12 meses]]/Fellowes[[#This Row],[Proj. de V. 12 meses]],"")</f>
        <v>0.43478260869565222</v>
      </c>
      <c r="AD56" s="22"/>
    </row>
    <row r="57" spans="1:30" x14ac:dyDescent="0.25">
      <c r="A57" s="22" t="str">
        <f>VLOOKUP(Fellowes[[#This Row],[Código]],BD_Produto[#All],7,FALSE)</f>
        <v>Fora de linha</v>
      </c>
      <c r="B57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7" s="23">
        <v>33062063025</v>
      </c>
      <c r="D57" s="22" t="s">
        <v>1073</v>
      </c>
      <c r="E57" s="22" t="str">
        <f>VLOOKUP(Fellowes[[#This Row],[Código]],BD_Produto[],3,FALSE)</f>
        <v>Fragmentadora</v>
      </c>
      <c r="F57" s="22" t="str">
        <f>VLOOKUP(Fellowes[[#This Row],[Código]],BD_Produto[],4,FALSE)</f>
        <v>Fragmentadora</v>
      </c>
      <c r="G57" s="24">
        <v>300</v>
      </c>
      <c r="H57" s="25">
        <v>98.96</v>
      </c>
      <c r="I57" s="22" t="s">
        <v>1713</v>
      </c>
      <c r="J57" s="24"/>
      <c r="K57" s="24" t="str">
        <f>IFERROR(VLOOKUP(Fellowes[[#This Row],[Código]],Importação!P:R,3,FALSE),"")</f>
        <v/>
      </c>
      <c r="L57" s="24">
        <f>IFERROR(VLOOKUP(Fellowes[[#This Row],[Código]],Saldo[],3,FALSE),0)</f>
        <v>255</v>
      </c>
      <c r="M57" s="24">
        <f>SUM(Fellowes[[#This Row],[Produção]:[Estoque]])</f>
        <v>255</v>
      </c>
      <c r="N57" s="24">
        <f>IFERROR(Fellowes[[#This Row],[Estoque+Importação]]/Fellowes[[#This Row],[Proj. de V. No prox. mes]],"Sem Projeção")</f>
        <v>255</v>
      </c>
      <c r="O57" s="24" t="str">
        <f>IF(OR(Fellowes[[#This Row],[Status]]="Em Linha",Fellowes[[#This Row],[Status]]="Componente",Fellowes[[#This Row],[Status]]="Materia Prima"),Fellowes[[#This Row],[Proj. de V. No prox. mes]]*10,"-")</f>
        <v>-</v>
      </c>
      <c r="P57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7" s="75">
        <f>VLOOKUP(Fellowes[[#This Row],[Código]],Projeção[#All],15,FALSE)</f>
        <v>1</v>
      </c>
      <c r="R57" s="39">
        <f>VLOOKUP(Fellowes[[#This Row],[Código]],Projeção[#All],14,FALSE)</f>
        <v>0.76666666666666672</v>
      </c>
      <c r="S57" s="39">
        <f>IFERROR(VLOOKUP(Fellowes[[#This Row],[Código]],Venda_mes[],2,FALSE),0)</f>
        <v>0</v>
      </c>
      <c r="T57" s="44">
        <f>IFERROR(Fellowes[[#This Row],[V. No mes]]/Fellowes[[#This Row],[Proj. de V. No mes]],"")</f>
        <v>0</v>
      </c>
      <c r="U57" s="43">
        <f>VLOOKUP(Fellowes[[#This Row],[Código]],Projeção[#All],14,FALSE)+VLOOKUP(Fellowes[[#This Row],[Código]],Projeção[#All],13,FALSE)+VLOOKUP(Fellowes[[#This Row],[Código]],Projeção[#All],12,FALSE)</f>
        <v>2.333333333333333</v>
      </c>
      <c r="V57" s="39">
        <f>IFERROR(VLOOKUP(Fellowes[[#This Row],[Código]],Venda_3meses[],2,FALSE),0)</f>
        <v>3</v>
      </c>
      <c r="W57" s="44">
        <f>IFERROR(Fellowes[[#This Row],[V. 3 meses]]/Fellowes[[#This Row],[Proj. de V. 3 meses]],"")</f>
        <v>1.2857142857142858</v>
      </c>
      <c r="X5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4.1999999999999993</v>
      </c>
      <c r="Y57" s="102">
        <f>IFERROR(VLOOKUP(Fellowes[[#This Row],[Código]],Venda_6meses[],2,FALSE),0)</f>
        <v>5</v>
      </c>
      <c r="Z57" s="45">
        <f>IFERROR(Fellowes[[#This Row],[V. 6 meses]]/Fellowes[[#This Row],[Proj. de V. 6 meses]],"")</f>
        <v>1.1904761904761907</v>
      </c>
      <c r="AA5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8.7333333333333307</v>
      </c>
      <c r="AB57" s="39">
        <f>IFERROR(VLOOKUP(Fellowes[[#This Row],[Código]],Venda_12meses[],2,FALSE),0)</f>
        <v>8</v>
      </c>
      <c r="AC57" s="44">
        <f>IFERROR(Fellowes[[#This Row],[V. 12 meses]]/Fellowes[[#This Row],[Proj. de V. 12 meses]],"")</f>
        <v>0.91603053435114534</v>
      </c>
      <c r="AD57" s="22"/>
    </row>
    <row r="58" spans="1:30" x14ac:dyDescent="0.25">
      <c r="A58" s="22" t="str">
        <f>VLOOKUP(Fellowes[[#This Row],[Código]],BD_Produto[#All],7,FALSE)</f>
        <v>Fora de linha</v>
      </c>
      <c r="B58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8" s="23">
        <v>33062162831</v>
      </c>
      <c r="D58" s="22" t="s">
        <v>990</v>
      </c>
      <c r="E58" s="22" t="str">
        <f>VLOOKUP(Fellowes[[#This Row],[Código]],BD_Produto[],3,FALSE)</f>
        <v>Plastificadora</v>
      </c>
      <c r="F58" s="22" t="str">
        <f>VLOOKUP(Fellowes[[#This Row],[Código]],BD_Produto[],4,FALSE)</f>
        <v>Plastificadora</v>
      </c>
      <c r="G58" s="24">
        <v>100</v>
      </c>
      <c r="H58" s="25">
        <v>179.03</v>
      </c>
      <c r="I58" s="22" t="s">
        <v>1713</v>
      </c>
      <c r="J58" s="24"/>
      <c r="K58" s="24" t="str">
        <f>IFERROR(VLOOKUP(Fellowes[[#This Row],[Código]],Importação!P:R,3,FALSE),"")</f>
        <v/>
      </c>
      <c r="L58" s="24">
        <f>IFERROR(VLOOKUP(Fellowes[[#This Row],[Código]],Saldo[],3,FALSE),0)</f>
        <v>54</v>
      </c>
      <c r="M58" s="24">
        <f>SUM(Fellowes[[#This Row],[Produção]:[Estoque]])</f>
        <v>54</v>
      </c>
      <c r="N58" s="24">
        <f>IFERROR(Fellowes[[#This Row],[Estoque+Importação]]/Fellowes[[#This Row],[Proj. de V. No prox. mes]],"Sem Projeção")</f>
        <v>162.00000000000003</v>
      </c>
      <c r="O58" s="24" t="str">
        <f>IF(OR(Fellowes[[#This Row],[Status]]="Em Linha",Fellowes[[#This Row],[Status]]="Componente",Fellowes[[#This Row],[Status]]="Materia Prima"),Fellowes[[#This Row],[Proj. de V. No prox. mes]]*10,"-")</f>
        <v>-</v>
      </c>
      <c r="P58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8" s="75">
        <f>VLOOKUP(Fellowes[[#This Row],[Código]],Projeção[#All],15,FALSE)</f>
        <v>0.33333333333333326</v>
      </c>
      <c r="R58" s="39">
        <f>VLOOKUP(Fellowes[[#This Row],[Código]],Projeção[#All],14,FALSE)</f>
        <v>0.16666666666666663</v>
      </c>
      <c r="S58" s="39">
        <f>IFERROR(VLOOKUP(Fellowes[[#This Row],[Código]],Venda_mes[],2,FALSE),0)</f>
        <v>0</v>
      </c>
      <c r="T58" s="44">
        <f>IFERROR(Fellowes[[#This Row],[V. No mes]]/Fellowes[[#This Row],[Proj. de V. No mes]],"")</f>
        <v>0</v>
      </c>
      <c r="U58" s="43">
        <f>VLOOKUP(Fellowes[[#This Row],[Código]],Projeção[#All],14,FALSE)+VLOOKUP(Fellowes[[#This Row],[Código]],Projeção[#All],13,FALSE)+VLOOKUP(Fellowes[[#This Row],[Código]],Projeção[#All],12,FALSE)</f>
        <v>0.76666666666666661</v>
      </c>
      <c r="V58" s="39">
        <f>IFERROR(VLOOKUP(Fellowes[[#This Row],[Código]],Venda_3meses[],2,FALSE),0)</f>
        <v>0</v>
      </c>
      <c r="W58" s="44">
        <f>IFERROR(Fellowes[[#This Row],[V. 3 meses]]/Fellowes[[#This Row],[Proj. de V. 3 meses]],"")</f>
        <v>0</v>
      </c>
      <c r="X5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1.4333333333333333</v>
      </c>
      <c r="Y58" s="102">
        <f>IFERROR(VLOOKUP(Fellowes[[#This Row],[Código]],Venda_6meses[],2,FALSE),0)</f>
        <v>3</v>
      </c>
      <c r="Z58" s="45">
        <f>IFERROR(Fellowes[[#This Row],[V. 6 meses]]/Fellowes[[#This Row],[Proj. de V. 6 meses]],"")</f>
        <v>2.0930232558139537</v>
      </c>
      <c r="AA5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4.9666666666666659</v>
      </c>
      <c r="AB58" s="39">
        <f>IFERROR(VLOOKUP(Fellowes[[#This Row],[Código]],Venda_12meses[],2,FALSE),0)</f>
        <v>4</v>
      </c>
      <c r="AC58" s="44">
        <f>IFERROR(Fellowes[[#This Row],[V. 12 meses]]/Fellowes[[#This Row],[Proj. de V. 12 meses]],"")</f>
        <v>0.80536912751677869</v>
      </c>
      <c r="AD58" s="22"/>
    </row>
    <row r="59" spans="1:30" x14ac:dyDescent="0.25">
      <c r="A59" s="22" t="str">
        <f>VLOOKUP(Fellowes[[#This Row],[Código]],BD_Produto[#All],7,FALSE)</f>
        <v>Fora de linha</v>
      </c>
      <c r="B59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59" s="23">
        <v>33062162828</v>
      </c>
      <c r="D59" s="22" t="s">
        <v>1156</v>
      </c>
      <c r="E59" s="22" t="str">
        <f>VLOOKUP(Fellowes[[#This Row],[Código]],BD_Produto[],3,FALSE)</f>
        <v>Plastificadora</v>
      </c>
      <c r="F59" s="22" t="str">
        <f>VLOOKUP(Fellowes[[#This Row],[Código]],BD_Produto[],4,FALSE)</f>
        <v>Plastificadora</v>
      </c>
      <c r="G59" s="24"/>
      <c r="H59" s="25">
        <v>40.89</v>
      </c>
      <c r="I59" s="22"/>
      <c r="J59" s="24"/>
      <c r="K59" s="24" t="str">
        <f>IFERROR(VLOOKUP(Fellowes[[#This Row],[Código]],Importação!P:R,3,FALSE),"")</f>
        <v/>
      </c>
      <c r="L59" s="24">
        <f>IFERROR(VLOOKUP(Fellowes[[#This Row],[Código]],Saldo[],3,FALSE),0)</f>
        <v>204</v>
      </c>
      <c r="M59" s="24">
        <f>SUM(Fellowes[[#This Row],[Produção]:[Estoque]])</f>
        <v>204</v>
      </c>
      <c r="N59" s="24">
        <f>IFERROR(Fellowes[[#This Row],[Estoque+Importação]]/Fellowes[[#This Row],[Proj. de V. No prox. mes]],"Sem Projeção")</f>
        <v>98.709677419354833</v>
      </c>
      <c r="O59" s="24" t="str">
        <f>IF(OR(Fellowes[[#This Row],[Status]]="Em Linha",Fellowes[[#This Row],[Status]]="Componente",Fellowes[[#This Row],[Status]]="Materia Prima"),Fellowes[[#This Row],[Proj. de V. No prox. mes]]*10,"-")</f>
        <v>-</v>
      </c>
      <c r="P59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59" s="75">
        <f>VLOOKUP(Fellowes[[#This Row],[Código]],Projeção[#All],15,FALSE)</f>
        <v>2.0666666666666669</v>
      </c>
      <c r="R59" s="39">
        <f>VLOOKUP(Fellowes[[#This Row],[Código]],Projeção[#All],14,FALSE)</f>
        <v>0.3666666666666667</v>
      </c>
      <c r="S59" s="39">
        <f>IFERROR(VLOOKUP(Fellowes[[#This Row],[Código]],Venda_mes[],2,FALSE),0)</f>
        <v>0</v>
      </c>
      <c r="T59" s="44">
        <f>IFERROR(Fellowes[[#This Row],[V. No mes]]/Fellowes[[#This Row],[Proj. de V. No mes]],"")</f>
        <v>0</v>
      </c>
      <c r="U59" s="43">
        <f>VLOOKUP(Fellowes[[#This Row],[Código]],Projeção[#All],14,FALSE)+VLOOKUP(Fellowes[[#This Row],[Código]],Projeção[#All],13,FALSE)+VLOOKUP(Fellowes[[#This Row],[Código]],Projeção[#All],12,FALSE)</f>
        <v>0.83333333333333326</v>
      </c>
      <c r="V59" s="39">
        <f>IFERROR(VLOOKUP(Fellowes[[#This Row],[Código]],Venda_3meses[],2,FALSE),0)</f>
        <v>7</v>
      </c>
      <c r="W59" s="44">
        <f>IFERROR(Fellowes[[#This Row],[V. 3 meses]]/Fellowes[[#This Row],[Proj. de V. 3 meses]],"")</f>
        <v>8.4</v>
      </c>
      <c r="X5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2.7333333333333334</v>
      </c>
      <c r="Y59" s="102">
        <f>IFERROR(VLOOKUP(Fellowes[[#This Row],[Código]],Venda_6meses[],2,FALSE),0)</f>
        <v>11</v>
      </c>
      <c r="Z59" s="45">
        <f>IFERROR(Fellowes[[#This Row],[V. 6 meses]]/Fellowes[[#This Row],[Proj. de V. 6 meses]],"")</f>
        <v>4.024390243902439</v>
      </c>
      <c r="AA5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9.1999999999999993</v>
      </c>
      <c r="AB59" s="39">
        <f>IFERROR(VLOOKUP(Fellowes[[#This Row],[Código]],Venda_12meses[],2,FALSE),0)</f>
        <v>12</v>
      </c>
      <c r="AC59" s="44">
        <f>IFERROR(Fellowes[[#This Row],[V. 12 meses]]/Fellowes[[#This Row],[Proj. de V. 12 meses]],"")</f>
        <v>1.3043478260869565</v>
      </c>
      <c r="AD59" s="22"/>
    </row>
    <row r="60" spans="1:30" x14ac:dyDescent="0.25">
      <c r="A60" s="22" t="str">
        <f>VLOOKUP(Fellowes[[#This Row],[Código]],BD_Produto[#All],7,FALSE)</f>
        <v>Fora de linha</v>
      </c>
      <c r="B60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60" s="23">
        <v>33062262835</v>
      </c>
      <c r="D60" s="22" t="s">
        <v>906</v>
      </c>
      <c r="E60" s="22" t="str">
        <f>VLOOKUP(Fellowes[[#This Row],[Código]],BD_Produto[],3,FALSE)</f>
        <v>Encadernadora</v>
      </c>
      <c r="F60" s="22" t="str">
        <f>VLOOKUP(Fellowes[[#This Row],[Código]],BD_Produto[],4,FALSE)</f>
        <v>Encadernadora</v>
      </c>
      <c r="G60" s="24">
        <v>50</v>
      </c>
      <c r="H60" s="25">
        <v>232.68</v>
      </c>
      <c r="I60" s="22" t="s">
        <v>1713</v>
      </c>
      <c r="J60" s="24"/>
      <c r="K60" s="24" t="str">
        <f>IFERROR(VLOOKUP(Fellowes[[#This Row],[Código]],Importação!P:R,3,FALSE),"")</f>
        <v/>
      </c>
      <c r="L60" s="24">
        <f>IFERROR(VLOOKUP(Fellowes[[#This Row],[Código]],Saldo[],3,FALSE),0)</f>
        <v>28</v>
      </c>
      <c r="M60" s="24">
        <f>SUM(Fellowes[[#This Row],[Produção]:[Estoque]])</f>
        <v>28</v>
      </c>
      <c r="N60" s="24" t="str">
        <f>IFERROR(Fellowes[[#This Row],[Estoque+Importação]]/Fellowes[[#This Row],[Proj. de V. No prox. mes]],"Sem Projeção")</f>
        <v>Sem Projeção</v>
      </c>
      <c r="O60" s="24" t="str">
        <f>IF(OR(Fellowes[[#This Row],[Status]]="Em Linha",Fellowes[[#This Row],[Status]]="Componente",Fellowes[[#This Row],[Status]]="Materia Prima"),Fellowes[[#This Row],[Proj. de V. No prox. mes]]*10,"-")</f>
        <v>-</v>
      </c>
      <c r="P60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0" s="75">
        <f>VLOOKUP(Fellowes[[#This Row],[Código]],Projeção[#All],15,FALSE)</f>
        <v>0</v>
      </c>
      <c r="R60" s="39">
        <f>VLOOKUP(Fellowes[[#This Row],[Código]],Projeção[#All],14,FALSE)</f>
        <v>3.3333333333333333E-2</v>
      </c>
      <c r="S60" s="39">
        <f>IFERROR(VLOOKUP(Fellowes[[#This Row],[Código]],Venda_mes[],2,FALSE),0)</f>
        <v>0</v>
      </c>
      <c r="T60" s="44">
        <f>IFERROR(Fellowes[[#This Row],[V. No mes]]/Fellowes[[#This Row],[Proj. de V. No mes]],"")</f>
        <v>0</v>
      </c>
      <c r="U60" s="43">
        <f>VLOOKUP(Fellowes[[#This Row],[Código]],Projeção[#All],14,FALSE)+VLOOKUP(Fellowes[[#This Row],[Código]],Projeção[#All],13,FALSE)+VLOOKUP(Fellowes[[#This Row],[Código]],Projeção[#All],12,FALSE)</f>
        <v>0.1</v>
      </c>
      <c r="V60" s="39">
        <f>IFERROR(VLOOKUP(Fellowes[[#This Row],[Código]],Venda_3meses[],2,FALSE),0)</f>
        <v>0</v>
      </c>
      <c r="W60" s="44">
        <f>IFERROR(Fellowes[[#This Row],[V. 3 meses]]/Fellowes[[#This Row],[Proj. de V. 3 meses]],"")</f>
        <v>0</v>
      </c>
      <c r="X6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0.19999999999999998</v>
      </c>
      <c r="Y60" s="102">
        <f>IFERROR(VLOOKUP(Fellowes[[#This Row],[Código]],Venda_6meses[],2,FALSE),0)</f>
        <v>0</v>
      </c>
      <c r="Z60" s="45">
        <f>IFERROR(Fellowes[[#This Row],[V. 6 meses]]/Fellowes[[#This Row],[Proj. de V. 6 meses]],"")</f>
        <v>0</v>
      </c>
      <c r="AA6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1.1999999999999997</v>
      </c>
      <c r="AB60" s="39">
        <f>IFERROR(VLOOKUP(Fellowes[[#This Row],[Código]],Venda_12meses[],2,FALSE),0)</f>
        <v>0</v>
      </c>
      <c r="AC60" s="44">
        <f>IFERROR(Fellowes[[#This Row],[V. 12 meses]]/Fellowes[[#This Row],[Proj. de V. 12 meses]],"")</f>
        <v>0</v>
      </c>
      <c r="AD60" s="22"/>
    </row>
    <row r="61" spans="1:30" x14ac:dyDescent="0.25">
      <c r="A61" s="22" t="str">
        <f>VLOOKUP(Fellowes[[#This Row],[Código]],BD_Produto[#All],7,FALSE)</f>
        <v>Fora de linha</v>
      </c>
      <c r="B61" s="22" t="str">
        <f>IF(OR(Fellowes[[#This Row],[Status]]="Em linha",Fellowes[[#This Row],[Status]]="Materia Prima",Fellowes[[#This Row],[Status]]="Componente"),"ok",IF(Fellowes[[#This Row],[Estoque+Importação]]&lt;1,"Tirar","ok"))</f>
        <v>ok</v>
      </c>
      <c r="C61" s="23">
        <v>33062262833</v>
      </c>
      <c r="D61" s="22" t="s">
        <v>985</v>
      </c>
      <c r="E61" s="22" t="str">
        <f>VLOOKUP(Fellowes[[#This Row],[Código]],BD_Produto[],3,FALSE)</f>
        <v>Encadernadora</v>
      </c>
      <c r="F61" s="22" t="str">
        <f>VLOOKUP(Fellowes[[#This Row],[Código]],BD_Produto[],4,FALSE)</f>
        <v>Encadernadora</v>
      </c>
      <c r="G61" s="24">
        <v>50</v>
      </c>
      <c r="H61" s="25">
        <v>88.16</v>
      </c>
      <c r="I61" s="22" t="s">
        <v>1713</v>
      </c>
      <c r="J61" s="24"/>
      <c r="K61" s="24" t="str">
        <f>IFERROR(VLOOKUP(Fellowes[[#This Row],[Código]],Importação!P:R,3,FALSE),"")</f>
        <v/>
      </c>
      <c r="L61" s="24">
        <f>IFERROR(VLOOKUP(Fellowes[[#This Row],[Código]],Saldo[],3,FALSE),0)</f>
        <v>27</v>
      </c>
      <c r="M61" s="24">
        <f>SUM(Fellowes[[#This Row],[Produção]:[Estoque]])</f>
        <v>27</v>
      </c>
      <c r="N61" s="24">
        <f>IFERROR(Fellowes[[#This Row],[Estoque+Importação]]/Fellowes[[#This Row],[Proj. de V. No prox. mes]],"Sem Projeção")</f>
        <v>90</v>
      </c>
      <c r="O61" s="24" t="str">
        <f>IF(OR(Fellowes[[#This Row],[Status]]="Em Linha",Fellowes[[#This Row],[Status]]="Componente",Fellowes[[#This Row],[Status]]="Materia Prima"),Fellowes[[#This Row],[Proj. de V. No prox. mes]]*10,"-")</f>
        <v>-</v>
      </c>
      <c r="P61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1" s="75">
        <f>VLOOKUP(Fellowes[[#This Row],[Código]],Projeção[#All],15,FALSE)</f>
        <v>0.3</v>
      </c>
      <c r="R61" s="39">
        <f>VLOOKUP(Fellowes[[#This Row],[Código]],Projeção[#All],14,FALSE)</f>
        <v>9.9999999999999992E-2</v>
      </c>
      <c r="S61" s="39">
        <f>IFERROR(VLOOKUP(Fellowes[[#This Row],[Código]],Venda_mes[],2,FALSE),0)</f>
        <v>0</v>
      </c>
      <c r="T61" s="44">
        <f>IFERROR(Fellowes[[#This Row],[V. No mes]]/Fellowes[[#This Row],[Proj. de V. No mes]],"")</f>
        <v>0</v>
      </c>
      <c r="U61" s="43">
        <f>VLOOKUP(Fellowes[[#This Row],[Código]],Projeção[#All],14,FALSE)+VLOOKUP(Fellowes[[#This Row],[Código]],Projeção[#All],13,FALSE)+VLOOKUP(Fellowes[[#This Row],[Código]],Projeção[#All],12,FALSE)</f>
        <v>0.33333333333333331</v>
      </c>
      <c r="V61" s="39">
        <f>IFERROR(VLOOKUP(Fellowes[[#This Row],[Código]],Venda_3meses[],2,FALSE),0)</f>
        <v>0</v>
      </c>
      <c r="W61" s="44">
        <f>IFERROR(Fellowes[[#This Row],[V. 3 meses]]/Fellowes[[#This Row],[Proj. de V. 3 meses]],"")</f>
        <v>0</v>
      </c>
      <c r="X6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0.83333333333333326</v>
      </c>
      <c r="Y61" s="102">
        <f>IFERROR(VLOOKUP(Fellowes[[#This Row],[Código]],Venda_6meses[],2,FALSE),0)</f>
        <v>3</v>
      </c>
      <c r="Z61" s="45">
        <f>IFERROR(Fellowes[[#This Row],[V. 6 meses]]/Fellowes[[#This Row],[Proj. de V. 6 meses]],"")</f>
        <v>3.6000000000000005</v>
      </c>
      <c r="AA6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3.2666666666666662</v>
      </c>
      <c r="AB61" s="39">
        <f>IFERROR(VLOOKUP(Fellowes[[#This Row],[Código]],Venda_12meses[],2,FALSE),0)</f>
        <v>3</v>
      </c>
      <c r="AC61" s="44">
        <f>IFERROR(Fellowes[[#This Row],[V. 12 meses]]/Fellowes[[#This Row],[Proj. de V. 12 meses]],"")</f>
        <v>0.91836734693877564</v>
      </c>
      <c r="AD61" s="22"/>
    </row>
    <row r="62" spans="1:30" x14ac:dyDescent="0.25">
      <c r="A62" s="22" t="str">
        <f>VLOOKUP(Fellowes[[#This Row],[Código]],BD_Produto[#All],7,FALSE)</f>
        <v>Fora de linha</v>
      </c>
      <c r="B62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2" s="23">
        <v>33062262834</v>
      </c>
      <c r="D62" s="22" t="s">
        <v>956</v>
      </c>
      <c r="E62" s="22" t="str">
        <f>VLOOKUP(Fellowes[[#This Row],[Código]],BD_Produto[],3,FALSE)</f>
        <v>Encadernadora</v>
      </c>
      <c r="F62" s="22" t="str">
        <f>VLOOKUP(Fellowes[[#This Row],[Código]],BD_Produto[],4,FALSE)</f>
        <v>Encadernadora</v>
      </c>
      <c r="G62" s="24">
        <v>50</v>
      </c>
      <c r="H62" s="25">
        <v>119.31</v>
      </c>
      <c r="I62" s="22" t="s">
        <v>1713</v>
      </c>
      <c r="J62" s="24"/>
      <c r="K62" s="24" t="str">
        <f>IFERROR(VLOOKUP(Fellowes[[#This Row],[Código]],Importação!P:R,3,FALSE),"")</f>
        <v/>
      </c>
      <c r="L62" s="24">
        <f>IFERROR(VLOOKUP(Fellowes[[#This Row],[Código]],Saldo[],3,FALSE),0)</f>
        <v>0</v>
      </c>
      <c r="M62" s="24">
        <f>SUM(Fellowes[[#This Row],[Produção]:[Estoque]])</f>
        <v>0</v>
      </c>
      <c r="N62" s="24">
        <f>IFERROR(Fellowes[[#This Row],[Estoque+Importação]]/Fellowes[[#This Row],[Proj. de V. No prox. mes]],"Sem Projeção")</f>
        <v>0</v>
      </c>
      <c r="O62" s="24" t="str">
        <f>IF(OR(Fellowes[[#This Row],[Status]]="Em Linha",Fellowes[[#This Row],[Status]]="Componente",Fellowes[[#This Row],[Status]]="Materia Prima"),Fellowes[[#This Row],[Proj. de V. No prox. mes]]*10,"-")</f>
        <v>-</v>
      </c>
      <c r="P62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2" s="75">
        <f>VLOOKUP(Fellowes[[#This Row],[Código]],Projeção[#All],15,FALSE)</f>
        <v>9.9999999999999992E-2</v>
      </c>
      <c r="R62" s="39">
        <f>VLOOKUP(Fellowes[[#This Row],[Código]],Projeção[#All],14,FALSE)</f>
        <v>0</v>
      </c>
      <c r="S62" s="39">
        <f>IFERROR(VLOOKUP(Fellowes[[#This Row],[Código]],Venda_mes[],2,FALSE),0)</f>
        <v>0</v>
      </c>
      <c r="T62" s="44" t="str">
        <f>IFERROR(Fellowes[[#This Row],[V. No mes]]/Fellowes[[#This Row],[Proj. de V. No mes]],"")</f>
        <v/>
      </c>
      <c r="U62" s="43">
        <f>VLOOKUP(Fellowes[[#This Row],[Código]],Projeção[#All],14,FALSE)+VLOOKUP(Fellowes[[#This Row],[Código]],Projeção[#All],13,FALSE)+VLOOKUP(Fellowes[[#This Row],[Código]],Projeção[#All],12,FALSE)</f>
        <v>3.3333333333333333E-2</v>
      </c>
      <c r="V62" s="39">
        <f>IFERROR(VLOOKUP(Fellowes[[#This Row],[Código]],Venda_3meses[],2,FALSE),0)</f>
        <v>0</v>
      </c>
      <c r="W62" s="44">
        <f>IFERROR(Fellowes[[#This Row],[V. 3 meses]]/Fellowes[[#This Row],[Proj. de V. 3 meses]],"")</f>
        <v>0</v>
      </c>
      <c r="X6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0.13333333333333333</v>
      </c>
      <c r="Y62" s="102">
        <f>IFERROR(VLOOKUP(Fellowes[[#This Row],[Código]],Venda_6meses[],2,FALSE),0)</f>
        <v>1</v>
      </c>
      <c r="Z62" s="45">
        <f>IFERROR(Fellowes[[#This Row],[V. 6 meses]]/Fellowes[[#This Row],[Proj. de V. 6 meses]],"")</f>
        <v>7.5</v>
      </c>
      <c r="AA6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0.33333333333333331</v>
      </c>
      <c r="AB62" s="39">
        <f>IFERROR(VLOOKUP(Fellowes[[#This Row],[Código]],Venda_12meses[],2,FALSE),0)</f>
        <v>1</v>
      </c>
      <c r="AC62" s="44">
        <f>IFERROR(Fellowes[[#This Row],[V. 12 meses]]/Fellowes[[#This Row],[Proj. de V. 12 meses]],"")</f>
        <v>3</v>
      </c>
      <c r="AD62" s="22"/>
    </row>
    <row r="63" spans="1:30" x14ac:dyDescent="0.25">
      <c r="A63" s="22" t="str">
        <f>VLOOKUP(Fellowes[[#This Row],[Código]],BD_Produto[#All],7,FALSE)</f>
        <v>Fora de linha</v>
      </c>
      <c r="B63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3" s="23">
        <v>33062062719</v>
      </c>
      <c r="D63" s="22" t="s">
        <v>1218</v>
      </c>
      <c r="E63" s="22" t="str">
        <f>VLOOKUP(Fellowes[[#This Row],[Código]],BD_Produto[],3,FALSE)</f>
        <v>Fragmentadora</v>
      </c>
      <c r="F63" s="22" t="str">
        <f>VLOOKUP(Fellowes[[#This Row],[Código]],BD_Produto[],4,FALSE)</f>
        <v>Fragmentadora</v>
      </c>
      <c r="G63" s="24">
        <v>100</v>
      </c>
      <c r="H63" s="25">
        <v>44.62</v>
      </c>
      <c r="I63" s="22" t="s">
        <v>1713</v>
      </c>
      <c r="J63" s="24"/>
      <c r="K63" s="24" t="str">
        <f>IFERROR(VLOOKUP(Fellowes[[#This Row],[Código]],Importação!P:R,3,FALSE),"")</f>
        <v/>
      </c>
      <c r="L63" s="24">
        <f>IFERROR(VLOOKUP(Fellowes[[#This Row],[Código]],Saldo[],3,FALSE),0)</f>
        <v>0</v>
      </c>
      <c r="M63" s="24">
        <f>SUM(Fellowes[[#This Row],[Produção]:[Estoque]])</f>
        <v>0</v>
      </c>
      <c r="N63" s="24">
        <f>IFERROR(Fellowes[[#This Row],[Estoque+Importação]]/Fellowes[[#This Row],[Proj. de V. No prox. mes]],"Sem Projeção")</f>
        <v>0</v>
      </c>
      <c r="O63" s="24" t="str">
        <f>IF(OR(Fellowes[[#This Row],[Status]]="Em Linha",Fellowes[[#This Row],[Status]]="Componente",Fellowes[[#This Row],[Status]]="Materia Prima"),Fellowes[[#This Row],[Proj. de V. No prox. mes]]*10,"-")</f>
        <v>-</v>
      </c>
      <c r="P63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3" s="75">
        <f>VLOOKUP(Fellowes[[#This Row],[Código]],Projeção[#All],15,FALSE)</f>
        <v>2.6666666666666665</v>
      </c>
      <c r="R63" s="39">
        <f>VLOOKUP(Fellowes[[#This Row],[Código]],Projeção[#All],14,FALSE)</f>
        <v>11.466666666666667</v>
      </c>
      <c r="S63" s="39">
        <f>IFERROR(VLOOKUP(Fellowes[[#This Row],[Código]],Venda_mes[],2,FALSE),0)</f>
        <v>0</v>
      </c>
      <c r="T63" s="44">
        <f>IFERROR(Fellowes[[#This Row],[V. No mes]]/Fellowes[[#This Row],[Proj. de V. No mes]],"")</f>
        <v>0</v>
      </c>
      <c r="U63" s="43">
        <f>VLOOKUP(Fellowes[[#This Row],[Código]],Projeção[#All],14,FALSE)+VLOOKUP(Fellowes[[#This Row],[Código]],Projeção[#All],13,FALSE)+VLOOKUP(Fellowes[[#This Row],[Código]],Projeção[#All],12,FALSE)</f>
        <v>32.6</v>
      </c>
      <c r="V63" s="39">
        <f>IFERROR(VLOOKUP(Fellowes[[#This Row],[Código]],Venda_3meses[],2,FALSE),0)</f>
        <v>0</v>
      </c>
      <c r="W63" s="44">
        <f>IFERROR(Fellowes[[#This Row],[V. 3 meses]]/Fellowes[[#This Row],[Proj. de V. 3 meses]],"")</f>
        <v>0</v>
      </c>
      <c r="X6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53.466666666666669</v>
      </c>
      <c r="Y63" s="102">
        <f>IFERROR(VLOOKUP(Fellowes[[#This Row],[Código]],Venda_6meses[],2,FALSE),0)</f>
        <v>1</v>
      </c>
      <c r="Z63" s="45">
        <f>IFERROR(Fellowes[[#This Row],[V. 6 meses]]/Fellowes[[#This Row],[Proj. de V. 6 meses]],"")</f>
        <v>1.8703241895261846E-2</v>
      </c>
      <c r="AA6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156.60000000000002</v>
      </c>
      <c r="AB63" s="39">
        <f>IFERROR(VLOOKUP(Fellowes[[#This Row],[Código]],Venda_12meses[],2,FALSE),0)</f>
        <v>78</v>
      </c>
      <c r="AC63" s="44">
        <f>IFERROR(Fellowes[[#This Row],[V. 12 meses]]/Fellowes[[#This Row],[Proj. de V. 12 meses]],"")</f>
        <v>0.49808429118773939</v>
      </c>
      <c r="AD63" s="22"/>
    </row>
    <row r="64" spans="1:30" x14ac:dyDescent="0.25">
      <c r="A64" s="22" t="str">
        <f>VLOOKUP(Fellowes[[#This Row],[Código]],BD_Produto[#All],7,FALSE)</f>
        <v>Fora de linha</v>
      </c>
      <c r="B64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4" s="23">
        <v>33062062717</v>
      </c>
      <c r="D64" s="22" t="s">
        <v>1223</v>
      </c>
      <c r="E64" s="22" t="str">
        <f>VLOOKUP(Fellowes[[#This Row],[Código]],BD_Produto[],3,FALSE)</f>
        <v>Fragmentadora</v>
      </c>
      <c r="F64" s="22" t="str">
        <f>VLOOKUP(Fellowes[[#This Row],[Código]],BD_Produto[],4,FALSE)</f>
        <v>Fragmentadora</v>
      </c>
      <c r="G64" s="24">
        <v>100</v>
      </c>
      <c r="H64" s="25">
        <v>30.5</v>
      </c>
      <c r="I64" s="22" t="s">
        <v>1713</v>
      </c>
      <c r="J64" s="24"/>
      <c r="K64" s="24" t="str">
        <f>IFERROR(VLOOKUP(Fellowes[[#This Row],[Código]],Importação!P:R,3,FALSE),"")</f>
        <v/>
      </c>
      <c r="L64" s="24">
        <f>IFERROR(VLOOKUP(Fellowes[[#This Row],[Código]],Saldo[],3,FALSE),0)</f>
        <v>0</v>
      </c>
      <c r="M64" s="24">
        <f>SUM(Fellowes[[#This Row],[Produção]:[Estoque]])</f>
        <v>0</v>
      </c>
      <c r="N64" s="24">
        <f>IFERROR(Fellowes[[#This Row],[Estoque+Importação]]/Fellowes[[#This Row],[Proj. de V. No prox. mes]],"Sem Projeção")</f>
        <v>0</v>
      </c>
      <c r="O64" s="24" t="str">
        <f>IF(OR(Fellowes[[#This Row],[Status]]="Em Linha",Fellowes[[#This Row],[Status]]="Componente",Fellowes[[#This Row],[Status]]="Materia Prima"),Fellowes[[#This Row],[Proj. de V. No prox. mes]]*10,"-")</f>
        <v>-</v>
      </c>
      <c r="P64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4" s="75">
        <f>VLOOKUP(Fellowes[[#This Row],[Código]],Projeção[#All],15,FALSE)</f>
        <v>3.4</v>
      </c>
      <c r="R64" s="39">
        <f>VLOOKUP(Fellowes[[#This Row],[Código]],Projeção[#All],14,FALSE)</f>
        <v>32.633333333333333</v>
      </c>
      <c r="S64" s="39">
        <f>IFERROR(VLOOKUP(Fellowes[[#This Row],[Código]],Venda_mes[],2,FALSE),0)</f>
        <v>0</v>
      </c>
      <c r="T64" s="44">
        <f>IFERROR(Fellowes[[#This Row],[V. No mes]]/Fellowes[[#This Row],[Proj. de V. No mes]],"")</f>
        <v>0</v>
      </c>
      <c r="U64" s="43">
        <f>VLOOKUP(Fellowes[[#This Row],[Código]],Projeção[#All],14,FALSE)+VLOOKUP(Fellowes[[#This Row],[Código]],Projeção[#All],13,FALSE)+VLOOKUP(Fellowes[[#This Row],[Código]],Projeção[#All],12,FALSE)</f>
        <v>89.166666666666671</v>
      </c>
      <c r="V64" s="39">
        <f>IFERROR(VLOOKUP(Fellowes[[#This Row],[Código]],Venda_3meses[],2,FALSE),0)</f>
        <v>0</v>
      </c>
      <c r="W64" s="44">
        <f>IFERROR(Fellowes[[#This Row],[V. 3 meses]]/Fellowes[[#This Row],[Proj. de V. 3 meses]],"")</f>
        <v>0</v>
      </c>
      <c r="X6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158.33333333333331</v>
      </c>
      <c r="Y64" s="102">
        <f>IFERROR(VLOOKUP(Fellowes[[#This Row],[Código]],Venda_6meses[],2,FALSE),0)</f>
        <v>0</v>
      </c>
      <c r="Z64" s="45">
        <f>IFERROR(Fellowes[[#This Row],[V. 6 meses]]/Fellowes[[#This Row],[Proj. de V. 6 meses]],"")</f>
        <v>0</v>
      </c>
      <c r="AA6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386.86666666666667</v>
      </c>
      <c r="AB64" s="39">
        <f>IFERROR(VLOOKUP(Fellowes[[#This Row],[Código]],Venda_12meses[],2,FALSE),0)</f>
        <v>102</v>
      </c>
      <c r="AC64" s="44">
        <f>IFERROR(Fellowes[[#This Row],[V. 12 meses]]/Fellowes[[#This Row],[Proj. de V. 12 meses]],"")</f>
        <v>0.26365672927795969</v>
      </c>
      <c r="AD64" s="22"/>
    </row>
    <row r="65" spans="1:30" x14ac:dyDescent="0.25">
      <c r="A65" s="22" t="str">
        <f>VLOOKUP(Fellowes[[#This Row],[Código]],BD_Produto[#All],7,FALSE)</f>
        <v>Fora de linha</v>
      </c>
      <c r="B65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5" s="23">
        <v>33062062736</v>
      </c>
      <c r="D65" s="22" t="s">
        <v>1169</v>
      </c>
      <c r="E65" s="22" t="str">
        <f>VLOOKUP(Fellowes[[#This Row],[Código]],BD_Produto[],3,FALSE)</f>
        <v>Fragmentadora</v>
      </c>
      <c r="F65" s="22" t="str">
        <f>VLOOKUP(Fellowes[[#This Row],[Código]],BD_Produto[],4,FALSE)</f>
        <v>Fragmentadora</v>
      </c>
      <c r="G65" s="24">
        <v>300</v>
      </c>
      <c r="H65" s="25">
        <v>75.5</v>
      </c>
      <c r="I65" s="22" t="s">
        <v>1713</v>
      </c>
      <c r="J65" s="24"/>
      <c r="K65" s="24" t="str">
        <f>IFERROR(VLOOKUP(Fellowes[[#This Row],[Código]],Importação!P:R,3,FALSE),"")</f>
        <v/>
      </c>
      <c r="L65" s="24">
        <f>IFERROR(VLOOKUP(Fellowes[[#This Row],[Código]],Saldo[],3,FALSE),0)</f>
        <v>0</v>
      </c>
      <c r="M65" s="24">
        <f>SUM(Fellowes[[#This Row],[Produção]:[Estoque]])</f>
        <v>0</v>
      </c>
      <c r="N65" s="24" t="str">
        <f>IFERROR(Fellowes[[#This Row],[Estoque+Importação]]/Fellowes[[#This Row],[Proj. de V. No prox. mes]],"Sem Projeção")</f>
        <v>Sem Projeção</v>
      </c>
      <c r="O65" s="24" t="str">
        <f>IF(OR(Fellowes[[#This Row],[Status]]="Em Linha",Fellowes[[#This Row],[Status]]="Componente",Fellowes[[#This Row],[Status]]="Materia Prima"),Fellowes[[#This Row],[Proj. de V. No prox. mes]]*10,"-")</f>
        <v>-</v>
      </c>
      <c r="P65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5" s="75">
        <f>VLOOKUP(Fellowes[[#This Row],[Código]],Projeção[#All],15,FALSE)</f>
        <v>0</v>
      </c>
      <c r="R65" s="39">
        <f>VLOOKUP(Fellowes[[#This Row],[Código]],Projeção[#All],14,FALSE)</f>
        <v>0.6333333333333333</v>
      </c>
      <c r="S65" s="39">
        <f>IFERROR(VLOOKUP(Fellowes[[#This Row],[Código]],Venda_mes[],2,FALSE),0)</f>
        <v>0</v>
      </c>
      <c r="T65" s="44">
        <f>IFERROR(Fellowes[[#This Row],[V. No mes]]/Fellowes[[#This Row],[Proj. de V. No mes]],"")</f>
        <v>0</v>
      </c>
      <c r="U65" s="43">
        <f>VLOOKUP(Fellowes[[#This Row],[Código]],Projeção[#All],14,FALSE)+VLOOKUP(Fellowes[[#This Row],[Código]],Projeção[#All],13,FALSE)+VLOOKUP(Fellowes[[#This Row],[Código]],Projeção[#All],12,FALSE)</f>
        <v>1.9</v>
      </c>
      <c r="V65" s="39">
        <f>IFERROR(VLOOKUP(Fellowes[[#This Row],[Código]],Venda_3meses[],2,FALSE),0)</f>
        <v>0</v>
      </c>
      <c r="W65" s="44">
        <f>IFERROR(Fellowes[[#This Row],[V. 3 meses]]/Fellowes[[#This Row],[Proj. de V. 3 meses]],"")</f>
        <v>0</v>
      </c>
      <c r="X6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3.9666666666666668</v>
      </c>
      <c r="Y65" s="102">
        <f>IFERROR(VLOOKUP(Fellowes[[#This Row],[Código]],Venda_6meses[],2,FALSE),0)</f>
        <v>0</v>
      </c>
      <c r="Z65" s="45">
        <f>IFERROR(Fellowes[[#This Row],[V. 6 meses]]/Fellowes[[#This Row],[Proj. de V. 6 meses]],"")</f>
        <v>0</v>
      </c>
      <c r="AA6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25.166666666666664</v>
      </c>
      <c r="AB65" s="39">
        <f>IFERROR(VLOOKUP(Fellowes[[#This Row],[Código]],Venda_12meses[],2,FALSE),0)</f>
        <v>0</v>
      </c>
      <c r="AC65" s="44">
        <f>IFERROR(Fellowes[[#This Row],[V. 12 meses]]/Fellowes[[#This Row],[Proj. de V. 12 meses]],"")</f>
        <v>0</v>
      </c>
      <c r="AD65" s="22"/>
    </row>
    <row r="66" spans="1:30" x14ac:dyDescent="0.25">
      <c r="A66" s="22" t="str">
        <f>VLOOKUP(Fellowes[[#This Row],[Código]],BD_Produto[#All],7,FALSE)</f>
        <v>Fora de linha</v>
      </c>
      <c r="B66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6" s="23">
        <v>33062062721</v>
      </c>
      <c r="D66" s="22" t="s">
        <v>871</v>
      </c>
      <c r="E66" s="22" t="str">
        <f>VLOOKUP(Fellowes[[#This Row],[Código]],BD_Produto[],3,FALSE)</f>
        <v>Fragmentadora</v>
      </c>
      <c r="F66" s="22" t="str">
        <f>VLOOKUP(Fellowes[[#This Row],[Código]],BD_Produto[],4,FALSE)</f>
        <v>Fragmentadora</v>
      </c>
      <c r="G66" s="24">
        <v>100</v>
      </c>
      <c r="H66" s="25">
        <v>102.26</v>
      </c>
      <c r="I66" s="22" t="s">
        <v>1713</v>
      </c>
      <c r="J66" s="24"/>
      <c r="K66" s="24" t="str">
        <f>IFERROR(VLOOKUP(Fellowes[[#This Row],[Código]],Importação!P:R,3,FALSE),"")</f>
        <v/>
      </c>
      <c r="L66" s="24">
        <f>IFERROR(VLOOKUP(Fellowes[[#This Row],[Código]],Saldo[],3,FALSE),0)</f>
        <v>0</v>
      </c>
      <c r="M66" s="24">
        <f>SUM(Fellowes[[#This Row],[Produção]:[Estoque]])</f>
        <v>0</v>
      </c>
      <c r="N66" s="24" t="str">
        <f>IFERROR(Fellowes[[#This Row],[Estoque+Importação]]/Fellowes[[#This Row],[Proj. de V. No prox. mes]],"Sem Projeção")</f>
        <v>Sem Projeção</v>
      </c>
      <c r="O66" s="24" t="str">
        <f>IF(OR(Fellowes[[#This Row],[Status]]="Em Linha",Fellowes[[#This Row],[Status]]="Componente",Fellowes[[#This Row],[Status]]="Materia Prima"),Fellowes[[#This Row],[Proj. de V. No prox. mes]]*10,"-")</f>
        <v>-</v>
      </c>
      <c r="P66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6" s="75">
        <f>VLOOKUP(Fellowes[[#This Row],[Código]],Projeção[#All],15,FALSE)</f>
        <v>0</v>
      </c>
      <c r="R66" s="39">
        <f>VLOOKUP(Fellowes[[#This Row],[Código]],Projeção[#All],14,FALSE)</f>
        <v>0</v>
      </c>
      <c r="S66" s="39">
        <f>IFERROR(VLOOKUP(Fellowes[[#This Row],[Código]],Venda_mes[],2,FALSE),0)</f>
        <v>0</v>
      </c>
      <c r="T66" s="44" t="str">
        <f>IFERROR(Fellowes[[#This Row],[V. No mes]]/Fellowes[[#This Row],[Proj. de V. No mes]],"")</f>
        <v/>
      </c>
      <c r="U66" s="43">
        <f>VLOOKUP(Fellowes[[#This Row],[Código]],Projeção[#All],14,FALSE)+VLOOKUP(Fellowes[[#This Row],[Código]],Projeção[#All],13,FALSE)+VLOOKUP(Fellowes[[#This Row],[Código]],Projeção[#All],12,FALSE)</f>
        <v>0</v>
      </c>
      <c r="V66" s="39">
        <f>IFERROR(VLOOKUP(Fellowes[[#This Row],[Código]],Venda_3meses[],2,FALSE),0)</f>
        <v>0</v>
      </c>
      <c r="W66" s="44" t="str">
        <f>IFERROR(Fellowes[[#This Row],[V. 3 meses]]/Fellowes[[#This Row],[Proj. de V. 3 meses]],"")</f>
        <v/>
      </c>
      <c r="X6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66" s="102">
        <f>IFERROR(VLOOKUP(Fellowes[[#This Row],[Código]],Venda_6meses[],2,FALSE),0)</f>
        <v>0</v>
      </c>
      <c r="Z66" s="45" t="str">
        <f>IFERROR(Fellowes[[#This Row],[V. 6 meses]]/Fellowes[[#This Row],[Proj. de V. 6 meses]],"")</f>
        <v/>
      </c>
      <c r="AA6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66" s="39">
        <f>IFERROR(VLOOKUP(Fellowes[[#This Row],[Código]],Venda_12meses[],2,FALSE),0)</f>
        <v>0</v>
      </c>
      <c r="AC66" s="44" t="str">
        <f>IFERROR(Fellowes[[#This Row],[V. 12 meses]]/Fellowes[[#This Row],[Proj. de V. 12 meses]],"")</f>
        <v/>
      </c>
      <c r="AD66" s="22"/>
    </row>
    <row r="67" spans="1:30" x14ac:dyDescent="0.25">
      <c r="A67" s="22" t="str">
        <f>VLOOKUP(Fellowes[[#This Row],[Código]],BD_Produto[#All],7,FALSE)</f>
        <v>Fora de linha</v>
      </c>
      <c r="B67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7" s="23">
        <v>33062062042</v>
      </c>
      <c r="D67" s="22" t="s">
        <v>1017</v>
      </c>
      <c r="E67" s="22" t="str">
        <f>VLOOKUP(Fellowes[[#This Row],[Código]],BD_Produto[],3,FALSE)</f>
        <v>Fragmentadora</v>
      </c>
      <c r="F67" s="22" t="str">
        <f>VLOOKUP(Fellowes[[#This Row],[Código]],BD_Produto[],4,FALSE)</f>
        <v>Fragmentadora</v>
      </c>
      <c r="G67" s="24"/>
      <c r="H67" s="25"/>
      <c r="I67" s="22"/>
      <c r="J67" s="24"/>
      <c r="K67" s="24" t="str">
        <f>IFERROR(VLOOKUP(Fellowes[[#This Row],[Código]],Importação!P:R,3,FALSE),"")</f>
        <v/>
      </c>
      <c r="L67" s="24">
        <f>IFERROR(VLOOKUP(Fellowes[[#This Row],[Código]],Saldo[],3,FALSE),0)</f>
        <v>0</v>
      </c>
      <c r="M67" s="24">
        <f>SUM(Fellowes[[#This Row],[Produção]:[Estoque]])</f>
        <v>0</v>
      </c>
      <c r="N67" s="24" t="str">
        <f>IFERROR(Fellowes[[#This Row],[Estoque+Importação]]/Fellowes[[#This Row],[Proj. de V. No prox. mes]],"Sem Projeção")</f>
        <v>Sem Projeção</v>
      </c>
      <c r="O67" s="24" t="str">
        <f>IF(OR(Fellowes[[#This Row],[Status]]="Em Linha",Fellowes[[#This Row],[Status]]="Componente",Fellowes[[#This Row],[Status]]="Materia Prima"),Fellowes[[#This Row],[Proj. de V. No prox. mes]]*10,"-")</f>
        <v>-</v>
      </c>
      <c r="P67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7" s="75">
        <f>VLOOKUP(Fellowes[[#This Row],[Código]],Projeção[#All],15,FALSE)</f>
        <v>0</v>
      </c>
      <c r="R67" s="39">
        <f>VLOOKUP(Fellowes[[#This Row],[Código]],Projeção[#All],14,FALSE)</f>
        <v>0</v>
      </c>
      <c r="S67" s="39">
        <f>IFERROR(VLOOKUP(Fellowes[[#This Row],[Código]],Venda_mes[],2,FALSE),0)</f>
        <v>0</v>
      </c>
      <c r="T67" s="44" t="str">
        <f>IFERROR(Fellowes[[#This Row],[V. No mes]]/Fellowes[[#This Row],[Proj. de V. No mes]],"")</f>
        <v/>
      </c>
      <c r="U67" s="43">
        <f>VLOOKUP(Fellowes[[#This Row],[Código]],Projeção[#All],14,FALSE)+VLOOKUP(Fellowes[[#This Row],[Código]],Projeção[#All],13,FALSE)+VLOOKUP(Fellowes[[#This Row],[Código]],Projeção[#All],12,FALSE)</f>
        <v>0</v>
      </c>
      <c r="V67" s="39">
        <f>IFERROR(VLOOKUP(Fellowes[[#This Row],[Código]],Venda_3meses[],2,FALSE),0)</f>
        <v>0</v>
      </c>
      <c r="W67" s="44" t="str">
        <f>IFERROR(Fellowes[[#This Row],[V. 3 meses]]/Fellowes[[#This Row],[Proj. de V. 3 meses]],"")</f>
        <v/>
      </c>
      <c r="X6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67" s="102">
        <f>IFERROR(VLOOKUP(Fellowes[[#This Row],[Código]],Venda_6meses[],2,FALSE),0)</f>
        <v>0</v>
      </c>
      <c r="Z67" s="45" t="str">
        <f>IFERROR(Fellowes[[#This Row],[V. 6 meses]]/Fellowes[[#This Row],[Proj. de V. 6 meses]],"")</f>
        <v/>
      </c>
      <c r="AA6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67" s="39">
        <f>IFERROR(VLOOKUP(Fellowes[[#This Row],[Código]],Venda_12meses[],2,FALSE),0)</f>
        <v>0</v>
      </c>
      <c r="AC67" s="44" t="str">
        <f>IFERROR(Fellowes[[#This Row],[V. 12 meses]]/Fellowes[[#This Row],[Proj. de V. 12 meses]],"")</f>
        <v/>
      </c>
      <c r="AD67" s="22"/>
    </row>
    <row r="68" spans="1:30" x14ac:dyDescent="0.25">
      <c r="A68" s="22" t="str">
        <f>VLOOKUP(Fellowes[[#This Row],[Código]],BD_Produto[#All],7,FALSE)</f>
        <v>Fora de linha</v>
      </c>
      <c r="B68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8" s="23">
        <v>33062062041</v>
      </c>
      <c r="D68" s="22" t="s">
        <v>950</v>
      </c>
      <c r="E68" s="22" t="str">
        <f>VLOOKUP(Fellowes[[#This Row],[Código]],BD_Produto[],3,FALSE)</f>
        <v>Fragmentadora</v>
      </c>
      <c r="F68" s="22" t="str">
        <f>VLOOKUP(Fellowes[[#This Row],[Código]],BD_Produto[],4,FALSE)</f>
        <v>Fragmentadora</v>
      </c>
      <c r="G68" s="24"/>
      <c r="H68" s="25"/>
      <c r="I68" s="22"/>
      <c r="J68" s="24"/>
      <c r="K68" s="24" t="str">
        <f>IFERROR(VLOOKUP(Fellowes[[#This Row],[Código]],Importação!P:R,3,FALSE),"")</f>
        <v/>
      </c>
      <c r="L68" s="24">
        <f>IFERROR(VLOOKUP(Fellowes[[#This Row],[Código]],Saldo[],3,FALSE),0)</f>
        <v>0</v>
      </c>
      <c r="M68" s="24">
        <f>SUM(Fellowes[[#This Row],[Produção]:[Estoque]])</f>
        <v>0</v>
      </c>
      <c r="N68" s="24" t="str">
        <f>IFERROR(Fellowes[[#This Row],[Estoque+Importação]]/Fellowes[[#This Row],[Proj. de V. No prox. mes]],"Sem Projeção")</f>
        <v>Sem Projeção</v>
      </c>
      <c r="O68" s="24" t="str">
        <f>IF(OR(Fellowes[[#This Row],[Status]]="Em Linha",Fellowes[[#This Row],[Status]]="Componente",Fellowes[[#This Row],[Status]]="Materia Prima"),Fellowes[[#This Row],[Proj. de V. No prox. mes]]*10,"-")</f>
        <v>-</v>
      </c>
      <c r="P68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8" s="75">
        <f>VLOOKUP(Fellowes[[#This Row],[Código]],Projeção[#All],15,FALSE)</f>
        <v>0</v>
      </c>
      <c r="R68" s="39">
        <f>VLOOKUP(Fellowes[[#This Row],[Código]],Projeção[#All],14,FALSE)</f>
        <v>0</v>
      </c>
      <c r="S68" s="39">
        <f>IFERROR(VLOOKUP(Fellowes[[#This Row],[Código]],Venda_mes[],2,FALSE),0)</f>
        <v>0</v>
      </c>
      <c r="T68" s="44" t="str">
        <f>IFERROR(Fellowes[[#This Row],[V. No mes]]/Fellowes[[#This Row],[Proj. de V. No mes]],"")</f>
        <v/>
      </c>
      <c r="U68" s="43">
        <f>VLOOKUP(Fellowes[[#This Row],[Código]],Projeção[#All],14,FALSE)+VLOOKUP(Fellowes[[#This Row],[Código]],Projeção[#All],13,FALSE)+VLOOKUP(Fellowes[[#This Row],[Código]],Projeção[#All],12,FALSE)</f>
        <v>0</v>
      </c>
      <c r="V68" s="39">
        <f>IFERROR(VLOOKUP(Fellowes[[#This Row],[Código]],Venda_3meses[],2,FALSE),0)</f>
        <v>0</v>
      </c>
      <c r="W68" s="44" t="str">
        <f>IFERROR(Fellowes[[#This Row],[V. 3 meses]]/Fellowes[[#This Row],[Proj. de V. 3 meses]],"")</f>
        <v/>
      </c>
      <c r="X6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68" s="102">
        <f>IFERROR(VLOOKUP(Fellowes[[#This Row],[Código]],Venda_6meses[],2,FALSE),0)</f>
        <v>0</v>
      </c>
      <c r="Z68" s="45" t="str">
        <f>IFERROR(Fellowes[[#This Row],[V. 6 meses]]/Fellowes[[#This Row],[Proj. de V. 6 meses]],"")</f>
        <v/>
      </c>
      <c r="AA6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10.4</v>
      </c>
      <c r="AB68" s="39">
        <f>IFERROR(VLOOKUP(Fellowes[[#This Row],[Código]],Venda_12meses[],2,FALSE),0)</f>
        <v>0</v>
      </c>
      <c r="AC68" s="44">
        <f>IFERROR(Fellowes[[#This Row],[V. 12 meses]]/Fellowes[[#This Row],[Proj. de V. 12 meses]],"")</f>
        <v>0</v>
      </c>
      <c r="AD68" s="22"/>
    </row>
    <row r="69" spans="1:30" hidden="1" x14ac:dyDescent="0.25">
      <c r="A69" s="22" t="str">
        <f>VLOOKUP(Fellowes[[#This Row],[Código]],BD_Produto[#All],7,FALSE)</f>
        <v>Não entrou em linha</v>
      </c>
      <c r="B69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69" s="23">
        <v>33062062731</v>
      </c>
      <c r="D69" s="22" t="s">
        <v>1522</v>
      </c>
      <c r="E69" s="22" t="str">
        <f>VLOOKUP(Fellowes[[#This Row],[Código]],BD_Produto[],3,FALSE)</f>
        <v>Fragmentadora</v>
      </c>
      <c r="F69" s="22" t="str">
        <f>VLOOKUP(Fellowes[[#This Row],[Código]],BD_Produto[],4,FALSE)</f>
        <v>Fragmentadora</v>
      </c>
      <c r="G69" s="24">
        <v>100</v>
      </c>
      <c r="H69" s="25"/>
      <c r="I69" s="22" t="s">
        <v>1713</v>
      </c>
      <c r="J69" s="24"/>
      <c r="K69" s="24" t="str">
        <f>IFERROR(VLOOKUP(Fellowes[[#This Row],[Código]],Importação!P:R,3,FALSE),"")</f>
        <v/>
      </c>
      <c r="L69" s="24">
        <f>IFERROR(VLOOKUP(Fellowes[[#This Row],[Código]],Saldo[],3,FALSE),0)</f>
        <v>0</v>
      </c>
      <c r="M69" s="24">
        <f>SUM(Fellowes[[#This Row],[Produção]:[Estoque]])</f>
        <v>0</v>
      </c>
      <c r="N69" s="24" t="str">
        <f>IFERROR(Fellowes[[#This Row],[Estoque+Importação]]/Fellowes[[#This Row],[Proj. de V. No prox. mes]],"Sem Projeção")</f>
        <v>Sem Projeção</v>
      </c>
      <c r="O69" s="24" t="str">
        <f>IF(OR(Fellowes[[#This Row],[Status]]="Em Linha",Fellowes[[#This Row],[Status]]="Componente",Fellowes[[#This Row],[Status]]="Materia Prima"),Fellowes[[#This Row],[Proj. de V. No prox. mes]]*10,"-")</f>
        <v>-</v>
      </c>
      <c r="P69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69" s="75">
        <f>VLOOKUP(Fellowes[[#This Row],[Código]],Projeção[#All],15,FALSE)</f>
        <v>0</v>
      </c>
      <c r="R69" s="39">
        <f>VLOOKUP(Fellowes[[#This Row],[Código]],Projeção[#All],14,FALSE)</f>
        <v>0</v>
      </c>
      <c r="S69" s="39">
        <f>IFERROR(VLOOKUP(Fellowes[[#This Row],[Código]],Venda_mes[],2,FALSE),0)</f>
        <v>0</v>
      </c>
      <c r="T69" s="44" t="str">
        <f>IFERROR(Fellowes[[#This Row],[V. No mes]]/Fellowes[[#This Row],[Proj. de V. No mes]],"")</f>
        <v/>
      </c>
      <c r="U69" s="43">
        <f>VLOOKUP(Fellowes[[#This Row],[Código]],Projeção[#All],14,FALSE)+VLOOKUP(Fellowes[[#This Row],[Código]],Projeção[#All],13,FALSE)+VLOOKUP(Fellowes[[#This Row],[Código]],Projeção[#All],12,FALSE)</f>
        <v>0</v>
      </c>
      <c r="V69" s="39">
        <f>IFERROR(VLOOKUP(Fellowes[[#This Row],[Código]],Venda_3meses[],2,FALSE),0)</f>
        <v>0</v>
      </c>
      <c r="W69" s="44" t="str">
        <f>IFERROR(Fellowes[[#This Row],[V. 3 meses]]/Fellowes[[#This Row],[Proj. de V. 3 meses]],"")</f>
        <v/>
      </c>
      <c r="X6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69" s="102">
        <f>IFERROR(VLOOKUP(Fellowes[[#This Row],[Código]],Venda_6meses[],2,FALSE),0)</f>
        <v>0</v>
      </c>
      <c r="Z69" s="45" t="str">
        <f>IFERROR(Fellowes[[#This Row],[V. 6 meses]]/Fellowes[[#This Row],[Proj. de V. 6 meses]],"")</f>
        <v/>
      </c>
      <c r="AA6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69" s="39">
        <f>IFERROR(VLOOKUP(Fellowes[[#This Row],[Código]],Venda_12meses[],2,FALSE),0)</f>
        <v>0</v>
      </c>
      <c r="AC69" s="44" t="str">
        <f>IFERROR(Fellowes[[#This Row],[V. 12 meses]]/Fellowes[[#This Row],[Proj. de V. 12 meses]],"")</f>
        <v/>
      </c>
      <c r="AD69" s="22"/>
    </row>
    <row r="70" spans="1:30" hidden="1" x14ac:dyDescent="0.25">
      <c r="A70" s="22" t="str">
        <f>VLOOKUP(Fellowes[[#This Row],[Código]],BD_Produto[#All],7,FALSE)</f>
        <v>Não entrou em linha</v>
      </c>
      <c r="B70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0" s="23">
        <v>33062062732</v>
      </c>
      <c r="D70" s="22" t="s">
        <v>1523</v>
      </c>
      <c r="E70" s="22" t="str">
        <f>VLOOKUP(Fellowes[[#This Row],[Código]],BD_Produto[],3,FALSE)</f>
        <v>Fragmentadora</v>
      </c>
      <c r="F70" s="22" t="str">
        <f>VLOOKUP(Fellowes[[#This Row],[Código]],BD_Produto[],4,FALSE)</f>
        <v>Fragmentadora</v>
      </c>
      <c r="G70" s="24">
        <v>100</v>
      </c>
      <c r="H70" s="25"/>
      <c r="I70" s="22" t="s">
        <v>1713</v>
      </c>
      <c r="J70" s="24"/>
      <c r="K70" s="24" t="str">
        <f>IFERROR(VLOOKUP(Fellowes[[#This Row],[Código]],Importação!P:R,3,FALSE),"")</f>
        <v/>
      </c>
      <c r="L70" s="24">
        <f>IFERROR(VLOOKUP(Fellowes[[#This Row],[Código]],Saldo[],3,FALSE),0)</f>
        <v>0</v>
      </c>
      <c r="M70" s="24">
        <f>SUM(Fellowes[[#This Row],[Produção]:[Estoque]])</f>
        <v>0</v>
      </c>
      <c r="N70" s="24" t="str">
        <f>IFERROR(Fellowes[[#This Row],[Estoque+Importação]]/Fellowes[[#This Row],[Proj. de V. No prox. mes]],"Sem Projeção")</f>
        <v>Sem Projeção</v>
      </c>
      <c r="O70" s="24" t="str">
        <f>IF(OR(Fellowes[[#This Row],[Status]]="Em Linha",Fellowes[[#This Row],[Status]]="Componente",Fellowes[[#This Row],[Status]]="Materia Prima"),Fellowes[[#This Row],[Proj. de V. No prox. mes]]*10,"-")</f>
        <v>-</v>
      </c>
      <c r="P70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0" s="75">
        <f>VLOOKUP(Fellowes[[#This Row],[Código]],Projeção[#All],15,FALSE)</f>
        <v>0</v>
      </c>
      <c r="R70" s="39">
        <f>VLOOKUP(Fellowes[[#This Row],[Código]],Projeção[#All],14,FALSE)</f>
        <v>0</v>
      </c>
      <c r="S70" s="39">
        <f>IFERROR(VLOOKUP(Fellowes[[#This Row],[Código]],Venda_mes[],2,FALSE),0)</f>
        <v>0</v>
      </c>
      <c r="T70" s="44" t="str">
        <f>IFERROR(Fellowes[[#This Row],[V. No mes]]/Fellowes[[#This Row],[Proj. de V. No mes]],"")</f>
        <v/>
      </c>
      <c r="U70" s="43">
        <f>VLOOKUP(Fellowes[[#This Row],[Código]],Projeção[#All],14,FALSE)+VLOOKUP(Fellowes[[#This Row],[Código]],Projeção[#All],13,FALSE)+VLOOKUP(Fellowes[[#This Row],[Código]],Projeção[#All],12,FALSE)</f>
        <v>0</v>
      </c>
      <c r="V70" s="39">
        <f>IFERROR(VLOOKUP(Fellowes[[#This Row],[Código]],Venda_3meses[],2,FALSE),0)</f>
        <v>0</v>
      </c>
      <c r="W70" s="44" t="str">
        <f>IFERROR(Fellowes[[#This Row],[V. 3 meses]]/Fellowes[[#This Row],[Proj. de V. 3 meses]],"")</f>
        <v/>
      </c>
      <c r="X7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0" s="102">
        <f>IFERROR(VLOOKUP(Fellowes[[#This Row],[Código]],Venda_6meses[],2,FALSE),0)</f>
        <v>0</v>
      </c>
      <c r="Z70" s="45" t="str">
        <f>IFERROR(Fellowes[[#This Row],[V. 6 meses]]/Fellowes[[#This Row],[Proj. de V. 6 meses]],"")</f>
        <v/>
      </c>
      <c r="AA7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0" s="39">
        <f>IFERROR(VLOOKUP(Fellowes[[#This Row],[Código]],Venda_12meses[],2,FALSE),0)</f>
        <v>0</v>
      </c>
      <c r="AC70" s="44" t="str">
        <f>IFERROR(Fellowes[[#This Row],[V. 12 meses]]/Fellowes[[#This Row],[Proj. de V. 12 meses]],"")</f>
        <v/>
      </c>
      <c r="AD70" s="22"/>
    </row>
    <row r="71" spans="1:30" hidden="1" x14ac:dyDescent="0.25">
      <c r="A71" s="22" t="str">
        <f>VLOOKUP(Fellowes[[#This Row],[Código]],BD_Produto[#All],7,FALSE)</f>
        <v>Não entrou em linha</v>
      </c>
      <c r="B71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1" s="23">
        <v>33062062733</v>
      </c>
      <c r="D71" s="22" t="s">
        <v>1524</v>
      </c>
      <c r="E71" s="22" t="str">
        <f>VLOOKUP(Fellowes[[#This Row],[Código]],BD_Produto[],3,FALSE)</f>
        <v>Fragmentadora</v>
      </c>
      <c r="F71" s="22" t="str">
        <f>VLOOKUP(Fellowes[[#This Row],[Código]],BD_Produto[],4,FALSE)</f>
        <v>Fragmentadora</v>
      </c>
      <c r="G71" s="24">
        <v>100</v>
      </c>
      <c r="H71" s="25"/>
      <c r="I71" s="22" t="s">
        <v>1713</v>
      </c>
      <c r="J71" s="24"/>
      <c r="K71" s="24" t="str">
        <f>IFERROR(VLOOKUP(Fellowes[[#This Row],[Código]],Importação!P:R,3,FALSE),"")</f>
        <v/>
      </c>
      <c r="L71" s="24">
        <f>IFERROR(VLOOKUP(Fellowes[[#This Row],[Código]],Saldo[],3,FALSE),0)</f>
        <v>0</v>
      </c>
      <c r="M71" s="24">
        <f>SUM(Fellowes[[#This Row],[Produção]:[Estoque]])</f>
        <v>0</v>
      </c>
      <c r="N71" s="24" t="str">
        <f>IFERROR(Fellowes[[#This Row],[Estoque+Importação]]/Fellowes[[#This Row],[Proj. de V. No prox. mes]],"Sem Projeção")</f>
        <v>Sem Projeção</v>
      </c>
      <c r="O71" s="24" t="str">
        <f>IF(OR(Fellowes[[#This Row],[Status]]="Em Linha",Fellowes[[#This Row],[Status]]="Componente",Fellowes[[#This Row],[Status]]="Materia Prima"),Fellowes[[#This Row],[Proj. de V. No prox. mes]]*10,"-")</f>
        <v>-</v>
      </c>
      <c r="P71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1" s="75">
        <f>VLOOKUP(Fellowes[[#This Row],[Código]],Projeção[#All],15,FALSE)</f>
        <v>0</v>
      </c>
      <c r="R71" s="39">
        <f>VLOOKUP(Fellowes[[#This Row],[Código]],Projeção[#All],14,FALSE)</f>
        <v>0</v>
      </c>
      <c r="S71" s="39">
        <f>IFERROR(VLOOKUP(Fellowes[[#This Row],[Código]],Venda_mes[],2,FALSE),0)</f>
        <v>0</v>
      </c>
      <c r="T71" s="44" t="str">
        <f>IFERROR(Fellowes[[#This Row],[V. No mes]]/Fellowes[[#This Row],[Proj. de V. No mes]],"")</f>
        <v/>
      </c>
      <c r="U71" s="43">
        <f>VLOOKUP(Fellowes[[#This Row],[Código]],Projeção[#All],14,FALSE)+VLOOKUP(Fellowes[[#This Row],[Código]],Projeção[#All],13,FALSE)+VLOOKUP(Fellowes[[#This Row],[Código]],Projeção[#All],12,FALSE)</f>
        <v>0</v>
      </c>
      <c r="V71" s="39">
        <f>IFERROR(VLOOKUP(Fellowes[[#This Row],[Código]],Venda_3meses[],2,FALSE),0)</f>
        <v>0</v>
      </c>
      <c r="W71" s="44" t="str">
        <f>IFERROR(Fellowes[[#This Row],[V. 3 meses]]/Fellowes[[#This Row],[Proj. de V. 3 meses]],"")</f>
        <v/>
      </c>
      <c r="X71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1" s="102">
        <f>IFERROR(VLOOKUP(Fellowes[[#This Row],[Código]],Venda_6meses[],2,FALSE),0)</f>
        <v>0</v>
      </c>
      <c r="Z71" s="45" t="str">
        <f>IFERROR(Fellowes[[#This Row],[V. 6 meses]]/Fellowes[[#This Row],[Proj. de V. 6 meses]],"")</f>
        <v/>
      </c>
      <c r="AA71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1" s="39">
        <f>IFERROR(VLOOKUP(Fellowes[[#This Row],[Código]],Venda_12meses[],2,FALSE),0)</f>
        <v>0</v>
      </c>
      <c r="AC71" s="44" t="str">
        <f>IFERROR(Fellowes[[#This Row],[V. 12 meses]]/Fellowes[[#This Row],[Proj. de V. 12 meses]],"")</f>
        <v/>
      </c>
      <c r="AD71" s="22"/>
    </row>
    <row r="72" spans="1:30" hidden="1" x14ac:dyDescent="0.25">
      <c r="A72" s="22" t="str">
        <f>VLOOKUP(Fellowes[[#This Row],[Código]],BD_Produto[#All],7,FALSE)</f>
        <v>Não entrou em linha</v>
      </c>
      <c r="B72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2" s="23">
        <v>33062062739</v>
      </c>
      <c r="D72" s="22" t="s">
        <v>1525</v>
      </c>
      <c r="E72" s="22" t="str">
        <f>VLOOKUP(Fellowes[[#This Row],[Código]],BD_Produto[],3,FALSE)</f>
        <v>Fragmentadora</v>
      </c>
      <c r="F72" s="22" t="str">
        <f>VLOOKUP(Fellowes[[#This Row],[Código]],BD_Produto[],4,FALSE)</f>
        <v>Fragmentadora</v>
      </c>
      <c r="G72" s="24">
        <v>300</v>
      </c>
      <c r="H72" s="25">
        <v>88.41</v>
      </c>
      <c r="I72" s="22" t="s">
        <v>1713</v>
      </c>
      <c r="J72" s="24"/>
      <c r="K72" s="24" t="str">
        <f>IFERROR(VLOOKUP(Fellowes[[#This Row],[Código]],Importação!P:R,3,FALSE),"")</f>
        <v/>
      </c>
      <c r="L72" s="24">
        <f>IFERROR(VLOOKUP(Fellowes[[#This Row],[Código]],Saldo[],3,FALSE),0)</f>
        <v>0</v>
      </c>
      <c r="M72" s="24">
        <f>SUM(Fellowes[[#This Row],[Produção]:[Estoque]])</f>
        <v>0</v>
      </c>
      <c r="N72" s="24" t="str">
        <f>IFERROR(Fellowes[[#This Row],[Estoque+Importação]]/Fellowes[[#This Row],[Proj. de V. No prox. mes]],"Sem Projeção")</f>
        <v>Sem Projeção</v>
      </c>
      <c r="O72" s="24" t="str">
        <f>IF(OR(Fellowes[[#This Row],[Status]]="Em Linha",Fellowes[[#This Row],[Status]]="Componente",Fellowes[[#This Row],[Status]]="Materia Prima"),Fellowes[[#This Row],[Proj. de V. No prox. mes]]*10,"-")</f>
        <v>-</v>
      </c>
      <c r="P72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2" s="75">
        <f>VLOOKUP(Fellowes[[#This Row],[Código]],Projeção[#All],15,FALSE)</f>
        <v>0</v>
      </c>
      <c r="R72" s="39">
        <f>VLOOKUP(Fellowes[[#This Row],[Código]],Projeção[#All],14,FALSE)</f>
        <v>0</v>
      </c>
      <c r="S72" s="39">
        <f>IFERROR(VLOOKUP(Fellowes[[#This Row],[Código]],Venda_mes[],2,FALSE),0)</f>
        <v>0</v>
      </c>
      <c r="T72" s="44" t="str">
        <f>IFERROR(Fellowes[[#This Row],[V. No mes]]/Fellowes[[#This Row],[Proj. de V. No mes]],"")</f>
        <v/>
      </c>
      <c r="U72" s="43">
        <f>VLOOKUP(Fellowes[[#This Row],[Código]],Projeção[#All],14,FALSE)+VLOOKUP(Fellowes[[#This Row],[Código]],Projeção[#All],13,FALSE)+VLOOKUP(Fellowes[[#This Row],[Código]],Projeção[#All],12,FALSE)</f>
        <v>0</v>
      </c>
      <c r="V72" s="39">
        <f>IFERROR(VLOOKUP(Fellowes[[#This Row],[Código]],Venda_3meses[],2,FALSE),0)</f>
        <v>0</v>
      </c>
      <c r="W72" s="44" t="str">
        <f>IFERROR(Fellowes[[#This Row],[V. 3 meses]]/Fellowes[[#This Row],[Proj. de V. 3 meses]],"")</f>
        <v/>
      </c>
      <c r="X72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2" s="102">
        <f>IFERROR(VLOOKUP(Fellowes[[#This Row],[Código]],Venda_6meses[],2,FALSE),0)</f>
        <v>0</v>
      </c>
      <c r="Z72" s="45" t="str">
        <f>IFERROR(Fellowes[[#This Row],[V. 6 meses]]/Fellowes[[#This Row],[Proj. de V. 6 meses]],"")</f>
        <v/>
      </c>
      <c r="AA72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2" s="39">
        <f>IFERROR(VLOOKUP(Fellowes[[#This Row],[Código]],Venda_12meses[],2,FALSE),0)</f>
        <v>0</v>
      </c>
      <c r="AC72" s="44" t="str">
        <f>IFERROR(Fellowes[[#This Row],[V. 12 meses]]/Fellowes[[#This Row],[Proj. de V. 12 meses]],"")</f>
        <v/>
      </c>
      <c r="AD72" s="22" t="s">
        <v>1715</v>
      </c>
    </row>
    <row r="73" spans="1:30" hidden="1" x14ac:dyDescent="0.25">
      <c r="A73" s="22" t="str">
        <f>VLOOKUP(Fellowes[[#This Row],[Código]],BD_Produto[#All],7,FALSE)</f>
        <v>Não entrou em linha</v>
      </c>
      <c r="B73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3" s="23">
        <v>33062063027</v>
      </c>
      <c r="D73" s="22" t="s">
        <v>1526</v>
      </c>
      <c r="E73" s="22" t="str">
        <f>VLOOKUP(Fellowes[[#This Row],[Código]],BD_Produto[],3,FALSE)</f>
        <v>Fragmentadora</v>
      </c>
      <c r="F73" s="22" t="str">
        <f>VLOOKUP(Fellowes[[#This Row],[Código]],BD_Produto[],4,FALSE)</f>
        <v>Fragmentadora</v>
      </c>
      <c r="G73" s="24">
        <v>100</v>
      </c>
      <c r="H73" s="25"/>
      <c r="I73" s="22" t="s">
        <v>1710</v>
      </c>
      <c r="J73" s="24"/>
      <c r="K73" s="24" t="str">
        <f>IFERROR(VLOOKUP(Fellowes[[#This Row],[Código]],Importação!P:R,3,FALSE),"")</f>
        <v/>
      </c>
      <c r="L73" s="24">
        <f>IFERROR(VLOOKUP(Fellowes[[#This Row],[Código]],Saldo[],3,FALSE),0)</f>
        <v>0</v>
      </c>
      <c r="M73" s="24">
        <f>SUM(Fellowes[[#This Row],[Produção]:[Estoque]])</f>
        <v>0</v>
      </c>
      <c r="N73" s="24" t="str">
        <f>IFERROR(Fellowes[[#This Row],[Estoque+Importação]]/Fellowes[[#This Row],[Proj. de V. No prox. mes]],"Sem Projeção")</f>
        <v>Sem Projeção</v>
      </c>
      <c r="O73" s="24" t="str">
        <f>IF(OR(Fellowes[[#This Row],[Status]]="Em Linha",Fellowes[[#This Row],[Status]]="Componente",Fellowes[[#This Row],[Status]]="Materia Prima"),Fellowes[[#This Row],[Proj. de V. No prox. mes]]*10,"-")</f>
        <v>-</v>
      </c>
      <c r="P73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3" s="75">
        <f>VLOOKUP(Fellowes[[#This Row],[Código]],Projeção[#All],15,FALSE)</f>
        <v>0</v>
      </c>
      <c r="R73" s="39">
        <f>VLOOKUP(Fellowes[[#This Row],[Código]],Projeção[#All],14,FALSE)</f>
        <v>0</v>
      </c>
      <c r="S73" s="39">
        <f>IFERROR(VLOOKUP(Fellowes[[#This Row],[Código]],Venda_mes[],2,FALSE),0)</f>
        <v>0</v>
      </c>
      <c r="T73" s="44" t="str">
        <f>IFERROR(Fellowes[[#This Row],[V. No mes]]/Fellowes[[#This Row],[Proj. de V. No mes]],"")</f>
        <v/>
      </c>
      <c r="U73" s="43">
        <f>VLOOKUP(Fellowes[[#This Row],[Código]],Projeção[#All],14,FALSE)+VLOOKUP(Fellowes[[#This Row],[Código]],Projeção[#All],13,FALSE)+VLOOKUP(Fellowes[[#This Row],[Código]],Projeção[#All],12,FALSE)</f>
        <v>0</v>
      </c>
      <c r="V73" s="39">
        <f>IFERROR(VLOOKUP(Fellowes[[#This Row],[Código]],Venda_3meses[],2,FALSE),0)</f>
        <v>0</v>
      </c>
      <c r="W73" s="44" t="str">
        <f>IFERROR(Fellowes[[#This Row],[V. 3 meses]]/Fellowes[[#This Row],[Proj. de V. 3 meses]],"")</f>
        <v/>
      </c>
      <c r="X73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3" s="102">
        <f>IFERROR(VLOOKUP(Fellowes[[#This Row],[Código]],Venda_6meses[],2,FALSE),0)</f>
        <v>0</v>
      </c>
      <c r="Z73" s="45" t="str">
        <f>IFERROR(Fellowes[[#This Row],[V. 6 meses]]/Fellowes[[#This Row],[Proj. de V. 6 meses]],"")</f>
        <v/>
      </c>
      <c r="AA73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3" s="39">
        <f>IFERROR(VLOOKUP(Fellowes[[#This Row],[Código]],Venda_12meses[],2,FALSE),0)</f>
        <v>0</v>
      </c>
      <c r="AC73" s="44" t="str">
        <f>IFERROR(Fellowes[[#This Row],[V. 12 meses]]/Fellowes[[#This Row],[Proj. de V. 12 meses]],"")</f>
        <v/>
      </c>
      <c r="AD73" s="22"/>
    </row>
    <row r="74" spans="1:30" hidden="1" x14ac:dyDescent="0.25">
      <c r="A74" s="22" t="str">
        <f>VLOOKUP(Fellowes[[#This Row],[Código]],BD_Produto[#All],7,FALSE)</f>
        <v>Não entrou em linha</v>
      </c>
      <c r="B74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4" s="23">
        <v>33062062734</v>
      </c>
      <c r="D74" s="22" t="s">
        <v>1527</v>
      </c>
      <c r="E74" s="22" t="str">
        <f>VLOOKUP(Fellowes[[#This Row],[Código]],BD_Produto[],3,FALSE)</f>
        <v>Fragmentadora</v>
      </c>
      <c r="F74" s="22" t="str">
        <f>VLOOKUP(Fellowes[[#This Row],[Código]],BD_Produto[],4,FALSE)</f>
        <v>Fragmentadora</v>
      </c>
      <c r="G74" s="24">
        <v>50</v>
      </c>
      <c r="H74" s="25"/>
      <c r="I74" s="22" t="s">
        <v>1713</v>
      </c>
      <c r="J74" s="24"/>
      <c r="K74" s="24" t="str">
        <f>IFERROR(VLOOKUP(Fellowes[[#This Row],[Código]],Importação!P:R,3,FALSE),"")</f>
        <v/>
      </c>
      <c r="L74" s="24">
        <f>IFERROR(VLOOKUP(Fellowes[[#This Row],[Código]],Saldo[],3,FALSE),0)</f>
        <v>0</v>
      </c>
      <c r="M74" s="24">
        <f>SUM(Fellowes[[#This Row],[Produção]:[Estoque]])</f>
        <v>0</v>
      </c>
      <c r="N74" s="24" t="str">
        <f>IFERROR(Fellowes[[#This Row],[Estoque+Importação]]/Fellowes[[#This Row],[Proj. de V. No prox. mes]],"Sem Projeção")</f>
        <v>Sem Projeção</v>
      </c>
      <c r="O74" s="24" t="str">
        <f>IF(OR(Fellowes[[#This Row],[Status]]="Em Linha",Fellowes[[#This Row],[Status]]="Componente",Fellowes[[#This Row],[Status]]="Materia Prima"),Fellowes[[#This Row],[Proj. de V. No prox. mes]]*10,"-")</f>
        <v>-</v>
      </c>
      <c r="P74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4" s="75">
        <f>VLOOKUP(Fellowes[[#This Row],[Código]],Projeção[#All],15,FALSE)</f>
        <v>0</v>
      </c>
      <c r="R74" s="39">
        <f>VLOOKUP(Fellowes[[#This Row],[Código]],Projeção[#All],14,FALSE)</f>
        <v>0</v>
      </c>
      <c r="S74" s="39">
        <f>IFERROR(VLOOKUP(Fellowes[[#This Row],[Código]],Venda_mes[],2,FALSE),0)</f>
        <v>0</v>
      </c>
      <c r="T74" s="44" t="str">
        <f>IFERROR(Fellowes[[#This Row],[V. No mes]]/Fellowes[[#This Row],[Proj. de V. No mes]],"")</f>
        <v/>
      </c>
      <c r="U74" s="43">
        <f>VLOOKUP(Fellowes[[#This Row],[Código]],Projeção[#All],14,FALSE)+VLOOKUP(Fellowes[[#This Row],[Código]],Projeção[#All],13,FALSE)+VLOOKUP(Fellowes[[#This Row],[Código]],Projeção[#All],12,FALSE)</f>
        <v>0</v>
      </c>
      <c r="V74" s="39">
        <f>IFERROR(VLOOKUP(Fellowes[[#This Row],[Código]],Venda_3meses[],2,FALSE),0)</f>
        <v>0</v>
      </c>
      <c r="W74" s="44" t="str">
        <f>IFERROR(Fellowes[[#This Row],[V. 3 meses]]/Fellowes[[#This Row],[Proj. de V. 3 meses]],"")</f>
        <v/>
      </c>
      <c r="X74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4" s="102">
        <f>IFERROR(VLOOKUP(Fellowes[[#This Row],[Código]],Venda_6meses[],2,FALSE),0)</f>
        <v>0</v>
      </c>
      <c r="Z74" s="45" t="str">
        <f>IFERROR(Fellowes[[#This Row],[V. 6 meses]]/Fellowes[[#This Row],[Proj. de V. 6 meses]],"")</f>
        <v/>
      </c>
      <c r="AA74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4" s="39">
        <f>IFERROR(VLOOKUP(Fellowes[[#This Row],[Código]],Venda_12meses[],2,FALSE),0)</f>
        <v>0</v>
      </c>
      <c r="AC74" s="44" t="str">
        <f>IFERROR(Fellowes[[#This Row],[V. 12 meses]]/Fellowes[[#This Row],[Proj. de V. 12 meses]],"")</f>
        <v/>
      </c>
      <c r="AD74" s="22"/>
    </row>
    <row r="75" spans="1:30" hidden="1" x14ac:dyDescent="0.25">
      <c r="A75" s="22" t="str">
        <f>VLOOKUP(Fellowes[[#This Row],[Código]],BD_Produto[#All],7,FALSE)</f>
        <v>Não entrou em linha</v>
      </c>
      <c r="B75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5" s="23">
        <v>33062064069</v>
      </c>
      <c r="D75" s="22" t="s">
        <v>1528</v>
      </c>
      <c r="E75" s="22" t="str">
        <f>VLOOKUP(Fellowes[[#This Row],[Código]],BD_Produto[],3,FALSE)</f>
        <v>Fragmentadora</v>
      </c>
      <c r="F75" s="22" t="str">
        <f>VLOOKUP(Fellowes[[#This Row],[Código]],BD_Produto[],4,FALSE)</f>
        <v>Fragmentadora</v>
      </c>
      <c r="G75" s="24"/>
      <c r="H75" s="25"/>
      <c r="I75" s="22"/>
      <c r="J75" s="24"/>
      <c r="K75" s="24" t="str">
        <f>IFERROR(VLOOKUP(Fellowes[[#This Row],[Código]],Importação!P:R,3,FALSE),"")</f>
        <v/>
      </c>
      <c r="L75" s="24">
        <f>IFERROR(VLOOKUP(Fellowes[[#This Row],[Código]],Saldo[],3,FALSE),0)</f>
        <v>0</v>
      </c>
      <c r="M75" s="24">
        <f>SUM(Fellowes[[#This Row],[Produção]:[Estoque]])</f>
        <v>0</v>
      </c>
      <c r="N75" s="24" t="str">
        <f>IFERROR(Fellowes[[#This Row],[Estoque+Importação]]/Fellowes[[#This Row],[Proj. de V. No prox. mes]],"Sem Projeção")</f>
        <v>Sem Projeção</v>
      </c>
      <c r="O75" s="24" t="str">
        <f>IF(OR(Fellowes[[#This Row],[Status]]="Em Linha",Fellowes[[#This Row],[Status]]="Componente",Fellowes[[#This Row],[Status]]="Materia Prima"),Fellowes[[#This Row],[Proj. de V. No prox. mes]]*10,"-")</f>
        <v>-</v>
      </c>
      <c r="P75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5" s="75">
        <f>VLOOKUP(Fellowes[[#This Row],[Código]],Projeção[#All],15,FALSE)</f>
        <v>0</v>
      </c>
      <c r="R75" s="39">
        <f>VLOOKUP(Fellowes[[#This Row],[Código]],Projeção[#All],14,FALSE)</f>
        <v>0</v>
      </c>
      <c r="S75" s="39">
        <f>IFERROR(VLOOKUP(Fellowes[[#This Row],[Código]],Venda_mes[],2,FALSE),0)</f>
        <v>0</v>
      </c>
      <c r="T75" s="44" t="str">
        <f>IFERROR(Fellowes[[#This Row],[V. No mes]]/Fellowes[[#This Row],[Proj. de V. No mes]],"")</f>
        <v/>
      </c>
      <c r="U75" s="43">
        <f>VLOOKUP(Fellowes[[#This Row],[Código]],Projeção[#All],14,FALSE)+VLOOKUP(Fellowes[[#This Row],[Código]],Projeção[#All],13,FALSE)+VLOOKUP(Fellowes[[#This Row],[Código]],Projeção[#All],12,FALSE)</f>
        <v>0</v>
      </c>
      <c r="V75" s="39">
        <f>IFERROR(VLOOKUP(Fellowes[[#This Row],[Código]],Venda_3meses[],2,FALSE),0)</f>
        <v>0</v>
      </c>
      <c r="W75" s="44" t="str">
        <f>IFERROR(Fellowes[[#This Row],[V. 3 meses]]/Fellowes[[#This Row],[Proj. de V. 3 meses]],"")</f>
        <v/>
      </c>
      <c r="X75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5" s="102">
        <f>IFERROR(VLOOKUP(Fellowes[[#This Row],[Código]],Venda_6meses[],2,FALSE),0)</f>
        <v>0</v>
      </c>
      <c r="Z75" s="45" t="str">
        <f>IFERROR(Fellowes[[#This Row],[V. 6 meses]]/Fellowes[[#This Row],[Proj. de V. 6 meses]],"")</f>
        <v/>
      </c>
      <c r="AA75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5" s="39">
        <f>IFERROR(VLOOKUP(Fellowes[[#This Row],[Código]],Venda_12meses[],2,FALSE),0)</f>
        <v>0</v>
      </c>
      <c r="AC75" s="44" t="str">
        <f>IFERROR(Fellowes[[#This Row],[V. 12 meses]]/Fellowes[[#This Row],[Proj. de V. 12 meses]],"")</f>
        <v/>
      </c>
      <c r="AD75" s="22"/>
    </row>
    <row r="76" spans="1:30" hidden="1" x14ac:dyDescent="0.25">
      <c r="A76" s="22" t="str">
        <f>VLOOKUP(Fellowes[[#This Row],[Código]],BD_Produto[#All],7,FALSE)</f>
        <v>Não entrou em linha</v>
      </c>
      <c r="B76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6" s="23">
        <v>33062063031</v>
      </c>
      <c r="D76" s="22" t="s">
        <v>1529</v>
      </c>
      <c r="E76" s="22" t="str">
        <f>VLOOKUP(Fellowes[[#This Row],[Código]],BD_Produto[],3,FALSE)</f>
        <v>Fragmentadora</v>
      </c>
      <c r="F76" s="22" t="str">
        <f>VLOOKUP(Fellowes[[#This Row],[Código]],BD_Produto[],4,FALSE)</f>
        <v>Fragmentadora</v>
      </c>
      <c r="G76" s="24"/>
      <c r="H76" s="25"/>
      <c r="I76" s="22"/>
      <c r="J76" s="24"/>
      <c r="K76" s="24" t="str">
        <f>IFERROR(VLOOKUP(Fellowes[[#This Row],[Código]],Importação!P:R,3,FALSE),"")</f>
        <v/>
      </c>
      <c r="L76" s="24">
        <f>IFERROR(VLOOKUP(Fellowes[[#This Row],[Código]],Saldo[],3,FALSE),0)</f>
        <v>0</v>
      </c>
      <c r="M76" s="24">
        <f>SUM(Fellowes[[#This Row],[Produção]:[Estoque]])</f>
        <v>0</v>
      </c>
      <c r="N76" s="24" t="str">
        <f>IFERROR(Fellowes[[#This Row],[Estoque+Importação]]/Fellowes[[#This Row],[Proj. de V. No prox. mes]],"Sem Projeção")</f>
        <v>Sem Projeção</v>
      </c>
      <c r="O76" s="24" t="str">
        <f>IF(OR(Fellowes[[#This Row],[Status]]="Em Linha",Fellowes[[#This Row],[Status]]="Componente",Fellowes[[#This Row],[Status]]="Materia Prima"),Fellowes[[#This Row],[Proj. de V. No prox. mes]]*10,"-")</f>
        <v>-</v>
      </c>
      <c r="P76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6" s="75">
        <f>VLOOKUP(Fellowes[[#This Row],[Código]],Projeção[#All],15,FALSE)</f>
        <v>0</v>
      </c>
      <c r="R76" s="39">
        <f>VLOOKUP(Fellowes[[#This Row],[Código]],Projeção[#All],14,FALSE)</f>
        <v>0</v>
      </c>
      <c r="S76" s="39">
        <f>IFERROR(VLOOKUP(Fellowes[[#This Row],[Código]],Venda_mes[],2,FALSE),0)</f>
        <v>0</v>
      </c>
      <c r="T76" s="44" t="str">
        <f>IFERROR(Fellowes[[#This Row],[V. No mes]]/Fellowes[[#This Row],[Proj. de V. No mes]],"")</f>
        <v/>
      </c>
      <c r="U76" s="43">
        <f>VLOOKUP(Fellowes[[#This Row],[Código]],Projeção[#All],14,FALSE)+VLOOKUP(Fellowes[[#This Row],[Código]],Projeção[#All],13,FALSE)+VLOOKUP(Fellowes[[#This Row],[Código]],Projeção[#All],12,FALSE)</f>
        <v>0</v>
      </c>
      <c r="V76" s="39">
        <f>IFERROR(VLOOKUP(Fellowes[[#This Row],[Código]],Venda_3meses[],2,FALSE),0)</f>
        <v>0</v>
      </c>
      <c r="W76" s="44" t="str">
        <f>IFERROR(Fellowes[[#This Row],[V. 3 meses]]/Fellowes[[#This Row],[Proj. de V. 3 meses]],"")</f>
        <v/>
      </c>
      <c r="X76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6" s="102">
        <f>IFERROR(VLOOKUP(Fellowes[[#This Row],[Código]],Venda_6meses[],2,FALSE),0)</f>
        <v>0</v>
      </c>
      <c r="Z76" s="45" t="str">
        <f>IFERROR(Fellowes[[#This Row],[V. 6 meses]]/Fellowes[[#This Row],[Proj. de V. 6 meses]],"")</f>
        <v/>
      </c>
      <c r="AA76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6" s="39">
        <f>IFERROR(VLOOKUP(Fellowes[[#This Row],[Código]],Venda_12meses[],2,FALSE),0)</f>
        <v>0</v>
      </c>
      <c r="AC76" s="44" t="str">
        <f>IFERROR(Fellowes[[#This Row],[V. 12 meses]]/Fellowes[[#This Row],[Proj. de V. 12 meses]],"")</f>
        <v/>
      </c>
      <c r="AD76" s="22"/>
    </row>
    <row r="77" spans="1:30" hidden="1" x14ac:dyDescent="0.25">
      <c r="A77" s="22" t="str">
        <f>VLOOKUP(Fellowes[[#This Row],[Código]],BD_Produto[#All],7,FALSE)</f>
        <v>Não entrou em linha</v>
      </c>
      <c r="B77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7" s="23">
        <v>33062063154</v>
      </c>
      <c r="D77" s="22" t="s">
        <v>1530</v>
      </c>
      <c r="E77" s="22" t="str">
        <f>VLOOKUP(Fellowes[[#This Row],[Código]],BD_Produto[],3,FALSE)</f>
        <v>Fragmentadora</v>
      </c>
      <c r="F77" s="22" t="str">
        <f>VLOOKUP(Fellowes[[#This Row],[Código]],BD_Produto[],4,FALSE)</f>
        <v>Fragmentadora</v>
      </c>
      <c r="G77" s="24"/>
      <c r="H77" s="25"/>
      <c r="I77" s="22"/>
      <c r="J77" s="24"/>
      <c r="K77" s="24" t="str">
        <f>IFERROR(VLOOKUP(Fellowes[[#This Row],[Código]],Importação!P:R,3,FALSE),"")</f>
        <v/>
      </c>
      <c r="L77" s="24">
        <f>IFERROR(VLOOKUP(Fellowes[[#This Row],[Código]],Saldo[],3,FALSE),0)</f>
        <v>0</v>
      </c>
      <c r="M77" s="24">
        <f>SUM(Fellowes[[#This Row],[Produção]:[Estoque]])</f>
        <v>0</v>
      </c>
      <c r="N77" s="24" t="str">
        <f>IFERROR(Fellowes[[#This Row],[Estoque+Importação]]/Fellowes[[#This Row],[Proj. de V. No prox. mes]],"Sem Projeção")</f>
        <v>Sem Projeção</v>
      </c>
      <c r="O77" s="24" t="str">
        <f>IF(OR(Fellowes[[#This Row],[Status]]="Em Linha",Fellowes[[#This Row],[Status]]="Componente",Fellowes[[#This Row],[Status]]="Materia Prima"),Fellowes[[#This Row],[Proj. de V. No prox. mes]]*10,"-")</f>
        <v>-</v>
      </c>
      <c r="P77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7" s="75">
        <f>VLOOKUP(Fellowes[[#This Row],[Código]],Projeção[#All],15,FALSE)</f>
        <v>0</v>
      </c>
      <c r="R77" s="39">
        <f>VLOOKUP(Fellowes[[#This Row],[Código]],Projeção[#All],14,FALSE)</f>
        <v>0</v>
      </c>
      <c r="S77" s="39">
        <f>IFERROR(VLOOKUP(Fellowes[[#This Row],[Código]],Venda_mes[],2,FALSE),0)</f>
        <v>0</v>
      </c>
      <c r="T77" s="44" t="str">
        <f>IFERROR(Fellowes[[#This Row],[V. No mes]]/Fellowes[[#This Row],[Proj. de V. No mes]],"")</f>
        <v/>
      </c>
      <c r="U77" s="43">
        <f>VLOOKUP(Fellowes[[#This Row],[Código]],Projeção[#All],14,FALSE)+VLOOKUP(Fellowes[[#This Row],[Código]],Projeção[#All],13,FALSE)+VLOOKUP(Fellowes[[#This Row],[Código]],Projeção[#All],12,FALSE)</f>
        <v>0</v>
      </c>
      <c r="V77" s="39">
        <f>IFERROR(VLOOKUP(Fellowes[[#This Row],[Código]],Venda_3meses[],2,FALSE),0)</f>
        <v>0</v>
      </c>
      <c r="W77" s="44" t="str">
        <f>IFERROR(Fellowes[[#This Row],[V. 3 meses]]/Fellowes[[#This Row],[Proj. de V. 3 meses]],"")</f>
        <v/>
      </c>
      <c r="X77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7" s="102">
        <f>IFERROR(VLOOKUP(Fellowes[[#This Row],[Código]],Venda_6meses[],2,FALSE),0)</f>
        <v>0</v>
      </c>
      <c r="Z77" s="45" t="str">
        <f>IFERROR(Fellowes[[#This Row],[V. 6 meses]]/Fellowes[[#This Row],[Proj. de V. 6 meses]],"")</f>
        <v/>
      </c>
      <c r="AA77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7" s="39">
        <f>IFERROR(VLOOKUP(Fellowes[[#This Row],[Código]],Venda_12meses[],2,FALSE),0)</f>
        <v>0</v>
      </c>
      <c r="AC77" s="44" t="str">
        <f>IFERROR(Fellowes[[#This Row],[V. 12 meses]]/Fellowes[[#This Row],[Proj. de V. 12 meses]],"")</f>
        <v/>
      </c>
      <c r="AD77" s="22" t="s">
        <v>1716</v>
      </c>
    </row>
    <row r="78" spans="1:30" hidden="1" x14ac:dyDescent="0.25">
      <c r="A78" s="22" t="str">
        <f>VLOOKUP(Fellowes[[#This Row],[Código]],BD_Produto[#All],7,FALSE)</f>
        <v>Não entrou em linha</v>
      </c>
      <c r="B78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8" s="23">
        <v>33062063156</v>
      </c>
      <c r="D78" s="22" t="s">
        <v>1531</v>
      </c>
      <c r="E78" s="22" t="str">
        <f>VLOOKUP(Fellowes[[#This Row],[Código]],BD_Produto[],3,FALSE)</f>
        <v>Fragmentadora</v>
      </c>
      <c r="F78" s="22" t="str">
        <f>VLOOKUP(Fellowes[[#This Row],[Código]],BD_Produto[],4,FALSE)</f>
        <v>Fragmentadora</v>
      </c>
      <c r="G78" s="24"/>
      <c r="H78" s="25"/>
      <c r="I78" s="22"/>
      <c r="J78" s="24"/>
      <c r="K78" s="24" t="str">
        <f>IFERROR(VLOOKUP(Fellowes[[#This Row],[Código]],Importação!P:R,3,FALSE),"")</f>
        <v/>
      </c>
      <c r="L78" s="24">
        <f>IFERROR(VLOOKUP(Fellowes[[#This Row],[Código]],Saldo[],3,FALSE),0)</f>
        <v>0</v>
      </c>
      <c r="M78" s="24">
        <f>SUM(Fellowes[[#This Row],[Produção]:[Estoque]])</f>
        <v>0</v>
      </c>
      <c r="N78" s="24" t="str">
        <f>IFERROR(Fellowes[[#This Row],[Estoque+Importação]]/Fellowes[[#This Row],[Proj. de V. No prox. mes]],"Sem Projeção")</f>
        <v>Sem Projeção</v>
      </c>
      <c r="O78" s="24" t="str">
        <f>IF(OR(Fellowes[[#This Row],[Status]]="Em Linha",Fellowes[[#This Row],[Status]]="Componente",Fellowes[[#This Row],[Status]]="Materia Prima"),Fellowes[[#This Row],[Proj. de V. No prox. mes]]*10,"-")</f>
        <v>-</v>
      </c>
      <c r="P78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8" s="75">
        <f>VLOOKUP(Fellowes[[#This Row],[Código]],Projeção[#All],15,FALSE)</f>
        <v>0</v>
      </c>
      <c r="R78" s="39">
        <f>VLOOKUP(Fellowes[[#This Row],[Código]],Projeção[#All],14,FALSE)</f>
        <v>0</v>
      </c>
      <c r="S78" s="39">
        <f>IFERROR(VLOOKUP(Fellowes[[#This Row],[Código]],Venda_mes[],2,FALSE),0)</f>
        <v>0</v>
      </c>
      <c r="T78" s="44" t="str">
        <f>IFERROR(Fellowes[[#This Row],[V. No mes]]/Fellowes[[#This Row],[Proj. de V. No mes]],"")</f>
        <v/>
      </c>
      <c r="U78" s="43">
        <f>VLOOKUP(Fellowes[[#This Row],[Código]],Projeção[#All],14,FALSE)+VLOOKUP(Fellowes[[#This Row],[Código]],Projeção[#All],13,FALSE)+VLOOKUP(Fellowes[[#This Row],[Código]],Projeção[#All],12,FALSE)</f>
        <v>0</v>
      </c>
      <c r="V78" s="39">
        <f>IFERROR(VLOOKUP(Fellowes[[#This Row],[Código]],Venda_3meses[],2,FALSE),0)</f>
        <v>0</v>
      </c>
      <c r="W78" s="44" t="str">
        <f>IFERROR(Fellowes[[#This Row],[V. 3 meses]]/Fellowes[[#This Row],[Proj. de V. 3 meses]],"")</f>
        <v/>
      </c>
      <c r="X78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8" s="102">
        <f>IFERROR(VLOOKUP(Fellowes[[#This Row],[Código]],Venda_6meses[],2,FALSE),0)</f>
        <v>0</v>
      </c>
      <c r="Z78" s="45" t="str">
        <f>IFERROR(Fellowes[[#This Row],[V. 6 meses]]/Fellowes[[#This Row],[Proj. de V. 6 meses]],"")</f>
        <v/>
      </c>
      <c r="AA78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8" s="39">
        <f>IFERROR(VLOOKUP(Fellowes[[#This Row],[Código]],Venda_12meses[],2,FALSE),0)</f>
        <v>0</v>
      </c>
      <c r="AC78" s="44" t="str">
        <f>IFERROR(Fellowes[[#This Row],[V. 12 meses]]/Fellowes[[#This Row],[Proj. de V. 12 meses]],"")</f>
        <v/>
      </c>
      <c r="AD78" s="22" t="s">
        <v>1716</v>
      </c>
    </row>
    <row r="79" spans="1:30" hidden="1" x14ac:dyDescent="0.25">
      <c r="A79" s="22" t="str">
        <f>VLOOKUP(Fellowes[[#This Row],[Código]],BD_Produto[#All],7,FALSE)</f>
        <v>Não entrou em linha</v>
      </c>
      <c r="B79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79" s="23">
        <v>33062063158</v>
      </c>
      <c r="D79" s="22" t="s">
        <v>1532</v>
      </c>
      <c r="E79" s="22" t="str">
        <f>VLOOKUP(Fellowes[[#This Row],[Código]],BD_Produto[],3,FALSE)</f>
        <v>Fragmentadora</v>
      </c>
      <c r="F79" s="22" t="str">
        <f>VLOOKUP(Fellowes[[#This Row],[Código]],BD_Produto[],4,FALSE)</f>
        <v>Fragmentadora</v>
      </c>
      <c r="G79" s="24"/>
      <c r="H79" s="25"/>
      <c r="I79" s="22"/>
      <c r="J79" s="24"/>
      <c r="K79" s="24" t="str">
        <f>IFERROR(VLOOKUP(Fellowes[[#This Row],[Código]],Importação!P:R,3,FALSE),"")</f>
        <v/>
      </c>
      <c r="L79" s="24">
        <f>IFERROR(VLOOKUP(Fellowes[[#This Row],[Código]],Saldo[],3,FALSE),0)</f>
        <v>0</v>
      </c>
      <c r="M79" s="24">
        <f>SUM(Fellowes[[#This Row],[Produção]:[Estoque]])</f>
        <v>0</v>
      </c>
      <c r="N79" s="24" t="str">
        <f>IFERROR(Fellowes[[#This Row],[Estoque+Importação]]/Fellowes[[#This Row],[Proj. de V. No prox. mes]],"Sem Projeção")</f>
        <v>Sem Projeção</v>
      </c>
      <c r="O79" s="24" t="str">
        <f>IF(OR(Fellowes[[#This Row],[Status]]="Em Linha",Fellowes[[#This Row],[Status]]="Componente",Fellowes[[#This Row],[Status]]="Materia Prima"),Fellowes[[#This Row],[Proj. de V. No prox. mes]]*10,"-")</f>
        <v>-</v>
      </c>
      <c r="P79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79" s="75">
        <f>VLOOKUP(Fellowes[[#This Row],[Código]],Projeção[#All],15,FALSE)</f>
        <v>0</v>
      </c>
      <c r="R79" s="39">
        <f>VLOOKUP(Fellowes[[#This Row],[Código]],Projeção[#All],14,FALSE)</f>
        <v>0</v>
      </c>
      <c r="S79" s="39">
        <f>IFERROR(VLOOKUP(Fellowes[[#This Row],[Código]],Venda_mes[],2,FALSE),0)</f>
        <v>0</v>
      </c>
      <c r="T79" s="44" t="str">
        <f>IFERROR(Fellowes[[#This Row],[V. No mes]]/Fellowes[[#This Row],[Proj. de V. No mes]],"")</f>
        <v/>
      </c>
      <c r="U79" s="43">
        <f>VLOOKUP(Fellowes[[#This Row],[Código]],Projeção[#All],14,FALSE)+VLOOKUP(Fellowes[[#This Row],[Código]],Projeção[#All],13,FALSE)+VLOOKUP(Fellowes[[#This Row],[Código]],Projeção[#All],12,FALSE)</f>
        <v>0</v>
      </c>
      <c r="V79" s="39">
        <f>IFERROR(VLOOKUP(Fellowes[[#This Row],[Código]],Venda_3meses[],2,FALSE),0)</f>
        <v>0</v>
      </c>
      <c r="W79" s="44" t="str">
        <f>IFERROR(Fellowes[[#This Row],[V. 3 meses]]/Fellowes[[#This Row],[Proj. de V. 3 meses]],"")</f>
        <v/>
      </c>
      <c r="X79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79" s="102">
        <f>IFERROR(VLOOKUP(Fellowes[[#This Row],[Código]],Venda_6meses[],2,FALSE),0)</f>
        <v>0</v>
      </c>
      <c r="Z79" s="45" t="str">
        <f>IFERROR(Fellowes[[#This Row],[V. 6 meses]]/Fellowes[[#This Row],[Proj. de V. 6 meses]],"")</f>
        <v/>
      </c>
      <c r="AA79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79" s="39">
        <f>IFERROR(VLOOKUP(Fellowes[[#This Row],[Código]],Venda_12meses[],2,FALSE),0)</f>
        <v>0</v>
      </c>
      <c r="AC79" s="44" t="str">
        <f>IFERROR(Fellowes[[#This Row],[V. 12 meses]]/Fellowes[[#This Row],[Proj. de V. 12 meses]],"")</f>
        <v/>
      </c>
      <c r="AD79" s="22" t="s">
        <v>1716</v>
      </c>
    </row>
    <row r="80" spans="1:30" hidden="1" x14ac:dyDescent="0.25">
      <c r="A80" s="22" t="str">
        <f>VLOOKUP(Fellowes[[#This Row],[Código]],BD_Produto[#All],7,FALSE)</f>
        <v>Não entrou em linha</v>
      </c>
      <c r="B80" s="22" t="str">
        <f>IF(OR(Fellowes[[#This Row],[Status]]="Em linha",Fellowes[[#This Row],[Status]]="Materia Prima",Fellowes[[#This Row],[Status]]="Componente"),"ok",IF(Fellowes[[#This Row],[Estoque+Importação]]&lt;1,"Tirar","ok"))</f>
        <v>Tirar</v>
      </c>
      <c r="C80" s="23">
        <v>33062063160</v>
      </c>
      <c r="D80" s="22" t="s">
        <v>1533</v>
      </c>
      <c r="E80" s="22" t="str">
        <f>VLOOKUP(Fellowes[[#This Row],[Código]],BD_Produto[],3,FALSE)</f>
        <v>Fragmentadora</v>
      </c>
      <c r="F80" s="22" t="str">
        <f>VLOOKUP(Fellowes[[#This Row],[Código]],BD_Produto[],4,FALSE)</f>
        <v>Fragmentadora</v>
      </c>
      <c r="G80" s="24"/>
      <c r="H80" s="25"/>
      <c r="I80" s="22"/>
      <c r="J80" s="24"/>
      <c r="K80" s="24" t="str">
        <f>IFERROR(VLOOKUP(Fellowes[[#This Row],[Código]],Importação!P:R,3,FALSE),"")</f>
        <v/>
      </c>
      <c r="L80" s="24">
        <f>IFERROR(VLOOKUP(Fellowes[[#This Row],[Código]],Saldo[],3,FALSE),0)</f>
        <v>0</v>
      </c>
      <c r="M80" s="24">
        <f>SUM(Fellowes[[#This Row],[Produção]:[Estoque]])</f>
        <v>0</v>
      </c>
      <c r="N80" s="24" t="str">
        <f>IFERROR(Fellowes[[#This Row],[Estoque+Importação]]/Fellowes[[#This Row],[Proj. de V. No prox. mes]],"Sem Projeção")</f>
        <v>Sem Projeção</v>
      </c>
      <c r="O80" s="24" t="str">
        <f>IF(OR(Fellowes[[#This Row],[Status]]="Em Linha",Fellowes[[#This Row],[Status]]="Componente",Fellowes[[#This Row],[Status]]="Materia Prima"),Fellowes[[#This Row],[Proj. de V. No prox. mes]]*10,"-")</f>
        <v>-</v>
      </c>
      <c r="P80" s="34">
        <f>IF(OR(Fellowes[[#This Row],[Status]]="Em Linha",Fellowes[[#This Row],[Status]]="Componente",Fellowes[[#This Row],[Status]]="Materia Prima"),Fellowes[[#This Row],[estoque 10 meses]]-Fellowes[[#This Row],[Estoque+Importação]],0)</f>
        <v>0</v>
      </c>
      <c r="Q80" s="75">
        <f>VLOOKUP(Fellowes[[#This Row],[Código]],Projeção[#All],15,FALSE)</f>
        <v>0</v>
      </c>
      <c r="R80" s="39">
        <f>VLOOKUP(Fellowes[[#This Row],[Código]],Projeção[#All],14,FALSE)</f>
        <v>0</v>
      </c>
      <c r="S80" s="39">
        <f>IFERROR(VLOOKUP(Fellowes[[#This Row],[Código]],Venda_mes[],2,FALSE),0)</f>
        <v>0</v>
      </c>
      <c r="T80" s="44" t="str">
        <f>IFERROR(Fellowes[[#This Row],[V. No mes]]/Fellowes[[#This Row],[Proj. de V. No mes]],"")</f>
        <v/>
      </c>
      <c r="U80" s="43">
        <f>VLOOKUP(Fellowes[[#This Row],[Código]],Projeção[#All],14,FALSE)+VLOOKUP(Fellowes[[#This Row],[Código]],Projeção[#All],13,FALSE)+VLOOKUP(Fellowes[[#This Row],[Código]],Projeção[#All],12,FALSE)</f>
        <v>0</v>
      </c>
      <c r="V80" s="39">
        <f>IFERROR(VLOOKUP(Fellowes[[#This Row],[Código]],Venda_3meses[],2,FALSE),0)</f>
        <v>0</v>
      </c>
      <c r="W80" s="44" t="str">
        <f>IFERROR(Fellowes[[#This Row],[V. 3 meses]]/Fellowes[[#This Row],[Proj. de V. 3 meses]],"")</f>
        <v/>
      </c>
      <c r="X80" s="102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</f>
        <v>0</v>
      </c>
      <c r="Y80" s="102">
        <f>IFERROR(VLOOKUP(Fellowes[[#This Row],[Código]],Venda_6meses[],2,FALSE),0)</f>
        <v>0</v>
      </c>
      <c r="Z80" s="45" t="str">
        <f>IFERROR(Fellowes[[#This Row],[V. 6 meses]]/Fellowes[[#This Row],[Proj. de V. 6 meses]],"")</f>
        <v/>
      </c>
      <c r="AA80" s="43">
        <f>VLOOKUP(Fellowes[[#This Row],[Código]],Projeção[#All],14,FALSE)+VLOOKUP(Fellowes[[#This Row],[Código]],Projeção[#All],13,FALSE)+VLOOKUP(Fellowes[[#This Row],[Código]],Projeção[#All],12,FALSE)+VLOOKUP(Fellowes[[#This Row],[Código]],Projeção[#All],11,FALSE)+VLOOKUP(Fellowes[[#This Row],[Código]],Projeção[#All],10,FALSE)+VLOOKUP(Fellowes[[#This Row],[Código]],Projeção[#All],9,FALSE)+VLOOKUP(Fellowes[[#This Row],[Código]],Projeção[#All],8,FALSE)+VLOOKUP(Fellowes[[#This Row],[Código]],Projeção[#All],7,FALSE)+VLOOKUP(Fellowes[[#This Row],[Código]],Projeção[#All],6,FALSE)+VLOOKUP(Fellowes[[#This Row],[Código]],Projeção[#All],5,FALSE)+VLOOKUP(Fellowes[[#This Row],[Código]],Projeção[#All],4,FALSE)+VLOOKUP(Fellowes[[#This Row],[Código]],Projeção[#All],3,FALSE)</f>
        <v>0</v>
      </c>
      <c r="AB80" s="39">
        <f>IFERROR(VLOOKUP(Fellowes[[#This Row],[Código]],Venda_12meses[],2,FALSE),0)</f>
        <v>0</v>
      </c>
      <c r="AC80" s="44" t="str">
        <f>IFERROR(Fellowes[[#This Row],[V. 12 meses]]/Fellowes[[#This Row],[Proj. de V. 12 meses]],"")</f>
        <v/>
      </c>
      <c r="AD80" s="22" t="s">
        <v>1716</v>
      </c>
    </row>
  </sheetData>
  <mergeCells count="33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D1:AD5"/>
    <mergeCell ref="R2:T2"/>
    <mergeCell ref="R3:R5"/>
    <mergeCell ref="S3:S5"/>
    <mergeCell ref="T3:T5"/>
    <mergeCell ref="AC3:AC5"/>
    <mergeCell ref="X1:Z2"/>
    <mergeCell ref="X3:X5"/>
    <mergeCell ref="Y3:Y5"/>
    <mergeCell ref="Z3:Z5"/>
    <mergeCell ref="O1:O5"/>
    <mergeCell ref="P1:P5"/>
    <mergeCell ref="R1:T1"/>
    <mergeCell ref="U1:W2"/>
    <mergeCell ref="AA1:AC2"/>
    <mergeCell ref="U3:U5"/>
    <mergeCell ref="V3:V5"/>
    <mergeCell ref="W3:W5"/>
    <mergeCell ref="AA3:AA5"/>
    <mergeCell ref="AB3:AB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B796A42-5BB1-49F4-ABDD-74A21E43432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T7:T80 W7:W80 AC7:AC80 Z7:Z80</xm:sqref>
        </x14:conditionalFormatting>
        <x14:conditionalFormatting xmlns:xm="http://schemas.microsoft.com/office/excel/2006/main">
          <x14:cfRule type="iconSet" priority="1" id="{8504D729-E3BE-4280-88A0-49C53663591E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P7:P80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A66"/>
  <sheetViews>
    <sheetView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D24" sqref="D24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15.42578125" bestFit="1" customWidth="1"/>
    <col min="4" max="4" width="93.85546875" bestFit="1" customWidth="1"/>
    <col min="5" max="6" width="16.28515625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6" width="9.7109375" customWidth="1"/>
    <col min="27" max="27" width="66.85546875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6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89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66" t="str">
        <f>VLOOKUP(Fellowes_Consumiveis[[#This Row],[Código]],BD_Produto[#All],7,FALSE)</f>
        <v>Em Linha</v>
      </c>
      <c r="B7" s="66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7" s="23">
        <v>30062065195</v>
      </c>
      <c r="D7" s="22" t="s">
        <v>108</v>
      </c>
      <c r="E7" s="66" t="str">
        <f>VLOOKUP(Fellowes_Consumiveis[[#This Row],[Código]],BD_Produto[],3,FALSE)</f>
        <v>insumo</v>
      </c>
      <c r="F7" s="66" t="str">
        <f>VLOOKUP(Fellowes_Consumiveis[[#This Row],[Código]],BD_Produto[],4,FALSE)</f>
        <v>Fragmentadora</v>
      </c>
      <c r="G7" s="24"/>
      <c r="H7" s="25"/>
      <c r="J7" s="24"/>
      <c r="K7" s="24" t="str">
        <f>IFERROR(VLOOKUP(Fellowes_Consumiveis[[#This Row],[Código]],Importação!P:R,3,FALSE),"")</f>
        <v/>
      </c>
      <c r="L7" s="24">
        <f>IFERROR(VLOOKUP(Fellowes_Consumiveis[[#This Row],[Código]],Saldo[],3,FALSE),0)</f>
        <v>12</v>
      </c>
      <c r="M7" s="24">
        <f>SUM(Fellowes_Consumiveis[[#This Row],[Produção]:[Estoque]])</f>
        <v>12</v>
      </c>
      <c r="N7" s="24">
        <f>IFERROR(Fellowes_Consumiveis[[#This Row],[Estoque+Importação]]/Fellowes_Consumiveis[[#This Row],[Proj. de V. No prox. mes]],"Sem Projeção")</f>
        <v>6.5454545454545467</v>
      </c>
      <c r="O7" s="24">
        <f>IF(OR(Fellowes_Consumiveis[[#This Row],[Status]]="Em Linha",Fellowes_Consumiveis[[#This Row],[Status]]="Componente",Fellowes_Consumiveis[[#This Row],[Status]]="Materia Prima"),Fellowes_Consumiveis[[#This Row],[Proj. de V. No prox. mes]]*10,"-")</f>
        <v>18.333333333333329</v>
      </c>
      <c r="P7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6.3333333333333286</v>
      </c>
      <c r="Q7" s="75">
        <f>VLOOKUP(Fellowes_Consumiveis[[#This Row],[Código]],Projeção[#All],15,FALSE)</f>
        <v>1.833333333333333</v>
      </c>
      <c r="R7" s="39">
        <f>VLOOKUP(Fellowes_Consumiveis[[#This Row],[Código]],Projeção[#All],14,FALSE)</f>
        <v>1.5</v>
      </c>
      <c r="S7" s="24">
        <f>IFERROR(VLOOKUP(Fellowes_Consumiveis[[#This Row],[Código]],Venda_mes[],2,FALSE),0)</f>
        <v>0</v>
      </c>
      <c r="T7" s="44">
        <f>IFERROR(Fellowes_Consumiveis[[#This Row],[V. No mes]]/Fellowes_Consumiveis[[#This Row],[Proj. de V. No mes]],"")</f>
        <v>0</v>
      </c>
      <c r="U7" s="43">
        <f>VLOOKUP(Fellowes_Consumiveis[[#This Row],[Código]],Projeção[#All],14,FALSE)+VLOOKUP(Fellowes_Consumiveis[[#This Row],[Código]],Projeção[#All],13,FALSE)+VLOOKUP(Fellowes_Consumiveis[[#This Row],[Código]],Projeção[#All],12,FALSE)</f>
        <v>4.8999999999999995</v>
      </c>
      <c r="V7" s="24">
        <f>IFERROR(VLOOKUP(Fellowes_Consumiveis[[#This Row],[Código]],Venda_3meses[],2,FALSE),0)</f>
        <v>7</v>
      </c>
      <c r="W7" s="44">
        <f>IFERROR(Fellowes_Consumiveis[[#This Row],[V. 3 meses]]/Fellowes_Consumiveis[[#This Row],[Proj. de V. 3 meses]],"")</f>
        <v>1.4285714285714288</v>
      </c>
      <c r="X7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4.8999999999999995</v>
      </c>
      <c r="Y7" s="24">
        <f>IFERROR(VLOOKUP(Fellowes_Consumiveis[[#This Row],[Código]],Venda_12meses[],2,FALSE),0)</f>
        <v>13</v>
      </c>
      <c r="Z7" s="44">
        <f>IFERROR(Fellowes_Consumiveis[[#This Row],[V. 12 meses]]/Fellowes_Consumiveis[[#This Row],[Proj. de V. 12 meses]],"")</f>
        <v>2.6530612244897962</v>
      </c>
    </row>
    <row r="8" spans="1:27" x14ac:dyDescent="0.25">
      <c r="A8" s="66" t="str">
        <f>VLOOKUP(Fellowes_Consumiveis[[#This Row],[Código]],BD_Produto[#All],7,FALSE)</f>
        <v>Em Linha</v>
      </c>
      <c r="B8" s="66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8" s="23">
        <v>30062065196</v>
      </c>
      <c r="D8" s="22" t="s">
        <v>109</v>
      </c>
      <c r="E8" s="66" t="str">
        <f>VLOOKUP(Fellowes_Consumiveis[[#This Row],[Código]],BD_Produto[],3,FALSE)</f>
        <v>insumo</v>
      </c>
      <c r="F8" s="66" t="str">
        <f>VLOOKUP(Fellowes_Consumiveis[[#This Row],[Código]],BD_Produto[],4,FALSE)</f>
        <v>Fragmentadora</v>
      </c>
      <c r="G8" s="24"/>
      <c r="H8" s="25"/>
      <c r="I8" s="22"/>
      <c r="J8" s="24"/>
      <c r="K8" s="24" t="str">
        <f>IFERROR(VLOOKUP(Fellowes_Consumiveis[[#This Row],[Código]],Importação!P:R,3,FALSE),"")</f>
        <v/>
      </c>
      <c r="L8" s="24">
        <f>IFERROR(VLOOKUP(Fellowes_Consumiveis[[#This Row],[Código]],Saldo[],3,FALSE),0)</f>
        <v>69</v>
      </c>
      <c r="M8" s="24">
        <f>SUM(Fellowes_Consumiveis[[#This Row],[Produção]:[Estoque]])</f>
        <v>69</v>
      </c>
      <c r="N8" s="24">
        <f>IFERROR(Fellowes_Consumiveis[[#This Row],[Estoque+Importação]]/Fellowes_Consumiveis[[#This Row],[Proj. de V. No prox. mes]],"Sem Projeção")</f>
        <v>48.139534883720927</v>
      </c>
      <c r="O8" s="24">
        <f>IF(OR(Fellowes_Consumiveis[[#This Row],[Status]]="Em Linha",Fellowes_Consumiveis[[#This Row],[Status]]="Componente",Fellowes_Consumiveis[[#This Row],[Status]]="Materia Prima"),Fellowes_Consumiveis[[#This Row],[Proj. de V. No prox. mes]]*10,"-")</f>
        <v>14.333333333333334</v>
      </c>
      <c r="P8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-54.666666666666664</v>
      </c>
      <c r="Q8" s="75">
        <f>VLOOKUP(Fellowes_Consumiveis[[#This Row],[Código]],Projeção[#All],15,FALSE)</f>
        <v>1.4333333333333333</v>
      </c>
      <c r="R8" s="39">
        <f>VLOOKUP(Fellowes_Consumiveis[[#This Row],[Código]],Projeção[#All],14,FALSE)</f>
        <v>1.7</v>
      </c>
      <c r="S8" s="24">
        <f>IFERROR(VLOOKUP(Fellowes_Consumiveis[[#This Row],[Código]],Venda_mes[],2,FALSE),0)</f>
        <v>0</v>
      </c>
      <c r="T8" s="44">
        <f>IFERROR(Fellowes_Consumiveis[[#This Row],[V. No mes]]/Fellowes_Consumiveis[[#This Row],[Proj. de V. No mes]],"")</f>
        <v>0</v>
      </c>
      <c r="U8" s="43">
        <f>VLOOKUP(Fellowes_Consumiveis[[#This Row],[Código]],Projeção[#All],14,FALSE)+VLOOKUP(Fellowes_Consumiveis[[#This Row],[Código]],Projeção[#All],13,FALSE)+VLOOKUP(Fellowes_Consumiveis[[#This Row],[Código]],Projeção[#All],12,FALSE)</f>
        <v>4.7666666666666666</v>
      </c>
      <c r="V8" s="24">
        <f>IFERROR(VLOOKUP(Fellowes_Consumiveis[[#This Row],[Código]],Venda_3meses[],2,FALSE),0)</f>
        <v>5</v>
      </c>
      <c r="W8" s="44">
        <f>IFERROR(Fellowes_Consumiveis[[#This Row],[V. 3 meses]]/Fellowes_Consumiveis[[#This Row],[Proj. de V. 3 meses]],"")</f>
        <v>1.048951048951049</v>
      </c>
      <c r="X8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4.7666666666666666</v>
      </c>
      <c r="Y8" s="24">
        <f>IFERROR(VLOOKUP(Fellowes_Consumiveis[[#This Row],[Código]],Venda_12meses[],2,FALSE),0)</f>
        <v>13</v>
      </c>
      <c r="Z8" s="44">
        <f>IFERROR(Fellowes_Consumiveis[[#This Row],[V. 12 meses]]/Fellowes_Consumiveis[[#This Row],[Proj. de V. 12 meses]],"")</f>
        <v>2.7272727272727275</v>
      </c>
      <c r="AA8" s="22"/>
    </row>
    <row r="9" spans="1:27" x14ac:dyDescent="0.25">
      <c r="A9" s="22" t="str">
        <f>VLOOKUP(Fellowes_Consumiveis[[#This Row],[Código]],BD_Produto[#All],7,FALSE)</f>
        <v>Em Linha</v>
      </c>
      <c r="B9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9" s="23">
        <v>33062562843</v>
      </c>
      <c r="D9" s="22" t="s">
        <v>1049</v>
      </c>
      <c r="E9" s="22" t="str">
        <f>VLOOKUP(Fellowes_Consumiveis[[#This Row],[Código]],BD_Produto[],3,FALSE)</f>
        <v>insumo</v>
      </c>
      <c r="F9" s="22" t="str">
        <f>VLOOKUP(Fellowes_Consumiveis[[#This Row],[Código]],BD_Produto[],4,FALSE)</f>
        <v>Refiladora</v>
      </c>
      <c r="G9" s="24"/>
      <c r="H9" s="25">
        <v>4.05</v>
      </c>
      <c r="I9" s="22"/>
      <c r="J9" s="24"/>
      <c r="K9" s="24" t="str">
        <f>IFERROR(VLOOKUP(Fellowes_Consumiveis[[#This Row],[Código]],Importação!P:R,3,FALSE),"")</f>
        <v/>
      </c>
      <c r="L9" s="24">
        <f>IFERROR(VLOOKUP(Fellowes_Consumiveis[[#This Row],[Código]],Saldo[],3,FALSE),0)</f>
        <v>78</v>
      </c>
      <c r="M9" s="24">
        <f>SUM(Fellowes_Consumiveis[[#This Row],[Produção]:[Estoque]])</f>
        <v>78</v>
      </c>
      <c r="N9" s="24">
        <f>IFERROR(Fellowes_Consumiveis[[#This Row],[Estoque+Importação]]/Fellowes_Consumiveis[[#This Row],[Proj. de V. No prox. mes]],"Sem Projeção")</f>
        <v>1170</v>
      </c>
      <c r="O9" s="24">
        <f>IF(OR(Fellowes_Consumiveis[[#This Row],[Status]]="Em Linha",Fellowes_Consumiveis[[#This Row],[Status]]="Componente",Fellowes_Consumiveis[[#This Row],[Status]]="Materia Prima"),Fellowes_Consumiveis[[#This Row],[Proj. de V. No prox. mes]]*10,"-")</f>
        <v>0.66666666666666663</v>
      </c>
      <c r="P9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-77.333333333333329</v>
      </c>
      <c r="Q9" s="75">
        <f>VLOOKUP(Fellowes_Consumiveis[[#This Row],[Código]],Projeção[#All],15,FALSE)</f>
        <v>6.6666666666666666E-2</v>
      </c>
      <c r="R9" s="39">
        <f>VLOOKUP(Fellowes_Consumiveis[[#This Row],[Código]],Projeção[#All],14,FALSE)</f>
        <v>0.3666666666666667</v>
      </c>
      <c r="S9" s="39">
        <f>IFERROR(VLOOKUP(Fellowes_Consumiveis[[#This Row],[Código]],Venda_mes[],2,FALSE),0)</f>
        <v>0</v>
      </c>
      <c r="T9" s="44">
        <f>IFERROR(Fellowes_Consumiveis[[#This Row],[V. No mes]]/Fellowes_Consumiveis[[#This Row],[Proj. de V. No mes]],"")</f>
        <v>0</v>
      </c>
      <c r="U9" s="43">
        <f>VLOOKUP(Fellowes_Consumiveis[[#This Row],[Código]],Projeção[#All],14,FALSE)+VLOOKUP(Fellowes_Consumiveis[[#This Row],[Código]],Projeção[#All],13,FALSE)+VLOOKUP(Fellowes_Consumiveis[[#This Row],[Código]],Projeção[#All],12,FALSE)</f>
        <v>0.6333333333333333</v>
      </c>
      <c r="V9" s="39">
        <f>IFERROR(VLOOKUP(Fellowes_Consumiveis[[#This Row],[Código]],Venda_3meses[],2,FALSE),0)</f>
        <v>0</v>
      </c>
      <c r="W9" s="44">
        <f>IFERROR(Fellowes_Consumiveis[[#This Row],[V. 3 meses]]/Fellowes_Consumiveis[[#This Row],[Proj. de V. 3 meses]],"")</f>
        <v>0</v>
      </c>
      <c r="X9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5.4666666666666659</v>
      </c>
      <c r="Y9" s="39">
        <f>IFERROR(VLOOKUP(Fellowes_Consumiveis[[#This Row],[Código]],Venda_12meses[],2,FALSE),0)</f>
        <v>2</v>
      </c>
      <c r="Z9" s="44">
        <f>IFERROR(Fellowes_Consumiveis[[#This Row],[V. 12 meses]]/Fellowes_Consumiveis[[#This Row],[Proj. de V. 12 meses]],"")</f>
        <v>0.36585365853658541</v>
      </c>
      <c r="AA9" s="22">
        <v>5411501</v>
      </c>
    </row>
    <row r="10" spans="1:27" x14ac:dyDescent="0.25">
      <c r="A10" s="22" t="str">
        <f>VLOOKUP(Fellowes_Consumiveis[[#This Row],[Código]],BD_Produto[#All],7,FALSE)</f>
        <v>Em Linha</v>
      </c>
      <c r="B10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0" s="23">
        <v>33062562842</v>
      </c>
      <c r="D10" s="22" t="s">
        <v>927</v>
      </c>
      <c r="E10" s="22" t="str">
        <f>VLOOKUP(Fellowes_Consumiveis[[#This Row],[Código]],BD_Produto[],3,FALSE)</f>
        <v>insumo</v>
      </c>
      <c r="F10" s="22" t="str">
        <f>VLOOKUP(Fellowes_Consumiveis[[#This Row],[Código]],BD_Produto[],4,FALSE)</f>
        <v>Refiladora</v>
      </c>
      <c r="G10" s="24"/>
      <c r="H10" s="25">
        <v>4.84</v>
      </c>
      <c r="I10" s="22"/>
      <c r="J10" s="24"/>
      <c r="K10" s="24" t="str">
        <f>IFERROR(VLOOKUP(Fellowes_Consumiveis[[#This Row],[Código]],Importação!P:R,3,FALSE),"")</f>
        <v/>
      </c>
      <c r="L10" s="24">
        <f>IFERROR(VLOOKUP(Fellowes_Consumiveis[[#This Row],[Código]],Saldo[],3,FALSE),0)</f>
        <v>78</v>
      </c>
      <c r="M10" s="24">
        <f>SUM(Fellowes_Consumiveis[[#This Row],[Produção]:[Estoque]])</f>
        <v>78</v>
      </c>
      <c r="N10" s="24">
        <f>IFERROR(Fellowes_Consumiveis[[#This Row],[Estoque+Importação]]/Fellowes_Consumiveis[[#This Row],[Proj. de V. No prox. mes]],"Sem Projeção")</f>
        <v>156</v>
      </c>
      <c r="O10" s="24">
        <f>IF(OR(Fellowes_Consumiveis[[#This Row],[Status]]="Em Linha",Fellowes_Consumiveis[[#This Row],[Status]]="Componente",Fellowes_Consumiveis[[#This Row],[Status]]="Materia Prima"),Fellowes_Consumiveis[[#This Row],[Proj. de V. No prox. mes]]*10,"-")</f>
        <v>5</v>
      </c>
      <c r="P10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-73</v>
      </c>
      <c r="Q10" s="75">
        <f>VLOOKUP(Fellowes_Consumiveis[[#This Row],[Código]],Projeção[#All],15,FALSE)</f>
        <v>0.5</v>
      </c>
      <c r="R10" s="39">
        <f>VLOOKUP(Fellowes_Consumiveis[[#This Row],[Código]],Projeção[#All],14,FALSE)</f>
        <v>0.3</v>
      </c>
      <c r="S10" s="39">
        <f>IFERROR(VLOOKUP(Fellowes_Consumiveis[[#This Row],[Código]],Venda_mes[],2,FALSE),0)</f>
        <v>0</v>
      </c>
      <c r="T10" s="44">
        <f>IFERROR(Fellowes_Consumiveis[[#This Row],[V. No mes]]/Fellowes_Consumiveis[[#This Row],[Proj. de V. No mes]],"")</f>
        <v>0</v>
      </c>
      <c r="U10" s="43">
        <f>VLOOKUP(Fellowes_Consumiveis[[#This Row],[Código]],Projeção[#All],14,FALSE)+VLOOKUP(Fellowes_Consumiveis[[#This Row],[Código]],Projeção[#All],13,FALSE)+VLOOKUP(Fellowes_Consumiveis[[#This Row],[Código]],Projeção[#All],12,FALSE)</f>
        <v>1.1000000000000001</v>
      </c>
      <c r="V10" s="39">
        <f>IFERROR(VLOOKUP(Fellowes_Consumiveis[[#This Row],[Código]],Venda_3meses[],2,FALSE),0)</f>
        <v>0</v>
      </c>
      <c r="W10" s="44">
        <f>IFERROR(Fellowes_Consumiveis[[#This Row],[V. 3 meses]]/Fellowes_Consumiveis[[#This Row],[Proj. de V. 3 meses]],"")</f>
        <v>0</v>
      </c>
      <c r="X10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2.433333333333334</v>
      </c>
      <c r="Y10" s="39">
        <f>IFERROR(VLOOKUP(Fellowes_Consumiveis[[#This Row],[Código]],Venda_12meses[],2,FALSE),0)</f>
        <v>5</v>
      </c>
      <c r="Z10" s="44">
        <f>IFERROR(Fellowes_Consumiveis[[#This Row],[V. 12 meses]]/Fellowes_Consumiveis[[#This Row],[Proj. de V. 12 meses]],"")</f>
        <v>2.0547945205479445</v>
      </c>
      <c r="AA10" s="22">
        <v>5411401</v>
      </c>
    </row>
    <row r="11" spans="1:27" x14ac:dyDescent="0.25">
      <c r="A11" s="22" t="str">
        <f>VLOOKUP(Fellowes_Consumiveis[[#This Row],[Código]],BD_Produto[#All],7,FALSE)</f>
        <v>Em Linha</v>
      </c>
      <c r="B11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1" s="23">
        <v>33062562841</v>
      </c>
      <c r="D11" s="22" t="s">
        <v>977</v>
      </c>
      <c r="E11" s="22" t="str">
        <f>VLOOKUP(Fellowes_Consumiveis[[#This Row],[Código]],BD_Produto[],3,FALSE)</f>
        <v>insumo</v>
      </c>
      <c r="F11" s="22" t="str">
        <f>VLOOKUP(Fellowes_Consumiveis[[#This Row],[Código]],BD_Produto[],4,FALSE)</f>
        <v>Refiladora</v>
      </c>
      <c r="G11" s="24"/>
      <c r="H11" s="25">
        <v>6.49</v>
      </c>
      <c r="I11" s="22"/>
      <c r="J11" s="24"/>
      <c r="K11" s="24" t="str">
        <f>IFERROR(VLOOKUP(Fellowes_Consumiveis[[#This Row],[Código]],Importação!P:R,3,FALSE),"")</f>
        <v/>
      </c>
      <c r="L11" s="24">
        <f>IFERROR(VLOOKUP(Fellowes_Consumiveis[[#This Row],[Código]],Saldo[],3,FALSE),0)</f>
        <v>78</v>
      </c>
      <c r="M11" s="24">
        <f>SUM(Fellowes_Consumiveis[[#This Row],[Produção]:[Estoque]])</f>
        <v>78</v>
      </c>
      <c r="N11" s="24">
        <f>IFERROR(Fellowes_Consumiveis[[#This Row],[Estoque+Importação]]/Fellowes_Consumiveis[[#This Row],[Proj. de V. No prox. mes]],"Sem Projeção")</f>
        <v>195.00000000000003</v>
      </c>
      <c r="O11" s="24">
        <f>IF(OR(Fellowes_Consumiveis[[#This Row],[Status]]="Em Linha",Fellowes_Consumiveis[[#This Row],[Status]]="Componente",Fellowes_Consumiveis[[#This Row],[Status]]="Materia Prima"),Fellowes_Consumiveis[[#This Row],[Proj. de V. No prox. mes]]*10,"-")</f>
        <v>3.9999999999999996</v>
      </c>
      <c r="P11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-74</v>
      </c>
      <c r="Q11" s="75">
        <f>VLOOKUP(Fellowes_Consumiveis[[#This Row],[Código]],Projeção[#All],15,FALSE)</f>
        <v>0.39999999999999997</v>
      </c>
      <c r="R11" s="39">
        <f>VLOOKUP(Fellowes_Consumiveis[[#This Row],[Código]],Projeção[#All],14,FALSE)</f>
        <v>0.19999999999999998</v>
      </c>
      <c r="S11" s="39">
        <f>IFERROR(VLOOKUP(Fellowes_Consumiveis[[#This Row],[Código]],Venda_mes[],2,FALSE),0)</f>
        <v>0</v>
      </c>
      <c r="T11" s="44">
        <f>IFERROR(Fellowes_Consumiveis[[#This Row],[V. No mes]]/Fellowes_Consumiveis[[#This Row],[Proj. de V. No mes]],"")</f>
        <v>0</v>
      </c>
      <c r="U11" s="43">
        <f>VLOOKUP(Fellowes_Consumiveis[[#This Row],[Código]],Projeção[#All],14,FALSE)+VLOOKUP(Fellowes_Consumiveis[[#This Row],[Código]],Projeção[#All],13,FALSE)+VLOOKUP(Fellowes_Consumiveis[[#This Row],[Código]],Projeção[#All],12,FALSE)</f>
        <v>0.6</v>
      </c>
      <c r="V11" s="39">
        <f>IFERROR(VLOOKUP(Fellowes_Consumiveis[[#This Row],[Código]],Venda_3meses[],2,FALSE),0)</f>
        <v>0</v>
      </c>
      <c r="W11" s="44">
        <f>IFERROR(Fellowes_Consumiveis[[#This Row],[V. 3 meses]]/Fellowes_Consumiveis[[#This Row],[Proj. de V. 3 meses]],"")</f>
        <v>0</v>
      </c>
      <c r="X11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8.2666666666666657</v>
      </c>
      <c r="Y11" s="39">
        <f>IFERROR(VLOOKUP(Fellowes_Consumiveis[[#This Row],[Código]],Venda_12meses[],2,FALSE),0)</f>
        <v>4</v>
      </c>
      <c r="Z11" s="44">
        <f>IFERROR(Fellowes_Consumiveis[[#This Row],[V. 12 meses]]/Fellowes_Consumiveis[[#This Row],[Proj. de V. 12 meses]],"")</f>
        <v>0.48387096774193555</v>
      </c>
      <c r="AA11" s="22">
        <v>5411301</v>
      </c>
    </row>
    <row r="12" spans="1:27" x14ac:dyDescent="0.25">
      <c r="A12" s="22" t="str">
        <f>VLOOKUP(Fellowes_Consumiveis[[#This Row],[Código]],BD_Produto[#All],7,FALSE)</f>
        <v>Em Linha</v>
      </c>
      <c r="B12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2" s="23">
        <v>33062562844</v>
      </c>
      <c r="D12" s="22" t="s">
        <v>976</v>
      </c>
      <c r="E12" s="22" t="str">
        <f>VLOOKUP(Fellowes_Consumiveis[[#This Row],[Código]],BD_Produto[],3,FALSE)</f>
        <v>insumo</v>
      </c>
      <c r="F12" s="22" t="str">
        <f>VLOOKUP(Fellowes_Consumiveis[[#This Row],[Código]],BD_Produto[],4,FALSE)</f>
        <v>Refiladora</v>
      </c>
      <c r="G12" s="24"/>
      <c r="H12" s="25">
        <v>5.26</v>
      </c>
      <c r="I12" s="22"/>
      <c r="J12" s="24"/>
      <c r="K12" s="24" t="str">
        <f>IFERROR(VLOOKUP(Fellowes_Consumiveis[[#This Row],[Código]],Importação!P:R,3,FALSE),"")</f>
        <v/>
      </c>
      <c r="L12" s="24">
        <f>IFERROR(VLOOKUP(Fellowes_Consumiveis[[#This Row],[Código]],Saldo[],3,FALSE),0)</f>
        <v>80</v>
      </c>
      <c r="M12" s="24">
        <f>SUM(Fellowes_Consumiveis[[#This Row],[Produção]:[Estoque]])</f>
        <v>80</v>
      </c>
      <c r="N12" s="24">
        <f>IFERROR(Fellowes_Consumiveis[[#This Row],[Estoque+Importação]]/Fellowes_Consumiveis[[#This Row],[Proj. de V. No prox. mes]],"Sem Projeção")</f>
        <v>1200</v>
      </c>
      <c r="O12" s="24">
        <f>IF(OR(Fellowes_Consumiveis[[#This Row],[Status]]="Em Linha",Fellowes_Consumiveis[[#This Row],[Status]]="Componente",Fellowes_Consumiveis[[#This Row],[Status]]="Materia Prima"),Fellowes_Consumiveis[[#This Row],[Proj. de V. No prox. mes]]*10,"-")</f>
        <v>0.66666666666666663</v>
      </c>
      <c r="P12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-79.333333333333329</v>
      </c>
      <c r="Q12" s="75">
        <f>VLOOKUP(Fellowes_Consumiveis[[#This Row],[Código]],Projeção[#All],15,FALSE)</f>
        <v>6.6666666666666666E-2</v>
      </c>
      <c r="R12" s="39">
        <f>VLOOKUP(Fellowes_Consumiveis[[#This Row],[Código]],Projeção[#All],14,FALSE)</f>
        <v>9.9999999999999992E-2</v>
      </c>
      <c r="S12" s="39">
        <f>IFERROR(VLOOKUP(Fellowes_Consumiveis[[#This Row],[Código]],Venda_mes[],2,FALSE),0)</f>
        <v>0</v>
      </c>
      <c r="T12" s="44">
        <f>IFERROR(Fellowes_Consumiveis[[#This Row],[V. No mes]]/Fellowes_Consumiveis[[#This Row],[Proj. de V. No mes]],"")</f>
        <v>0</v>
      </c>
      <c r="U12" s="43">
        <f>VLOOKUP(Fellowes_Consumiveis[[#This Row],[Código]],Projeção[#All],14,FALSE)+VLOOKUP(Fellowes_Consumiveis[[#This Row],[Código]],Projeção[#All],13,FALSE)+VLOOKUP(Fellowes_Consumiveis[[#This Row],[Código]],Projeção[#All],12,FALSE)</f>
        <v>0.63333333333333319</v>
      </c>
      <c r="V12" s="39">
        <f>IFERROR(VLOOKUP(Fellowes_Consumiveis[[#This Row],[Código]],Venda_3meses[],2,FALSE),0)</f>
        <v>0</v>
      </c>
      <c r="W12" s="44">
        <f>IFERROR(Fellowes_Consumiveis[[#This Row],[V. 3 meses]]/Fellowes_Consumiveis[[#This Row],[Proj. de V. 3 meses]],"")</f>
        <v>0</v>
      </c>
      <c r="X12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6.5</v>
      </c>
      <c r="Y12" s="39">
        <f>IFERROR(VLOOKUP(Fellowes_Consumiveis[[#This Row],[Código]],Venda_12meses[],2,FALSE),0)</f>
        <v>2</v>
      </c>
      <c r="Z12" s="44">
        <f>IFERROR(Fellowes_Consumiveis[[#This Row],[V. 12 meses]]/Fellowes_Consumiveis[[#This Row],[Proj. de V. 12 meses]],"")</f>
        <v>0.30769230769230771</v>
      </c>
      <c r="AA12" s="22">
        <v>5411601</v>
      </c>
    </row>
    <row r="13" spans="1:27" x14ac:dyDescent="0.25">
      <c r="A13" s="22" t="str">
        <f>VLOOKUP(Fellowes_Consumiveis[[#This Row],[Código]],BD_Produto[#All],7,FALSE)</f>
        <v>Fora de linha</v>
      </c>
      <c r="B13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3" s="23">
        <v>33062562876</v>
      </c>
      <c r="D13" s="22" t="s">
        <v>881</v>
      </c>
      <c r="E13" s="22" t="str">
        <f>VLOOKUP(Fellowes_Consumiveis[[#This Row],[Código]],BD_Produto[],3,FALSE)</f>
        <v>insumo</v>
      </c>
      <c r="F13" s="22" t="str">
        <f>VLOOKUP(Fellowes_Consumiveis[[#This Row],[Código]],BD_Produto[],4,FALSE)</f>
        <v>Plastificadora</v>
      </c>
      <c r="G13" s="24"/>
      <c r="H13" s="25">
        <v>0.8</v>
      </c>
      <c r="I13" s="22"/>
      <c r="J13" s="24"/>
      <c r="K13" s="24" t="str">
        <f>IFERROR(VLOOKUP(Fellowes_Consumiveis[[#This Row],[Código]],Importação!P:R,3,FALSE),"")</f>
        <v/>
      </c>
      <c r="L13" s="24">
        <f>IFERROR(VLOOKUP(Fellowes_Consumiveis[[#This Row],[Código]],Saldo[],3,FALSE),0)</f>
        <v>84</v>
      </c>
      <c r="M13" s="24">
        <f>SUM(Fellowes_Consumiveis[[#This Row],[Produção]:[Estoque]])</f>
        <v>84</v>
      </c>
      <c r="N13" s="24">
        <f>IFERROR(Fellowes_Consumiveis[[#This Row],[Estoque+Importação]]/Fellowes_Consumiveis[[#This Row],[Proj. de V. No prox. mes]],"Sem Projeção")</f>
        <v>25.2</v>
      </c>
      <c r="O13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3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3" s="75">
        <f>VLOOKUP(Fellowes_Consumiveis[[#This Row],[Código]],Projeção[#All],15,FALSE)</f>
        <v>3.3333333333333335</v>
      </c>
      <c r="R13" s="39">
        <f>VLOOKUP(Fellowes_Consumiveis[[#This Row],[Código]],Projeção[#All],14,FALSE)</f>
        <v>0</v>
      </c>
      <c r="S13" s="39">
        <f>IFERROR(VLOOKUP(Fellowes_Consumiveis[[#This Row],[Código]],Venda_mes[],2,FALSE),0)</f>
        <v>0</v>
      </c>
      <c r="T13" s="44" t="str">
        <f>IFERROR(Fellowes_Consumiveis[[#This Row],[V. No mes]]/Fellowes_Consumiveis[[#This Row],[Proj. de V. No mes]],"")</f>
        <v/>
      </c>
      <c r="U13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3" s="39">
        <f>IFERROR(VLOOKUP(Fellowes_Consumiveis[[#This Row],[Código]],Venda_3meses[],2,FALSE),0)</f>
        <v>0</v>
      </c>
      <c r="W13" s="44" t="str">
        <f>IFERROR(Fellowes_Consumiveis[[#This Row],[V. 3 meses]]/Fellowes_Consumiveis[[#This Row],[Proj. de V. 3 meses]],"")</f>
        <v/>
      </c>
      <c r="X13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13" s="39">
        <f>IFERROR(VLOOKUP(Fellowes_Consumiveis[[#This Row],[Código]],Venda_12meses[],2,FALSE),0)</f>
        <v>100</v>
      </c>
      <c r="Z13" s="44" t="str">
        <f>IFERROR(Fellowes_Consumiveis[[#This Row],[V. 12 meses]]/Fellowes_Consumiveis[[#This Row],[Proj. de V. 12 meses]],"")</f>
        <v/>
      </c>
      <c r="AA13" s="22">
        <v>5306303</v>
      </c>
    </row>
    <row r="14" spans="1:27" x14ac:dyDescent="0.25">
      <c r="A14" s="22" t="str">
        <f>VLOOKUP(Fellowes_Consumiveis[[#This Row],[Código]],BD_Produto[#All],7,FALSE)</f>
        <v>Fora de linha</v>
      </c>
      <c r="B14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4" s="23">
        <v>33062562898</v>
      </c>
      <c r="D14" s="22" t="s">
        <v>1367</v>
      </c>
      <c r="E14" s="22" t="str">
        <f>VLOOKUP(Fellowes_Consumiveis[[#This Row],[Código]],BD_Produto[],3,FALSE)</f>
        <v>insumo</v>
      </c>
      <c r="F14" s="22" t="str">
        <f>VLOOKUP(Fellowes_Consumiveis[[#This Row],[Código]],BD_Produto[],4,FALSE)</f>
        <v>Encadernadora</v>
      </c>
      <c r="G14" s="24"/>
      <c r="H14" s="25">
        <v>7.46</v>
      </c>
      <c r="I14" s="22"/>
      <c r="J14" s="24"/>
      <c r="K14" s="24" t="str">
        <f>IFERROR(VLOOKUP(Fellowes_Consumiveis[[#This Row],[Código]],Importação!P:R,3,FALSE),"")</f>
        <v/>
      </c>
      <c r="L14" s="24">
        <f>IFERROR(VLOOKUP(Fellowes_Consumiveis[[#This Row],[Código]],Saldo[],3,FALSE),0)</f>
        <v>37</v>
      </c>
      <c r="M14" s="24">
        <f>SUM(Fellowes_Consumiveis[[#This Row],[Produção]:[Estoque]])</f>
        <v>37</v>
      </c>
      <c r="N14" s="24">
        <f>IFERROR(Fellowes_Consumiveis[[#This Row],[Estoque+Importação]]/Fellowes_Consumiveis[[#This Row],[Proj. de V. No prox. mes]],"Sem Projeção")</f>
        <v>27.75</v>
      </c>
      <c r="O14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4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4" s="75">
        <f>VLOOKUP(Fellowes_Consumiveis[[#This Row],[Código]],Projeção[#All],15,FALSE)</f>
        <v>1.3333333333333333</v>
      </c>
      <c r="R14" s="39">
        <f>VLOOKUP(Fellowes_Consumiveis[[#This Row],[Código]],Projeção[#All],14,FALSE)</f>
        <v>0</v>
      </c>
      <c r="S14" s="39">
        <f>IFERROR(VLOOKUP(Fellowes_Consumiveis[[#This Row],[Código]],Venda_mes[],2,FALSE),0)</f>
        <v>0</v>
      </c>
      <c r="T14" s="44" t="str">
        <f>IFERROR(Fellowes_Consumiveis[[#This Row],[V. No mes]]/Fellowes_Consumiveis[[#This Row],[Proj. de V. No mes]],"")</f>
        <v/>
      </c>
      <c r="U14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4" s="39">
        <f>IFERROR(VLOOKUP(Fellowes_Consumiveis[[#This Row],[Código]],Venda_3meses[],2,FALSE),0)</f>
        <v>0</v>
      </c>
      <c r="W14" s="44" t="str">
        <f>IFERROR(Fellowes_Consumiveis[[#This Row],[V. 3 meses]]/Fellowes_Consumiveis[[#This Row],[Proj. de V. 3 meses]],"")</f>
        <v/>
      </c>
      <c r="X14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14" s="39">
        <f>IFERROR(VLOOKUP(Fellowes_Consumiveis[[#This Row],[Código]],Venda_12meses[],2,FALSE),0)</f>
        <v>40</v>
      </c>
      <c r="Z14" s="44" t="str">
        <f>IFERROR(Fellowes_Consumiveis[[#This Row],[V. 12 meses]]/Fellowes_Consumiveis[[#This Row],[Proj. de V. 12 meses]],"")</f>
        <v/>
      </c>
      <c r="AA14" s="22">
        <v>53274</v>
      </c>
    </row>
    <row r="15" spans="1:27" x14ac:dyDescent="0.25">
      <c r="A15" s="22" t="str">
        <f>VLOOKUP(Fellowes_Consumiveis[[#This Row],[Código]],BD_Produto[#All],7,FALSE)</f>
        <v>Fora de linha</v>
      </c>
      <c r="B15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5" s="23">
        <v>33062562899</v>
      </c>
      <c r="D15" s="22" t="s">
        <v>1368</v>
      </c>
      <c r="E15" s="22" t="str">
        <f>VLOOKUP(Fellowes_Consumiveis[[#This Row],[Código]],BD_Produto[],3,FALSE)</f>
        <v>insumo</v>
      </c>
      <c r="F15" s="22" t="str">
        <f>VLOOKUP(Fellowes_Consumiveis[[#This Row],[Código]],BD_Produto[],4,FALSE)</f>
        <v>Encadernadora</v>
      </c>
      <c r="G15" s="24"/>
      <c r="H15" s="25">
        <v>7.46</v>
      </c>
      <c r="I15" s="22"/>
      <c r="J15" s="24"/>
      <c r="K15" s="24" t="str">
        <f>IFERROR(VLOOKUP(Fellowes_Consumiveis[[#This Row],[Código]],Importação!P:R,3,FALSE),"")</f>
        <v/>
      </c>
      <c r="L15" s="24">
        <f>IFERROR(VLOOKUP(Fellowes_Consumiveis[[#This Row],[Código]],Saldo[],3,FALSE),0)</f>
        <v>37</v>
      </c>
      <c r="M15" s="24">
        <f>SUM(Fellowes_Consumiveis[[#This Row],[Produção]:[Estoque]])</f>
        <v>37</v>
      </c>
      <c r="N15" s="24">
        <f>IFERROR(Fellowes_Consumiveis[[#This Row],[Estoque+Importação]]/Fellowes_Consumiveis[[#This Row],[Proj. de V. No prox. mes]],"Sem Projeção")</f>
        <v>27.75</v>
      </c>
      <c r="O15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5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5" s="75">
        <f>VLOOKUP(Fellowes_Consumiveis[[#This Row],[Código]],Projeção[#All],15,FALSE)</f>
        <v>1.3333333333333333</v>
      </c>
      <c r="R15" s="39">
        <f>VLOOKUP(Fellowes_Consumiveis[[#This Row],[Código]],Projeção[#All],14,FALSE)</f>
        <v>0</v>
      </c>
      <c r="S15" s="39">
        <f>IFERROR(VLOOKUP(Fellowes_Consumiveis[[#This Row],[Código]],Venda_mes[],2,FALSE),0)</f>
        <v>0</v>
      </c>
      <c r="T15" s="44" t="str">
        <f>IFERROR(Fellowes_Consumiveis[[#This Row],[V. No mes]]/Fellowes_Consumiveis[[#This Row],[Proj. de V. No mes]],"")</f>
        <v/>
      </c>
      <c r="U15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5" s="39">
        <f>IFERROR(VLOOKUP(Fellowes_Consumiveis[[#This Row],[Código]],Venda_3meses[],2,FALSE),0)</f>
        <v>0</v>
      </c>
      <c r="W15" s="44" t="str">
        <f>IFERROR(Fellowes_Consumiveis[[#This Row],[V. 3 meses]]/Fellowes_Consumiveis[[#This Row],[Proj. de V. 3 meses]],"")</f>
        <v/>
      </c>
      <c r="X15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15" s="39">
        <f>IFERROR(VLOOKUP(Fellowes_Consumiveis[[#This Row],[Código]],Venda_12meses[],2,FALSE),0)</f>
        <v>40</v>
      </c>
      <c r="Z15" s="44" t="str">
        <f>IFERROR(Fellowes_Consumiveis[[#This Row],[V. 12 meses]]/Fellowes_Consumiveis[[#This Row],[Proj. de V. 12 meses]],"")</f>
        <v/>
      </c>
      <c r="AA15" s="22">
        <v>53277</v>
      </c>
    </row>
    <row r="16" spans="1:27" x14ac:dyDescent="0.25">
      <c r="A16" s="22" t="str">
        <f>VLOOKUP(Fellowes_Consumiveis[[#This Row],[Código]],BD_Produto[#All],7,FALSE)</f>
        <v>Fora de linha</v>
      </c>
      <c r="B16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6" s="23">
        <v>33062562897</v>
      </c>
      <c r="D16" s="22" t="s">
        <v>1370</v>
      </c>
      <c r="E16" s="22" t="str">
        <f>VLOOKUP(Fellowes_Consumiveis[[#This Row],[Código]],BD_Produto[],3,FALSE)</f>
        <v>insumo</v>
      </c>
      <c r="F16" s="22" t="str">
        <f>VLOOKUP(Fellowes_Consumiveis[[#This Row],[Código]],BD_Produto[],4,FALSE)</f>
        <v>Encadernadora</v>
      </c>
      <c r="G16" s="24"/>
      <c r="H16" s="25">
        <v>6.32</v>
      </c>
      <c r="I16" s="22"/>
      <c r="J16" s="24"/>
      <c r="K16" s="24" t="str">
        <f>IFERROR(VLOOKUP(Fellowes_Consumiveis[[#This Row],[Código]],Importação!P:R,3,FALSE),"")</f>
        <v/>
      </c>
      <c r="L16" s="24">
        <f>IFERROR(VLOOKUP(Fellowes_Consumiveis[[#This Row],[Código]],Saldo[],3,FALSE),0)</f>
        <v>32</v>
      </c>
      <c r="M16" s="24">
        <f>SUM(Fellowes_Consumiveis[[#This Row],[Produção]:[Estoque]])</f>
        <v>32</v>
      </c>
      <c r="N16" s="24">
        <f>IFERROR(Fellowes_Consumiveis[[#This Row],[Estoque+Importação]]/Fellowes_Consumiveis[[#This Row],[Proj. de V. No prox. mes]],"Sem Projeção")</f>
        <v>8.7272727272727266</v>
      </c>
      <c r="O16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6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6" s="75">
        <f>VLOOKUP(Fellowes_Consumiveis[[#This Row],[Código]],Projeção[#All],15,FALSE)</f>
        <v>3.666666666666667</v>
      </c>
      <c r="R16" s="39">
        <f>VLOOKUP(Fellowes_Consumiveis[[#This Row],[Código]],Projeção[#All],14,FALSE)</f>
        <v>0</v>
      </c>
      <c r="S16" s="39">
        <f>IFERROR(VLOOKUP(Fellowes_Consumiveis[[#This Row],[Código]],Venda_mes[],2,FALSE),0)</f>
        <v>0</v>
      </c>
      <c r="T16" s="44" t="str">
        <f>IFERROR(Fellowes_Consumiveis[[#This Row],[V. No mes]]/Fellowes_Consumiveis[[#This Row],[Proj. de V. No mes]],"")</f>
        <v/>
      </c>
      <c r="U16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6" s="39">
        <f>IFERROR(VLOOKUP(Fellowes_Consumiveis[[#This Row],[Código]],Venda_3meses[],2,FALSE),0)</f>
        <v>10</v>
      </c>
      <c r="W16" s="44" t="str">
        <f>IFERROR(Fellowes_Consumiveis[[#This Row],[V. 3 meses]]/Fellowes_Consumiveis[[#This Row],[Proj. de V. 3 meses]],"")</f>
        <v/>
      </c>
      <c r="X16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16" s="39">
        <f>IFERROR(VLOOKUP(Fellowes_Consumiveis[[#This Row],[Código]],Venda_12meses[],2,FALSE),0)</f>
        <v>50</v>
      </c>
      <c r="Z16" s="44" t="str">
        <f>IFERROR(Fellowes_Consumiveis[[#This Row],[V. 12 meses]]/Fellowes_Consumiveis[[#This Row],[Proj. de V. 12 meses]],"")</f>
        <v/>
      </c>
      <c r="AA16" s="22">
        <v>53273</v>
      </c>
    </row>
    <row r="17" spans="1:27" x14ac:dyDescent="0.25">
      <c r="A17" s="22" t="str">
        <f>VLOOKUP(Fellowes_Consumiveis[[#This Row],[Código]],BD_Produto[#All],7,FALSE)</f>
        <v>Fora de linha</v>
      </c>
      <c r="B17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7" s="23">
        <v>33062562896</v>
      </c>
      <c r="D17" s="22" t="s">
        <v>1372</v>
      </c>
      <c r="E17" s="22" t="str">
        <f>VLOOKUP(Fellowes_Consumiveis[[#This Row],[Código]],BD_Produto[],3,FALSE)</f>
        <v>insumo</v>
      </c>
      <c r="F17" s="22" t="str">
        <f>VLOOKUP(Fellowes_Consumiveis[[#This Row],[Código]],BD_Produto[],4,FALSE)</f>
        <v>Encadernadora</v>
      </c>
      <c r="G17" s="24"/>
      <c r="H17" s="25">
        <v>6.32</v>
      </c>
      <c r="I17" s="22"/>
      <c r="J17" s="24"/>
      <c r="K17" s="24" t="str">
        <f>IFERROR(VLOOKUP(Fellowes_Consumiveis[[#This Row],[Código]],Importação!P:R,3,FALSE),"")</f>
        <v/>
      </c>
      <c r="L17" s="24">
        <f>IFERROR(VLOOKUP(Fellowes_Consumiveis[[#This Row],[Código]],Saldo[],3,FALSE),0)</f>
        <v>47</v>
      </c>
      <c r="M17" s="24">
        <f>SUM(Fellowes_Consumiveis[[#This Row],[Produção]:[Estoque]])</f>
        <v>47</v>
      </c>
      <c r="N17" s="24">
        <f>IFERROR(Fellowes_Consumiveis[[#This Row],[Estoque+Importação]]/Fellowes_Consumiveis[[#This Row],[Proj. de V. No prox. mes]],"Sem Projeção")</f>
        <v>12.818181818181817</v>
      </c>
      <c r="O17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7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7" s="75">
        <f>VLOOKUP(Fellowes_Consumiveis[[#This Row],[Código]],Projeção[#All],15,FALSE)</f>
        <v>3.666666666666667</v>
      </c>
      <c r="R17" s="39">
        <f>VLOOKUP(Fellowes_Consumiveis[[#This Row],[Código]],Projeção[#All],14,FALSE)</f>
        <v>0</v>
      </c>
      <c r="S17" s="39">
        <f>IFERROR(VLOOKUP(Fellowes_Consumiveis[[#This Row],[Código]],Venda_mes[],2,FALSE),0)</f>
        <v>0</v>
      </c>
      <c r="T17" s="44" t="str">
        <f>IFERROR(Fellowes_Consumiveis[[#This Row],[V. No mes]]/Fellowes_Consumiveis[[#This Row],[Proj. de V. No mes]],"")</f>
        <v/>
      </c>
      <c r="U17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7" s="39">
        <f>IFERROR(VLOOKUP(Fellowes_Consumiveis[[#This Row],[Código]],Venda_3meses[],2,FALSE),0)</f>
        <v>10</v>
      </c>
      <c r="W17" s="44" t="str">
        <f>IFERROR(Fellowes_Consumiveis[[#This Row],[V. 3 meses]]/Fellowes_Consumiveis[[#This Row],[Proj. de V. 3 meses]],"")</f>
        <v/>
      </c>
      <c r="X17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17" s="39">
        <f>IFERROR(VLOOKUP(Fellowes_Consumiveis[[#This Row],[Código]],Venda_12meses[],2,FALSE),0)</f>
        <v>50</v>
      </c>
      <c r="Z17" s="44" t="str">
        <f>IFERROR(Fellowes_Consumiveis[[#This Row],[V. 12 meses]]/Fellowes_Consumiveis[[#This Row],[Proj. de V. 12 meses]],"")</f>
        <v/>
      </c>
      <c r="AA17" s="22">
        <v>53270</v>
      </c>
    </row>
    <row r="18" spans="1:27" x14ac:dyDescent="0.25">
      <c r="A18" s="22" t="str">
        <f>VLOOKUP(Fellowes_Consumiveis[[#This Row],[Código]],BD_Produto[#All],7,FALSE)</f>
        <v>Fora de linha</v>
      </c>
      <c r="B18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8" s="23">
        <v>33062562892</v>
      </c>
      <c r="D18" s="22" t="s">
        <v>911</v>
      </c>
      <c r="E18" s="22" t="str">
        <f>VLOOKUP(Fellowes_Consumiveis[[#This Row],[Código]],BD_Produto[],3,FALSE)</f>
        <v>insumo</v>
      </c>
      <c r="F18" s="22" t="str">
        <f>VLOOKUP(Fellowes_Consumiveis[[#This Row],[Código]],BD_Produto[],4,FALSE)</f>
        <v>Encadernadora</v>
      </c>
      <c r="G18" s="24"/>
      <c r="H18" s="25">
        <v>3.16</v>
      </c>
      <c r="I18" s="22"/>
      <c r="J18" s="24"/>
      <c r="K18" s="24" t="str">
        <f>IFERROR(VLOOKUP(Fellowes_Consumiveis[[#This Row],[Código]],Importação!P:R,3,FALSE),"")</f>
        <v/>
      </c>
      <c r="L18" s="24">
        <f>IFERROR(VLOOKUP(Fellowes_Consumiveis[[#This Row],[Código]],Saldo[],3,FALSE),0)</f>
        <v>76</v>
      </c>
      <c r="M18" s="24">
        <f>SUM(Fellowes_Consumiveis[[#This Row],[Produção]:[Estoque]])</f>
        <v>76</v>
      </c>
      <c r="N18" s="24">
        <f>IFERROR(Fellowes_Consumiveis[[#This Row],[Estoque+Importação]]/Fellowes_Consumiveis[[#This Row],[Proj. de V. No prox. mes]],"Sem Projeção")</f>
        <v>12.666666666666666</v>
      </c>
      <c r="O18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8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8" s="75">
        <f>VLOOKUP(Fellowes_Consumiveis[[#This Row],[Código]],Projeção[#All],15,FALSE)</f>
        <v>6</v>
      </c>
      <c r="R18" s="39">
        <f>VLOOKUP(Fellowes_Consumiveis[[#This Row],[Código]],Projeção[#All],14,FALSE)</f>
        <v>0</v>
      </c>
      <c r="S18" s="39">
        <f>IFERROR(VLOOKUP(Fellowes_Consumiveis[[#This Row],[Código]],Venda_mes[],2,FALSE),0)</f>
        <v>0</v>
      </c>
      <c r="T18" s="44" t="str">
        <f>IFERROR(Fellowes_Consumiveis[[#This Row],[V. No mes]]/Fellowes_Consumiveis[[#This Row],[Proj. de V. No mes]],"")</f>
        <v/>
      </c>
      <c r="U18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8" s="39">
        <f>IFERROR(VLOOKUP(Fellowes_Consumiveis[[#This Row],[Código]],Venda_3meses[],2,FALSE),0)</f>
        <v>20</v>
      </c>
      <c r="W18" s="44" t="str">
        <f>IFERROR(Fellowes_Consumiveis[[#This Row],[V. 3 meses]]/Fellowes_Consumiveis[[#This Row],[Proj. de V. 3 meses]],"")</f>
        <v/>
      </c>
      <c r="X18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0.26666666666666666</v>
      </c>
      <c r="Y18" s="39">
        <f>IFERROR(VLOOKUP(Fellowes_Consumiveis[[#This Row],[Código]],Venda_12meses[],2,FALSE),0)</f>
        <v>60</v>
      </c>
      <c r="Z18" s="44">
        <f>IFERROR(Fellowes_Consumiveis[[#This Row],[V. 12 meses]]/Fellowes_Consumiveis[[#This Row],[Proj. de V. 12 meses]],"")</f>
        <v>225</v>
      </c>
      <c r="AA18" s="22">
        <v>53218</v>
      </c>
    </row>
    <row r="19" spans="1:27" x14ac:dyDescent="0.25">
      <c r="A19" s="22" t="str">
        <f>VLOOKUP(Fellowes_Consumiveis[[#This Row],[Código]],BD_Produto[#All],7,FALSE)</f>
        <v>Fora de linha</v>
      </c>
      <c r="B19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19" s="23">
        <v>33062562894</v>
      </c>
      <c r="D19" s="22" t="s">
        <v>1378</v>
      </c>
      <c r="E19" s="22" t="str">
        <f>VLOOKUP(Fellowes_Consumiveis[[#This Row],[Código]],BD_Produto[],3,FALSE)</f>
        <v>insumo</v>
      </c>
      <c r="F19" s="22" t="str">
        <f>VLOOKUP(Fellowes_Consumiveis[[#This Row],[Código]],BD_Produto[],4,FALSE)</f>
        <v>Encadernadora</v>
      </c>
      <c r="G19" s="24"/>
      <c r="H19" s="25">
        <v>3.97</v>
      </c>
      <c r="I19" s="22"/>
      <c r="J19" s="24"/>
      <c r="K19" s="24" t="str">
        <f>IFERROR(VLOOKUP(Fellowes_Consumiveis[[#This Row],[Código]],Importação!P:R,3,FALSE),"")</f>
        <v/>
      </c>
      <c r="L19" s="24">
        <f>IFERROR(VLOOKUP(Fellowes_Consumiveis[[#This Row],[Código]],Saldo[],3,FALSE),0)</f>
        <v>46</v>
      </c>
      <c r="M19" s="24">
        <f>SUM(Fellowes_Consumiveis[[#This Row],[Produção]:[Estoque]])</f>
        <v>46</v>
      </c>
      <c r="N19" s="24">
        <f>IFERROR(Fellowes_Consumiveis[[#This Row],[Estoque+Importação]]/Fellowes_Consumiveis[[#This Row],[Proj. de V. No prox. mes]],"Sem Projeção")</f>
        <v>3.5384615384615383</v>
      </c>
      <c r="O19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19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19" s="75">
        <f>VLOOKUP(Fellowes_Consumiveis[[#This Row],[Código]],Projeção[#All],15,FALSE)</f>
        <v>13</v>
      </c>
      <c r="R19" s="39">
        <f>VLOOKUP(Fellowes_Consumiveis[[#This Row],[Código]],Projeção[#All],14,FALSE)</f>
        <v>0</v>
      </c>
      <c r="S19" s="39">
        <f>IFERROR(VLOOKUP(Fellowes_Consumiveis[[#This Row],[Código]],Venda_mes[],2,FALSE),0)</f>
        <v>0</v>
      </c>
      <c r="T19" s="44" t="str">
        <f>IFERROR(Fellowes_Consumiveis[[#This Row],[V. No mes]]/Fellowes_Consumiveis[[#This Row],[Proj. de V. No mes]],"")</f>
        <v/>
      </c>
      <c r="U19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19" s="39">
        <f>IFERROR(VLOOKUP(Fellowes_Consumiveis[[#This Row],[Código]],Venda_3meses[],2,FALSE),0)</f>
        <v>50</v>
      </c>
      <c r="W19" s="44" t="str">
        <f>IFERROR(Fellowes_Consumiveis[[#This Row],[V. 3 meses]]/Fellowes_Consumiveis[[#This Row],[Proj. de V. 3 meses]],"")</f>
        <v/>
      </c>
      <c r="X19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19" s="39">
        <f>IFERROR(VLOOKUP(Fellowes_Consumiveis[[#This Row],[Código]],Venda_12meses[],2,FALSE),0)</f>
        <v>90</v>
      </c>
      <c r="Z19" s="44" t="str">
        <f>IFERROR(Fellowes_Consumiveis[[#This Row],[V. 12 meses]]/Fellowes_Consumiveis[[#This Row],[Proj. de V. 12 meses]],"")</f>
        <v/>
      </c>
      <c r="AA19" s="22">
        <v>53261</v>
      </c>
    </row>
    <row r="20" spans="1:27" x14ac:dyDescent="0.25">
      <c r="A20" s="22" t="str">
        <f>VLOOKUP(Fellowes_Consumiveis[[#This Row],[Código]],BD_Produto[#All],7,FALSE)</f>
        <v>Fora de linha</v>
      </c>
      <c r="B20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0" s="23">
        <v>33062562900</v>
      </c>
      <c r="D20" s="22" t="s">
        <v>1379</v>
      </c>
      <c r="E20" s="22" t="str">
        <f>VLOOKUP(Fellowes_Consumiveis[[#This Row],[Código]],BD_Produto[],3,FALSE)</f>
        <v>insumo</v>
      </c>
      <c r="F20" s="22" t="str">
        <f>VLOOKUP(Fellowes_Consumiveis[[#This Row],[Código]],BD_Produto[],4,FALSE)</f>
        <v>Encadernadora</v>
      </c>
      <c r="G20" s="24"/>
      <c r="H20" s="25">
        <v>4.7</v>
      </c>
      <c r="I20" s="22"/>
      <c r="J20" s="24"/>
      <c r="K20" s="24" t="str">
        <f>IFERROR(VLOOKUP(Fellowes_Consumiveis[[#This Row],[Código]],Importação!P:R,3,FALSE),"")</f>
        <v/>
      </c>
      <c r="L20" s="24">
        <f>IFERROR(VLOOKUP(Fellowes_Consumiveis[[#This Row],[Código]],Saldo[],3,FALSE),0)</f>
        <v>47</v>
      </c>
      <c r="M20" s="24">
        <f>SUM(Fellowes_Consumiveis[[#This Row],[Produção]:[Estoque]])</f>
        <v>47</v>
      </c>
      <c r="N20" s="24">
        <f>IFERROR(Fellowes_Consumiveis[[#This Row],[Estoque+Importação]]/Fellowes_Consumiveis[[#This Row],[Proj. de V. No prox. mes]],"Sem Projeção")</f>
        <v>3.6153846153846154</v>
      </c>
      <c r="O20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0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0" s="75">
        <f>VLOOKUP(Fellowes_Consumiveis[[#This Row],[Código]],Projeção[#All],15,FALSE)</f>
        <v>13</v>
      </c>
      <c r="R20" s="39">
        <f>VLOOKUP(Fellowes_Consumiveis[[#This Row],[Código]],Projeção[#All],14,FALSE)</f>
        <v>0</v>
      </c>
      <c r="S20" s="39">
        <f>IFERROR(VLOOKUP(Fellowes_Consumiveis[[#This Row],[Código]],Venda_mes[],2,FALSE),0)</f>
        <v>0</v>
      </c>
      <c r="T20" s="44" t="str">
        <f>IFERROR(Fellowes_Consumiveis[[#This Row],[V. No mes]]/Fellowes_Consumiveis[[#This Row],[Proj. de V. No mes]],"")</f>
        <v/>
      </c>
      <c r="U20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20" s="39">
        <f>IFERROR(VLOOKUP(Fellowes_Consumiveis[[#This Row],[Código]],Venda_3meses[],2,FALSE),0)</f>
        <v>50</v>
      </c>
      <c r="W20" s="44" t="str">
        <f>IFERROR(Fellowes_Consumiveis[[#This Row],[V. 3 meses]]/Fellowes_Consumiveis[[#This Row],[Proj. de V. 3 meses]],"")</f>
        <v/>
      </c>
      <c r="X20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20" s="39">
        <f>IFERROR(VLOOKUP(Fellowes_Consumiveis[[#This Row],[Código]],Venda_12meses[],2,FALSE),0)</f>
        <v>90</v>
      </c>
      <c r="Z20" s="44" t="str">
        <f>IFERROR(Fellowes_Consumiveis[[#This Row],[V. 12 meses]]/Fellowes_Consumiveis[[#This Row],[Proj. de V. 12 meses]],"")</f>
        <v/>
      </c>
      <c r="AA20" s="22">
        <v>53265</v>
      </c>
    </row>
    <row r="21" spans="1:27" x14ac:dyDescent="0.25">
      <c r="A21" s="22" t="str">
        <f>VLOOKUP(Fellowes_Consumiveis[[#This Row],[Código]],BD_Produto[#All],7,FALSE)</f>
        <v>Fora de linha</v>
      </c>
      <c r="B21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21" s="23">
        <v>33062562895</v>
      </c>
      <c r="D21" s="22" t="s">
        <v>1382</v>
      </c>
      <c r="E21" s="22" t="str">
        <f>VLOOKUP(Fellowes_Consumiveis[[#This Row],[Código]],BD_Produto[],3,FALSE)</f>
        <v>insumo</v>
      </c>
      <c r="F21" s="22" t="str">
        <f>VLOOKUP(Fellowes_Consumiveis[[#This Row],[Código]],BD_Produto[],4,FALSE)</f>
        <v>Encadernadora</v>
      </c>
      <c r="G21" s="24"/>
      <c r="H21" s="25">
        <v>4.7</v>
      </c>
      <c r="I21" s="22"/>
      <c r="J21" s="24"/>
      <c r="K21" s="24" t="str">
        <f>IFERROR(VLOOKUP(Fellowes_Consumiveis[[#This Row],[Código]],Importação!P:R,3,FALSE),"")</f>
        <v/>
      </c>
      <c r="L21" s="24">
        <f>IFERROR(VLOOKUP(Fellowes_Consumiveis[[#This Row],[Código]],Saldo[],3,FALSE),0)</f>
        <v>0</v>
      </c>
      <c r="M21" s="24">
        <f>SUM(Fellowes_Consumiveis[[#This Row],[Produção]:[Estoque]])</f>
        <v>0</v>
      </c>
      <c r="N21" s="24">
        <f>IFERROR(Fellowes_Consumiveis[[#This Row],[Estoque+Importação]]/Fellowes_Consumiveis[[#This Row],[Proj. de V. No prox. mes]],"Sem Projeção")</f>
        <v>0</v>
      </c>
      <c r="O21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1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1" s="75">
        <f>VLOOKUP(Fellowes_Consumiveis[[#This Row],[Código]],Projeção[#All],15,FALSE)</f>
        <v>11.133333333333331</v>
      </c>
      <c r="R21" s="39">
        <f>VLOOKUP(Fellowes_Consumiveis[[#This Row],[Código]],Projeção[#All],14,FALSE)</f>
        <v>0</v>
      </c>
      <c r="S21" s="39">
        <f>IFERROR(VLOOKUP(Fellowes_Consumiveis[[#This Row],[Código]],Venda_mes[],2,FALSE),0)</f>
        <v>0</v>
      </c>
      <c r="T21" s="44" t="str">
        <f>IFERROR(Fellowes_Consumiveis[[#This Row],[V. No mes]]/Fellowes_Consumiveis[[#This Row],[Proj. de V. No mes]],"")</f>
        <v/>
      </c>
      <c r="U21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21" s="39">
        <f>IFERROR(VLOOKUP(Fellowes_Consumiveis[[#This Row],[Código]],Venda_3meses[],2,FALSE),0)</f>
        <v>0</v>
      </c>
      <c r="W21" s="44" t="str">
        <f>IFERROR(Fellowes_Consumiveis[[#This Row],[V. 3 meses]]/Fellowes_Consumiveis[[#This Row],[Proj. de V. 3 meses]],"")</f>
        <v/>
      </c>
      <c r="X21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21" s="39">
        <f>IFERROR(VLOOKUP(Fellowes_Consumiveis[[#This Row],[Código]],Venda_12meses[],2,FALSE),0)</f>
        <v>138</v>
      </c>
      <c r="Z21" s="44" t="str">
        <f>IFERROR(Fellowes_Consumiveis[[#This Row],[V. 12 meses]]/Fellowes_Consumiveis[[#This Row],[Proj. de V. 12 meses]],"")</f>
        <v/>
      </c>
      <c r="AA21" s="22">
        <v>53262</v>
      </c>
    </row>
    <row r="22" spans="1:27" x14ac:dyDescent="0.25">
      <c r="A22" s="22" t="str">
        <f>VLOOKUP(Fellowes_Consumiveis[[#This Row],[Código]],BD_Produto[#All],7,FALSE)</f>
        <v>Fora de linha</v>
      </c>
      <c r="B22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2" s="23">
        <v>33062562891</v>
      </c>
      <c r="D22" s="22" t="s">
        <v>1380</v>
      </c>
      <c r="E22" s="22" t="str">
        <f>VLOOKUP(Fellowes_Consumiveis[[#This Row],[Código]],BD_Produto[],3,FALSE)</f>
        <v>insumo</v>
      </c>
      <c r="F22" s="22" t="str">
        <f>VLOOKUP(Fellowes_Consumiveis[[#This Row],[Código]],BD_Produto[],4,FALSE)</f>
        <v>Encadernadora</v>
      </c>
      <c r="G22" s="24"/>
      <c r="H22" s="25">
        <v>3.16</v>
      </c>
      <c r="I22" s="22"/>
      <c r="J22" s="24"/>
      <c r="K22" s="24" t="str">
        <f>IFERROR(VLOOKUP(Fellowes_Consumiveis[[#This Row],[Código]],Importação!P:R,3,FALSE),"")</f>
        <v/>
      </c>
      <c r="L22" s="24">
        <f>IFERROR(VLOOKUP(Fellowes_Consumiveis[[#This Row],[Código]],Saldo[],3,FALSE),0)</f>
        <v>77</v>
      </c>
      <c r="M22" s="24">
        <f>SUM(Fellowes_Consumiveis[[#This Row],[Produção]:[Estoque]])</f>
        <v>77</v>
      </c>
      <c r="N22" s="24">
        <f>IFERROR(Fellowes_Consumiveis[[#This Row],[Estoque+Importação]]/Fellowes_Consumiveis[[#This Row],[Proj. de V. No prox. mes]],"Sem Projeção")</f>
        <v>12.622950819672132</v>
      </c>
      <c r="O22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2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2" s="75">
        <f>VLOOKUP(Fellowes_Consumiveis[[#This Row],[Código]],Projeção[#All],15,FALSE)</f>
        <v>6.1</v>
      </c>
      <c r="R22" s="39">
        <f>VLOOKUP(Fellowes_Consumiveis[[#This Row],[Código]],Projeção[#All],14,FALSE)</f>
        <v>0</v>
      </c>
      <c r="S22" s="39">
        <f>IFERROR(VLOOKUP(Fellowes_Consumiveis[[#This Row],[Código]],Venda_mes[],2,FALSE),0)</f>
        <v>0</v>
      </c>
      <c r="T22" s="44" t="str">
        <f>IFERROR(Fellowes_Consumiveis[[#This Row],[V. No mes]]/Fellowes_Consumiveis[[#This Row],[Proj. de V. No mes]],"")</f>
        <v/>
      </c>
      <c r="U22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22" s="39">
        <f>IFERROR(VLOOKUP(Fellowes_Consumiveis[[#This Row],[Código]],Venda_3meses[],2,FALSE),0)</f>
        <v>20</v>
      </c>
      <c r="W22" s="44" t="str">
        <f>IFERROR(Fellowes_Consumiveis[[#This Row],[V. 3 meses]]/Fellowes_Consumiveis[[#This Row],[Proj. de V. 3 meses]],"")</f>
        <v/>
      </c>
      <c r="X22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22" s="39">
        <f>IFERROR(VLOOKUP(Fellowes_Consumiveis[[#This Row],[Código]],Venda_12meses[],2,FALSE),0)</f>
        <v>61</v>
      </c>
      <c r="Z22" s="44" t="str">
        <f>IFERROR(Fellowes_Consumiveis[[#This Row],[V. 12 meses]]/Fellowes_Consumiveis[[#This Row],[Proj. de V. 12 meses]],"")</f>
        <v/>
      </c>
      <c r="AA22" s="22">
        <v>53215</v>
      </c>
    </row>
    <row r="23" spans="1:27" x14ac:dyDescent="0.25">
      <c r="A23" s="22" t="str">
        <f>VLOOKUP(Fellowes_Consumiveis[[#This Row],[Código]],BD_Produto[#All],7,FALSE)</f>
        <v>Fora de linha</v>
      </c>
      <c r="B23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3" s="23">
        <v>33062562893</v>
      </c>
      <c r="D23" s="22" t="s">
        <v>1381</v>
      </c>
      <c r="E23" s="22" t="str">
        <f>VLOOKUP(Fellowes_Consumiveis[[#This Row],[Código]],BD_Produto[],3,FALSE)</f>
        <v>insumo</v>
      </c>
      <c r="F23" s="22" t="str">
        <f>VLOOKUP(Fellowes_Consumiveis[[#This Row],[Código]],BD_Produto[],4,FALSE)</f>
        <v>Encadernadora</v>
      </c>
      <c r="G23" s="24"/>
      <c r="H23" s="25">
        <v>3.97</v>
      </c>
      <c r="I23" s="22"/>
      <c r="J23" s="24"/>
      <c r="K23" s="24" t="str">
        <f>IFERROR(VLOOKUP(Fellowes_Consumiveis[[#This Row],[Código]],Importação!P:R,3,FALSE),"")</f>
        <v/>
      </c>
      <c r="L23" s="24">
        <f>IFERROR(VLOOKUP(Fellowes_Consumiveis[[#This Row],[Código]],Saldo[],3,FALSE),0)</f>
        <v>48</v>
      </c>
      <c r="M23" s="24">
        <f>SUM(Fellowes_Consumiveis[[#This Row],[Produção]:[Estoque]])</f>
        <v>48</v>
      </c>
      <c r="N23" s="24">
        <f>IFERROR(Fellowes_Consumiveis[[#This Row],[Estoque+Importação]]/Fellowes_Consumiveis[[#This Row],[Proj. de V. No prox. mes]],"Sem Projeção")</f>
        <v>3.6923076923076925</v>
      </c>
      <c r="O23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3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3" s="75">
        <f>VLOOKUP(Fellowes_Consumiveis[[#This Row],[Código]],Projeção[#All],15,FALSE)</f>
        <v>13</v>
      </c>
      <c r="R23" s="39">
        <f>VLOOKUP(Fellowes_Consumiveis[[#This Row],[Código]],Projeção[#All],14,FALSE)</f>
        <v>0</v>
      </c>
      <c r="S23" s="39">
        <f>IFERROR(VLOOKUP(Fellowes_Consumiveis[[#This Row],[Código]],Venda_mes[],2,FALSE),0)</f>
        <v>0</v>
      </c>
      <c r="T23" s="44" t="str">
        <f>IFERROR(Fellowes_Consumiveis[[#This Row],[V. No mes]]/Fellowes_Consumiveis[[#This Row],[Proj. de V. No mes]],"")</f>
        <v/>
      </c>
      <c r="U23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23" s="39">
        <f>IFERROR(VLOOKUP(Fellowes_Consumiveis[[#This Row],[Código]],Venda_3meses[],2,FALSE),0)</f>
        <v>50</v>
      </c>
      <c r="W23" s="44" t="str">
        <f>IFERROR(Fellowes_Consumiveis[[#This Row],[V. 3 meses]]/Fellowes_Consumiveis[[#This Row],[Proj. de V. 3 meses]],"")</f>
        <v/>
      </c>
      <c r="X23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23" s="39">
        <f>IFERROR(VLOOKUP(Fellowes_Consumiveis[[#This Row],[Código]],Venda_12meses[],2,FALSE),0)</f>
        <v>90</v>
      </c>
      <c r="Z23" s="44" t="str">
        <f>IFERROR(Fellowes_Consumiveis[[#This Row],[V. 12 meses]]/Fellowes_Consumiveis[[#This Row],[Proj. de V. 12 meses]],"")</f>
        <v/>
      </c>
      <c r="AA23" s="22">
        <v>53258</v>
      </c>
    </row>
    <row r="24" spans="1:27" x14ac:dyDescent="0.25">
      <c r="A24" s="22" t="str">
        <f>VLOOKUP(Fellowes_Consumiveis[[#This Row],[Código]],BD_Produto[#All],7,FALSE)</f>
        <v>Fora de linha</v>
      </c>
      <c r="B24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4" s="23">
        <v>33062562879</v>
      </c>
      <c r="D24" s="22" t="s">
        <v>868</v>
      </c>
      <c r="E24" s="22" t="str">
        <f>VLOOKUP(Fellowes_Consumiveis[[#This Row],[Código]],BD_Produto[],3,FALSE)</f>
        <v>insumo</v>
      </c>
      <c r="F24" s="22" t="str">
        <f>VLOOKUP(Fellowes_Consumiveis[[#This Row],[Código]],BD_Produto[],4,FALSE)</f>
        <v>Plastificadora</v>
      </c>
      <c r="G24" s="24"/>
      <c r="H24" s="25">
        <v>1.49</v>
      </c>
      <c r="I24" s="22"/>
      <c r="J24" s="24"/>
      <c r="K24" s="24" t="str">
        <f>IFERROR(VLOOKUP(Fellowes_Consumiveis[[#This Row],[Código]],Importação!P:R,3,FALSE),"")</f>
        <v/>
      </c>
      <c r="L24" s="24">
        <f>IFERROR(VLOOKUP(Fellowes_Consumiveis[[#This Row],[Código]],Saldo[],3,FALSE),0)</f>
        <v>262</v>
      </c>
      <c r="M24" s="24">
        <f>SUM(Fellowes_Consumiveis[[#This Row],[Produção]:[Estoque]])</f>
        <v>262</v>
      </c>
      <c r="N24" s="24">
        <f>IFERROR(Fellowes_Consumiveis[[#This Row],[Estoque+Importação]]/Fellowes_Consumiveis[[#This Row],[Proj. de V. No prox. mes]],"Sem Projeção")</f>
        <v>78.599999999999994</v>
      </c>
      <c r="O24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4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4" s="75">
        <f>VLOOKUP(Fellowes_Consumiveis[[#This Row],[Código]],Projeção[#All],15,FALSE)</f>
        <v>3.3333333333333335</v>
      </c>
      <c r="R24" s="39">
        <f>VLOOKUP(Fellowes_Consumiveis[[#This Row],[Código]],Projeção[#All],14,FALSE)</f>
        <v>0.26666666666666666</v>
      </c>
      <c r="S24" s="39">
        <f>IFERROR(VLOOKUP(Fellowes_Consumiveis[[#This Row],[Código]],Venda_mes[],2,FALSE),0)</f>
        <v>0</v>
      </c>
      <c r="T24" s="44">
        <f>IFERROR(Fellowes_Consumiveis[[#This Row],[V. No mes]]/Fellowes_Consumiveis[[#This Row],[Proj. de V. No mes]],"")</f>
        <v>0</v>
      </c>
      <c r="U24" s="43">
        <f>VLOOKUP(Fellowes_Consumiveis[[#This Row],[Código]],Projeção[#All],14,FALSE)+VLOOKUP(Fellowes_Consumiveis[[#This Row],[Código]],Projeção[#All],13,FALSE)+VLOOKUP(Fellowes_Consumiveis[[#This Row],[Código]],Projeção[#All],12,FALSE)</f>
        <v>0.79999999999999993</v>
      </c>
      <c r="V24" s="39">
        <f>IFERROR(VLOOKUP(Fellowes_Consumiveis[[#This Row],[Código]],Venda_3meses[],2,FALSE),0)</f>
        <v>0</v>
      </c>
      <c r="W24" s="44">
        <f>IFERROR(Fellowes_Consumiveis[[#This Row],[V. 3 meses]]/Fellowes_Consumiveis[[#This Row],[Proj. de V. 3 meses]],"")</f>
        <v>0</v>
      </c>
      <c r="X24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3.1333333333333324</v>
      </c>
      <c r="Y24" s="39">
        <f>IFERROR(VLOOKUP(Fellowes_Consumiveis[[#This Row],[Código]],Venda_12meses[],2,FALSE),0)</f>
        <v>100</v>
      </c>
      <c r="Z24" s="44">
        <f>IFERROR(Fellowes_Consumiveis[[#This Row],[V. 12 meses]]/Fellowes_Consumiveis[[#This Row],[Proj. de V. 12 meses]],"")</f>
        <v>31.914893617021285</v>
      </c>
      <c r="AA24" s="22">
        <v>5307102</v>
      </c>
    </row>
    <row r="25" spans="1:27" x14ac:dyDescent="0.25">
      <c r="A25" s="22" t="str">
        <f>VLOOKUP(Fellowes_Consumiveis[[#This Row],[Código]],BD_Produto[#All],7,FALSE)</f>
        <v>Fora de linha</v>
      </c>
      <c r="B25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5" s="23">
        <v>33062562887</v>
      </c>
      <c r="D25" s="22" t="s">
        <v>869</v>
      </c>
      <c r="E25" s="22" t="str">
        <f>VLOOKUP(Fellowes_Consumiveis[[#This Row],[Código]],BD_Produto[],3,FALSE)</f>
        <v>insumo</v>
      </c>
      <c r="F25" s="22" t="str">
        <f>VLOOKUP(Fellowes_Consumiveis[[#This Row],[Código]],BD_Produto[],4,FALSE)</f>
        <v>Plastificadora</v>
      </c>
      <c r="G25" s="24"/>
      <c r="H25" s="25">
        <v>6.14</v>
      </c>
      <c r="I25" s="22"/>
      <c r="J25" s="24"/>
      <c r="K25" s="24" t="str">
        <f>IFERROR(VLOOKUP(Fellowes_Consumiveis[[#This Row],[Código]],Importação!P:R,3,FALSE),"")</f>
        <v/>
      </c>
      <c r="L25" s="24">
        <f>IFERROR(VLOOKUP(Fellowes_Consumiveis[[#This Row],[Código]],Saldo[],3,FALSE),0)</f>
        <v>30</v>
      </c>
      <c r="M25" s="24">
        <f>SUM(Fellowes_Consumiveis[[#This Row],[Produção]:[Estoque]])</f>
        <v>30</v>
      </c>
      <c r="N25" s="24">
        <f>IFERROR(Fellowes_Consumiveis[[#This Row],[Estoque+Importação]]/Fellowes_Consumiveis[[#This Row],[Proj. de V. No prox. mes]],"Sem Projeção")</f>
        <v>69.230769230769241</v>
      </c>
      <c r="O25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5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5" s="75">
        <f>VLOOKUP(Fellowes_Consumiveis[[#This Row],[Código]],Projeção[#All],15,FALSE)</f>
        <v>0.43333333333333329</v>
      </c>
      <c r="R25" s="39">
        <f>VLOOKUP(Fellowes_Consumiveis[[#This Row],[Código]],Projeção[#All],14,FALSE)</f>
        <v>1.2999999999999998</v>
      </c>
      <c r="S25" s="39">
        <f>IFERROR(VLOOKUP(Fellowes_Consumiveis[[#This Row],[Código]],Venda_mes[],2,FALSE),0)</f>
        <v>1</v>
      </c>
      <c r="T25" s="44">
        <f>IFERROR(Fellowes_Consumiveis[[#This Row],[V. No mes]]/Fellowes_Consumiveis[[#This Row],[Proj. de V. No mes]],"")</f>
        <v>0.76923076923076938</v>
      </c>
      <c r="U25" s="43">
        <f>VLOOKUP(Fellowes_Consumiveis[[#This Row],[Código]],Projeção[#All],14,FALSE)+VLOOKUP(Fellowes_Consumiveis[[#This Row],[Código]],Projeção[#All],13,FALSE)+VLOOKUP(Fellowes_Consumiveis[[#This Row],[Código]],Projeção[#All],12,FALSE)</f>
        <v>3.0999999999999996</v>
      </c>
      <c r="V25" s="39">
        <f>IFERROR(VLOOKUP(Fellowes_Consumiveis[[#This Row],[Código]],Venda_3meses[],2,FALSE),0)</f>
        <v>1</v>
      </c>
      <c r="W25" s="44">
        <f>IFERROR(Fellowes_Consumiveis[[#This Row],[V. 3 meses]]/Fellowes_Consumiveis[[#This Row],[Proj. de V. 3 meses]],"")</f>
        <v>0.32258064516129037</v>
      </c>
      <c r="X25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15.933333333333334</v>
      </c>
      <c r="Y25" s="39">
        <f>IFERROR(VLOOKUP(Fellowes_Consumiveis[[#This Row],[Código]],Venda_12meses[],2,FALSE),0)</f>
        <v>5</v>
      </c>
      <c r="Z25" s="44">
        <f>IFERROR(Fellowes_Consumiveis[[#This Row],[V. 12 meses]]/Fellowes_Consumiveis[[#This Row],[Proj. de V. 12 meses]],"")</f>
        <v>0.31380753138075312</v>
      </c>
      <c r="AA25" s="22">
        <v>5351113</v>
      </c>
    </row>
    <row r="26" spans="1:27" x14ac:dyDescent="0.25">
      <c r="A26" s="22" t="str">
        <f>VLOOKUP(Fellowes_Consumiveis[[#This Row],[Código]],BD_Produto[#All],7,FALSE)</f>
        <v>Fora de linha</v>
      </c>
      <c r="B26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6" s="23">
        <v>33062562866</v>
      </c>
      <c r="D26" s="22" t="s">
        <v>1366</v>
      </c>
      <c r="E26" s="22" t="str">
        <f>VLOOKUP(Fellowes_Consumiveis[[#This Row],[Código]],BD_Produto[],3,FALSE)</f>
        <v>insumo</v>
      </c>
      <c r="F26" s="22" t="str">
        <f>VLOOKUP(Fellowes_Consumiveis[[#This Row],[Código]],BD_Produto[],4,FALSE)</f>
        <v>Encadernadora</v>
      </c>
      <c r="G26" s="24"/>
      <c r="H26" s="25">
        <v>3.77</v>
      </c>
      <c r="I26" s="22"/>
      <c r="J26" s="24"/>
      <c r="K26" s="24" t="str">
        <f>IFERROR(VLOOKUP(Fellowes_Consumiveis[[#This Row],[Código]],Importação!P:R,3,FALSE),"")</f>
        <v/>
      </c>
      <c r="L26" s="24">
        <f>IFERROR(VLOOKUP(Fellowes_Consumiveis[[#This Row],[Código]],Saldo[],3,FALSE),0)</f>
        <v>50</v>
      </c>
      <c r="M26" s="24">
        <f>SUM(Fellowes_Consumiveis[[#This Row],[Produção]:[Estoque]])</f>
        <v>50</v>
      </c>
      <c r="N26" s="24">
        <f>IFERROR(Fellowes_Consumiveis[[#This Row],[Estoque+Importação]]/Fellowes_Consumiveis[[#This Row],[Proj. de V. No prox. mes]],"Sem Projeção")</f>
        <v>1500</v>
      </c>
      <c r="O26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6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6" s="75">
        <f>VLOOKUP(Fellowes_Consumiveis[[#This Row],[Código]],Projeção[#All],15,FALSE)</f>
        <v>3.3333333333333333E-2</v>
      </c>
      <c r="R26" s="39">
        <f>VLOOKUP(Fellowes_Consumiveis[[#This Row],[Código]],Projeção[#All],14,FALSE)</f>
        <v>0.6333333333333333</v>
      </c>
      <c r="S26" s="39">
        <f>IFERROR(VLOOKUP(Fellowes_Consumiveis[[#This Row],[Código]],Venda_mes[],2,FALSE),0)</f>
        <v>0</v>
      </c>
      <c r="T26" s="44">
        <f>IFERROR(Fellowes_Consumiveis[[#This Row],[V. No mes]]/Fellowes_Consumiveis[[#This Row],[Proj. de V. No mes]],"")</f>
        <v>0</v>
      </c>
      <c r="U26" s="43">
        <f>VLOOKUP(Fellowes_Consumiveis[[#This Row],[Código]],Projeção[#All],14,FALSE)+VLOOKUP(Fellowes_Consumiveis[[#This Row],[Código]],Projeção[#All],13,FALSE)+VLOOKUP(Fellowes_Consumiveis[[#This Row],[Código]],Projeção[#All],12,FALSE)</f>
        <v>1.6666666666666667</v>
      </c>
      <c r="V26" s="39">
        <f>IFERROR(VLOOKUP(Fellowes_Consumiveis[[#This Row],[Código]],Venda_3meses[],2,FALSE),0)</f>
        <v>0</v>
      </c>
      <c r="W26" s="44">
        <f>IFERROR(Fellowes_Consumiveis[[#This Row],[V. 3 meses]]/Fellowes_Consumiveis[[#This Row],[Proj. de V. 3 meses]],"")</f>
        <v>0</v>
      </c>
      <c r="X26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5.166666666666667</v>
      </c>
      <c r="Y26" s="39">
        <f>IFERROR(VLOOKUP(Fellowes_Consumiveis[[#This Row],[Código]],Venda_12meses[],2,FALSE),0)</f>
        <v>1</v>
      </c>
      <c r="Z26" s="44">
        <f>IFERROR(Fellowes_Consumiveis[[#This Row],[V. 12 meses]]/Fellowes_Consumiveis[[#This Row],[Proj. de V. 12 meses]],"")</f>
        <v>0.19354838709677419</v>
      </c>
      <c r="AA26" s="22">
        <v>5347706</v>
      </c>
    </row>
    <row r="27" spans="1:27" x14ac:dyDescent="0.25">
      <c r="A27" s="22" t="str">
        <f>VLOOKUP(Fellowes_Consumiveis[[#This Row],[Código]],BD_Produto[#All],7,FALSE)</f>
        <v>Fora de linha</v>
      </c>
      <c r="B27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7" s="23">
        <v>33062562875</v>
      </c>
      <c r="D27" s="22" t="s">
        <v>1362</v>
      </c>
      <c r="E27" s="22" t="str">
        <f>VLOOKUP(Fellowes_Consumiveis[[#This Row],[Código]],BD_Produto[],3,FALSE)</f>
        <v>insumo</v>
      </c>
      <c r="F27" s="22" t="str">
        <f>VLOOKUP(Fellowes_Consumiveis[[#This Row],[Código]],BD_Produto[],4,FALSE)</f>
        <v>Encadernadora</v>
      </c>
      <c r="G27" s="24"/>
      <c r="H27" s="25">
        <v>5.3</v>
      </c>
      <c r="I27" s="22"/>
      <c r="J27" s="24"/>
      <c r="K27" s="24" t="str">
        <f>IFERROR(VLOOKUP(Fellowes_Consumiveis[[#This Row],[Código]],Importação!P:R,3,FALSE),"")</f>
        <v/>
      </c>
      <c r="L27" s="24">
        <f>IFERROR(VLOOKUP(Fellowes_Consumiveis[[#This Row],[Código]],Saldo[],3,FALSE),0)</f>
        <v>33</v>
      </c>
      <c r="M27" s="24">
        <f>SUM(Fellowes_Consumiveis[[#This Row],[Produção]:[Estoque]])</f>
        <v>33</v>
      </c>
      <c r="N27" s="24">
        <f>IFERROR(Fellowes_Consumiveis[[#This Row],[Estoque+Importação]]/Fellowes_Consumiveis[[#This Row],[Proj. de V. No prox. mes]],"Sem Projeção")</f>
        <v>330</v>
      </c>
      <c r="O27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7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7" s="75">
        <f>VLOOKUP(Fellowes_Consumiveis[[#This Row],[Código]],Projeção[#All],15,FALSE)</f>
        <v>9.9999999999999992E-2</v>
      </c>
      <c r="R27" s="39">
        <f>VLOOKUP(Fellowes_Consumiveis[[#This Row],[Código]],Projeção[#All],14,FALSE)</f>
        <v>0.39999999999999997</v>
      </c>
      <c r="S27" s="39">
        <f>IFERROR(VLOOKUP(Fellowes_Consumiveis[[#This Row],[Código]],Venda_mes[],2,FALSE),0)</f>
        <v>0</v>
      </c>
      <c r="T27" s="44">
        <f>IFERROR(Fellowes_Consumiveis[[#This Row],[V. No mes]]/Fellowes_Consumiveis[[#This Row],[Proj. de V. No mes]],"")</f>
        <v>0</v>
      </c>
      <c r="U27" s="43">
        <f>VLOOKUP(Fellowes_Consumiveis[[#This Row],[Código]],Projeção[#All],14,FALSE)+VLOOKUP(Fellowes_Consumiveis[[#This Row],[Código]],Projeção[#All],13,FALSE)+VLOOKUP(Fellowes_Consumiveis[[#This Row],[Código]],Projeção[#All],12,FALSE)</f>
        <v>1.2</v>
      </c>
      <c r="V27" s="39">
        <f>IFERROR(VLOOKUP(Fellowes_Consumiveis[[#This Row],[Código]],Venda_3meses[],2,FALSE),0)</f>
        <v>0</v>
      </c>
      <c r="W27" s="44">
        <f>IFERROR(Fellowes_Consumiveis[[#This Row],[V. 3 meses]]/Fellowes_Consumiveis[[#This Row],[Proj. de V. 3 meses]],"")</f>
        <v>0</v>
      </c>
      <c r="X27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4.7</v>
      </c>
      <c r="Y27" s="39">
        <f>IFERROR(VLOOKUP(Fellowes_Consumiveis[[#This Row],[Código]],Venda_12meses[],2,FALSE),0)</f>
        <v>1</v>
      </c>
      <c r="Z27" s="44">
        <f>IFERROR(Fellowes_Consumiveis[[#This Row],[V. 12 meses]]/Fellowes_Consumiveis[[#This Row],[Proj. de V. 12 meses]],"")</f>
        <v>0.21276595744680851</v>
      </c>
      <c r="AA27" s="22">
        <v>5350503</v>
      </c>
    </row>
    <row r="28" spans="1:27" x14ac:dyDescent="0.25">
      <c r="A28" s="22" t="str">
        <f>VLOOKUP(Fellowes_Consumiveis[[#This Row],[Código]],BD_Produto[#All],7,FALSE)</f>
        <v>Fora de linha</v>
      </c>
      <c r="B28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8" s="23">
        <v>33062562871</v>
      </c>
      <c r="D28" s="22" t="s">
        <v>957</v>
      </c>
      <c r="E28" s="22" t="str">
        <f>VLOOKUP(Fellowes_Consumiveis[[#This Row],[Código]],BD_Produto[],3,FALSE)</f>
        <v>insumo</v>
      </c>
      <c r="F28" s="22" t="str">
        <f>VLOOKUP(Fellowes_Consumiveis[[#This Row],[Código]],BD_Produto[],4,FALSE)</f>
        <v>Encadernadora</v>
      </c>
      <c r="G28" s="24"/>
      <c r="H28" s="25">
        <v>4.22</v>
      </c>
      <c r="I28" s="22"/>
      <c r="J28" s="24"/>
      <c r="K28" s="24" t="str">
        <f>IFERROR(VLOOKUP(Fellowes_Consumiveis[[#This Row],[Código]],Importação!P:R,3,FALSE),"")</f>
        <v/>
      </c>
      <c r="L28" s="24">
        <f>IFERROR(VLOOKUP(Fellowes_Consumiveis[[#This Row],[Código]],Saldo[],3,FALSE),0)</f>
        <v>33</v>
      </c>
      <c r="M28" s="24">
        <f>SUM(Fellowes_Consumiveis[[#This Row],[Produção]:[Estoque]])</f>
        <v>33</v>
      </c>
      <c r="N28" s="24">
        <f>IFERROR(Fellowes_Consumiveis[[#This Row],[Estoque+Importação]]/Fellowes_Consumiveis[[#This Row],[Proj. de V. No prox. mes]],"Sem Projeção")</f>
        <v>330</v>
      </c>
      <c r="O28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8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8" s="75">
        <f>VLOOKUP(Fellowes_Consumiveis[[#This Row],[Código]],Projeção[#All],15,FALSE)</f>
        <v>9.9999999999999992E-2</v>
      </c>
      <c r="R28" s="39">
        <f>VLOOKUP(Fellowes_Consumiveis[[#This Row],[Código]],Projeção[#All],14,FALSE)</f>
        <v>0.26666666666666666</v>
      </c>
      <c r="S28" s="39">
        <f>IFERROR(VLOOKUP(Fellowes_Consumiveis[[#This Row],[Código]],Venda_mes[],2,FALSE),0)</f>
        <v>0</v>
      </c>
      <c r="T28" s="44">
        <f>IFERROR(Fellowes_Consumiveis[[#This Row],[V. No mes]]/Fellowes_Consumiveis[[#This Row],[Proj. de V. No mes]],"")</f>
        <v>0</v>
      </c>
      <c r="U28" s="43">
        <f>VLOOKUP(Fellowes_Consumiveis[[#This Row],[Código]],Projeção[#All],14,FALSE)+VLOOKUP(Fellowes_Consumiveis[[#This Row],[Código]],Projeção[#All],13,FALSE)+VLOOKUP(Fellowes_Consumiveis[[#This Row],[Código]],Projeção[#All],12,FALSE)</f>
        <v>0.79999999999999993</v>
      </c>
      <c r="V28" s="39">
        <f>IFERROR(VLOOKUP(Fellowes_Consumiveis[[#This Row],[Código]],Venda_3meses[],2,FALSE),0)</f>
        <v>0</v>
      </c>
      <c r="W28" s="44">
        <f>IFERROR(Fellowes_Consumiveis[[#This Row],[V. 3 meses]]/Fellowes_Consumiveis[[#This Row],[Proj. de V. 3 meses]],"")</f>
        <v>0</v>
      </c>
      <c r="X28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3.1333333333333324</v>
      </c>
      <c r="Y28" s="39">
        <f>IFERROR(VLOOKUP(Fellowes_Consumiveis[[#This Row],[Código]],Venda_12meses[],2,FALSE),0)</f>
        <v>1</v>
      </c>
      <c r="Z28" s="44">
        <f>IFERROR(Fellowes_Consumiveis[[#This Row],[V. 12 meses]]/Fellowes_Consumiveis[[#This Row],[Proj. de V. 12 meses]],"")</f>
        <v>0.31914893617021284</v>
      </c>
      <c r="AA28" s="22">
        <v>5348903</v>
      </c>
    </row>
    <row r="29" spans="1:27" x14ac:dyDescent="0.25">
      <c r="A29" s="22" t="str">
        <f>VLOOKUP(Fellowes_Consumiveis[[#This Row],[Código]],BD_Produto[#All],7,FALSE)</f>
        <v>Fora de linha</v>
      </c>
      <c r="B29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29" s="23">
        <v>33062562856</v>
      </c>
      <c r="D29" s="22" t="s">
        <v>913</v>
      </c>
      <c r="E29" s="22" t="str">
        <f>VLOOKUP(Fellowes_Consumiveis[[#This Row],[Código]],BD_Produto[],3,FALSE)</f>
        <v>insumo</v>
      </c>
      <c r="F29" s="22" t="str">
        <f>VLOOKUP(Fellowes_Consumiveis[[#This Row],[Código]],BD_Produto[],4,FALSE)</f>
        <v>Encadernadora</v>
      </c>
      <c r="G29" s="24"/>
      <c r="H29" s="25">
        <v>1.23</v>
      </c>
      <c r="I29" s="22"/>
      <c r="J29" s="24"/>
      <c r="K29" s="24" t="str">
        <f>IFERROR(VLOOKUP(Fellowes_Consumiveis[[#This Row],[Código]],Importação!P:R,3,FALSE),"")</f>
        <v/>
      </c>
      <c r="L29" s="24">
        <f>IFERROR(VLOOKUP(Fellowes_Consumiveis[[#This Row],[Código]],Saldo[],3,FALSE),0)</f>
        <v>119</v>
      </c>
      <c r="M29" s="24">
        <f>SUM(Fellowes_Consumiveis[[#This Row],[Produção]:[Estoque]])</f>
        <v>119</v>
      </c>
      <c r="N29" s="24">
        <f>IFERROR(Fellowes_Consumiveis[[#This Row],[Estoque+Importação]]/Fellowes_Consumiveis[[#This Row],[Proj. de V. No prox. mes]],"Sem Projeção")</f>
        <v>3570</v>
      </c>
      <c r="O29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29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29" s="75">
        <f>VLOOKUP(Fellowes_Consumiveis[[#This Row],[Código]],Projeção[#All],15,FALSE)</f>
        <v>3.3333333333333333E-2</v>
      </c>
      <c r="R29" s="39">
        <f>VLOOKUP(Fellowes_Consumiveis[[#This Row],[Código]],Projeção[#All],14,FALSE)</f>
        <v>0.3666666666666667</v>
      </c>
      <c r="S29" s="39">
        <f>IFERROR(VLOOKUP(Fellowes_Consumiveis[[#This Row],[Código]],Venda_mes[],2,FALSE),0)</f>
        <v>0</v>
      </c>
      <c r="T29" s="44">
        <f>IFERROR(Fellowes_Consumiveis[[#This Row],[V. No mes]]/Fellowes_Consumiveis[[#This Row],[Proj. de V. No mes]],"")</f>
        <v>0</v>
      </c>
      <c r="U29" s="43">
        <f>VLOOKUP(Fellowes_Consumiveis[[#This Row],[Código]],Projeção[#All],14,FALSE)+VLOOKUP(Fellowes_Consumiveis[[#This Row],[Código]],Projeção[#All],13,FALSE)+VLOOKUP(Fellowes_Consumiveis[[#This Row],[Código]],Projeção[#All],12,FALSE)</f>
        <v>0.8666666666666667</v>
      </c>
      <c r="V29" s="39">
        <f>IFERROR(VLOOKUP(Fellowes_Consumiveis[[#This Row],[Código]],Venda_3meses[],2,FALSE),0)</f>
        <v>0</v>
      </c>
      <c r="W29" s="44">
        <f>IFERROR(Fellowes_Consumiveis[[#This Row],[V. 3 meses]]/Fellowes_Consumiveis[[#This Row],[Proj. de V. 3 meses]],"")</f>
        <v>0</v>
      </c>
      <c r="X29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5.8333333333333339</v>
      </c>
      <c r="Y29" s="39">
        <f>IFERROR(VLOOKUP(Fellowes_Consumiveis[[#This Row],[Código]],Venda_12meses[],2,FALSE),0)</f>
        <v>1</v>
      </c>
      <c r="Z29" s="44">
        <f>IFERROR(Fellowes_Consumiveis[[#This Row],[V. 12 meses]]/Fellowes_Consumiveis[[#This Row],[Proj. de V. 12 meses]],"")</f>
        <v>0.1714285714285714</v>
      </c>
      <c r="AA29" s="22">
        <v>5345708</v>
      </c>
    </row>
    <row r="30" spans="1:27" x14ac:dyDescent="0.25">
      <c r="A30" s="22" t="str">
        <f>VLOOKUP(Fellowes_Consumiveis[[#This Row],[Código]],BD_Produto[#All],7,FALSE)</f>
        <v>Fora de linha</v>
      </c>
      <c r="B30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0" s="23">
        <v>33062562858</v>
      </c>
      <c r="D30" s="22" t="s">
        <v>896</v>
      </c>
      <c r="E30" s="22" t="str">
        <f>VLOOKUP(Fellowes_Consumiveis[[#This Row],[Código]],BD_Produto[],3,FALSE)</f>
        <v>insumo</v>
      </c>
      <c r="F30" s="22" t="str">
        <f>VLOOKUP(Fellowes_Consumiveis[[#This Row],[Código]],BD_Produto[],4,FALSE)</f>
        <v>Encadernadora</v>
      </c>
      <c r="G30" s="24"/>
      <c r="H30" s="25">
        <v>1.38</v>
      </c>
      <c r="I30" s="22"/>
      <c r="J30" s="24"/>
      <c r="K30" s="24" t="str">
        <f>IFERROR(VLOOKUP(Fellowes_Consumiveis[[#This Row],[Código]],Importação!P:R,3,FALSE),"")</f>
        <v/>
      </c>
      <c r="L30" s="24">
        <f>IFERROR(VLOOKUP(Fellowes_Consumiveis[[#This Row],[Código]],Saldo[],3,FALSE),0)</f>
        <v>110</v>
      </c>
      <c r="M30" s="24">
        <f>SUM(Fellowes_Consumiveis[[#This Row],[Produção]:[Estoque]])</f>
        <v>110</v>
      </c>
      <c r="N30" s="24">
        <f>IFERROR(Fellowes_Consumiveis[[#This Row],[Estoque+Importação]]/Fellowes_Consumiveis[[#This Row],[Proj. de V. No prox. mes]],"Sem Projeção")</f>
        <v>550</v>
      </c>
      <c r="O30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0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0" s="75">
        <f>VLOOKUP(Fellowes_Consumiveis[[#This Row],[Código]],Projeção[#All],15,FALSE)</f>
        <v>0.19999999999999998</v>
      </c>
      <c r="R30" s="39">
        <f>VLOOKUP(Fellowes_Consumiveis[[#This Row],[Código]],Projeção[#All],14,FALSE)</f>
        <v>0.46666666666666656</v>
      </c>
      <c r="S30" s="39">
        <f>IFERROR(VLOOKUP(Fellowes_Consumiveis[[#This Row],[Código]],Venda_mes[],2,FALSE),0)</f>
        <v>0</v>
      </c>
      <c r="T30" s="44">
        <f>IFERROR(Fellowes_Consumiveis[[#This Row],[V. No mes]]/Fellowes_Consumiveis[[#This Row],[Proj. de V. No mes]],"")</f>
        <v>0</v>
      </c>
      <c r="U30" s="43">
        <f>VLOOKUP(Fellowes_Consumiveis[[#This Row],[Código]],Projeção[#All],14,FALSE)+VLOOKUP(Fellowes_Consumiveis[[#This Row],[Código]],Projeção[#All],13,FALSE)+VLOOKUP(Fellowes_Consumiveis[[#This Row],[Código]],Projeção[#All],12,FALSE)</f>
        <v>1.3999999999999997</v>
      </c>
      <c r="V30" s="39">
        <f>IFERROR(VLOOKUP(Fellowes_Consumiveis[[#This Row],[Código]],Venda_3meses[],2,FALSE),0)</f>
        <v>0</v>
      </c>
      <c r="W30" s="44">
        <f>IFERROR(Fellowes_Consumiveis[[#This Row],[V. 3 meses]]/Fellowes_Consumiveis[[#This Row],[Proj. de V. 3 meses]],"")</f>
        <v>0</v>
      </c>
      <c r="X30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7.3666666666666636</v>
      </c>
      <c r="Y30" s="39">
        <f>IFERROR(VLOOKUP(Fellowes_Consumiveis[[#This Row],[Código]],Venda_12meses[],2,FALSE),0)</f>
        <v>2</v>
      </c>
      <c r="Z30" s="44">
        <f>IFERROR(Fellowes_Consumiveis[[#This Row],[V. 12 meses]]/Fellowes_Consumiveis[[#This Row],[Proj. de V. 12 meses]],"")</f>
        <v>0.27149321266968335</v>
      </c>
      <c r="AA30" s="22">
        <v>5346109</v>
      </c>
    </row>
    <row r="31" spans="1:27" x14ac:dyDescent="0.25">
      <c r="A31" s="22" t="str">
        <f>VLOOKUP(Fellowes_Consumiveis[[#This Row],[Código]],BD_Produto[#All],7,FALSE)</f>
        <v>Fora de linha</v>
      </c>
      <c r="B31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1" s="23">
        <v>33062562870</v>
      </c>
      <c r="D31" s="22" t="s">
        <v>958</v>
      </c>
      <c r="E31" s="22" t="str">
        <f>VLOOKUP(Fellowes_Consumiveis[[#This Row],[Código]],BD_Produto[],3,FALSE)</f>
        <v>insumo</v>
      </c>
      <c r="F31" s="22" t="str">
        <f>VLOOKUP(Fellowes_Consumiveis[[#This Row],[Código]],BD_Produto[],4,FALSE)</f>
        <v>Encadernadora</v>
      </c>
      <c r="G31" s="24"/>
      <c r="H31" s="25">
        <v>3.2</v>
      </c>
      <c r="I31" s="22"/>
      <c r="J31" s="24"/>
      <c r="K31" s="24" t="str">
        <f>IFERROR(VLOOKUP(Fellowes_Consumiveis[[#This Row],[Código]],Importação!P:R,3,FALSE),"")</f>
        <v/>
      </c>
      <c r="L31" s="24">
        <f>IFERROR(VLOOKUP(Fellowes_Consumiveis[[#This Row],[Código]],Saldo[],3,FALSE),0)</f>
        <v>32</v>
      </c>
      <c r="M31" s="24">
        <f>SUM(Fellowes_Consumiveis[[#This Row],[Produção]:[Estoque]])</f>
        <v>32</v>
      </c>
      <c r="N31" s="24" t="str">
        <f>IFERROR(Fellowes_Consumiveis[[#This Row],[Estoque+Importação]]/Fellowes_Consumiveis[[#This Row],[Proj. de V. No prox. mes]],"Sem Projeção")</f>
        <v>Sem Projeção</v>
      </c>
      <c r="O31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1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1" s="75">
        <f>VLOOKUP(Fellowes_Consumiveis[[#This Row],[Código]],Projeção[#All],15,FALSE)</f>
        <v>0</v>
      </c>
      <c r="R31" s="39">
        <f>VLOOKUP(Fellowes_Consumiveis[[#This Row],[Código]],Projeção[#All],14,FALSE)</f>
        <v>9.9999999999999992E-2</v>
      </c>
      <c r="S31" s="39">
        <f>IFERROR(VLOOKUP(Fellowes_Consumiveis[[#This Row],[Código]],Venda_mes[],2,FALSE),0)</f>
        <v>0</v>
      </c>
      <c r="T31" s="44">
        <f>IFERROR(Fellowes_Consumiveis[[#This Row],[V. No mes]]/Fellowes_Consumiveis[[#This Row],[Proj. de V. No mes]],"")</f>
        <v>0</v>
      </c>
      <c r="U31" s="43">
        <f>VLOOKUP(Fellowes_Consumiveis[[#This Row],[Código]],Projeção[#All],14,FALSE)+VLOOKUP(Fellowes_Consumiveis[[#This Row],[Código]],Projeção[#All],13,FALSE)+VLOOKUP(Fellowes_Consumiveis[[#This Row],[Código]],Projeção[#All],12,FALSE)</f>
        <v>0.23333333333333331</v>
      </c>
      <c r="V31" s="39">
        <f>IFERROR(VLOOKUP(Fellowes_Consumiveis[[#This Row],[Código]],Venda_3meses[],2,FALSE),0)</f>
        <v>0</v>
      </c>
      <c r="W31" s="44">
        <f>IFERROR(Fellowes_Consumiveis[[#This Row],[V. 3 meses]]/Fellowes_Consumiveis[[#This Row],[Proj. de V. 3 meses]],"")</f>
        <v>0</v>
      </c>
      <c r="X31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1.4333333333333329</v>
      </c>
      <c r="Y31" s="39">
        <f>IFERROR(VLOOKUP(Fellowes_Consumiveis[[#This Row],[Código]],Venda_12meses[],2,FALSE),0)</f>
        <v>0</v>
      </c>
      <c r="Z31" s="44">
        <f>IFERROR(Fellowes_Consumiveis[[#This Row],[V. 12 meses]]/Fellowes_Consumiveis[[#This Row],[Proj. de V. 12 meses]],"")</f>
        <v>0</v>
      </c>
      <c r="AA31" s="22">
        <v>5348505</v>
      </c>
    </row>
    <row r="32" spans="1:27" x14ac:dyDescent="0.25">
      <c r="A32" s="22" t="str">
        <f>VLOOKUP(Fellowes_Consumiveis[[#This Row],[Código]],BD_Produto[#All],7,FALSE)</f>
        <v>Fora de linha</v>
      </c>
      <c r="B32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2" s="23">
        <v>33062562860</v>
      </c>
      <c r="D32" s="22" t="s">
        <v>910</v>
      </c>
      <c r="E32" s="22" t="str">
        <f>VLOOKUP(Fellowes_Consumiveis[[#This Row],[Código]],BD_Produto[],3,FALSE)</f>
        <v>insumo</v>
      </c>
      <c r="F32" s="22" t="str">
        <f>VLOOKUP(Fellowes_Consumiveis[[#This Row],[Código]],BD_Produto[],4,FALSE)</f>
        <v>Encadernadora</v>
      </c>
      <c r="G32" s="24"/>
      <c r="H32" s="25">
        <v>2.13</v>
      </c>
      <c r="I32" s="22"/>
      <c r="J32" s="24"/>
      <c r="K32" s="24" t="str">
        <f>IFERROR(VLOOKUP(Fellowes_Consumiveis[[#This Row],[Código]],Importação!P:R,3,FALSE),"")</f>
        <v/>
      </c>
      <c r="L32" s="24">
        <f>IFERROR(VLOOKUP(Fellowes_Consumiveis[[#This Row],[Código]],Saldo[],3,FALSE),0)</f>
        <v>82</v>
      </c>
      <c r="M32" s="24">
        <f>SUM(Fellowes_Consumiveis[[#This Row],[Produção]:[Estoque]])</f>
        <v>82</v>
      </c>
      <c r="N32" s="24">
        <f>IFERROR(Fellowes_Consumiveis[[#This Row],[Estoque+Importação]]/Fellowes_Consumiveis[[#This Row],[Proj. de V. No prox. mes]],"Sem Projeção")</f>
        <v>117.14285714285714</v>
      </c>
      <c r="O32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2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2" s="75">
        <f>VLOOKUP(Fellowes_Consumiveis[[#This Row],[Código]],Projeção[#All],15,FALSE)</f>
        <v>0.70000000000000007</v>
      </c>
      <c r="R32" s="39">
        <f>VLOOKUP(Fellowes_Consumiveis[[#This Row],[Código]],Projeção[#All],14,FALSE)</f>
        <v>0.16666666666666663</v>
      </c>
      <c r="S32" s="39">
        <f>IFERROR(VLOOKUP(Fellowes_Consumiveis[[#This Row],[Código]],Venda_mes[],2,FALSE),0)</f>
        <v>1</v>
      </c>
      <c r="T32" s="44">
        <f>IFERROR(Fellowes_Consumiveis[[#This Row],[V. No mes]]/Fellowes_Consumiveis[[#This Row],[Proj. de V. No mes]],"")</f>
        <v>6.0000000000000018</v>
      </c>
      <c r="U32" s="43">
        <f>VLOOKUP(Fellowes_Consumiveis[[#This Row],[Código]],Projeção[#All],14,FALSE)+VLOOKUP(Fellowes_Consumiveis[[#This Row],[Código]],Projeção[#All],13,FALSE)+VLOOKUP(Fellowes_Consumiveis[[#This Row],[Código]],Projeção[#All],12,FALSE)</f>
        <v>0.43333333333333324</v>
      </c>
      <c r="V32" s="39">
        <f>IFERROR(VLOOKUP(Fellowes_Consumiveis[[#This Row],[Código]],Venda_3meses[],2,FALSE),0)</f>
        <v>3</v>
      </c>
      <c r="W32" s="44">
        <f>IFERROR(Fellowes_Consumiveis[[#This Row],[V. 3 meses]]/Fellowes_Consumiveis[[#This Row],[Proj. de V. 3 meses]],"")</f>
        <v>6.9230769230769242</v>
      </c>
      <c r="X32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3.5</v>
      </c>
      <c r="Y32" s="39">
        <f>IFERROR(VLOOKUP(Fellowes_Consumiveis[[#This Row],[Código]],Venda_12meses[],2,FALSE),0)</f>
        <v>3</v>
      </c>
      <c r="Z32" s="44">
        <f>IFERROR(Fellowes_Consumiveis[[#This Row],[V. 12 meses]]/Fellowes_Consumiveis[[#This Row],[Proj. de V. 12 meses]],"")</f>
        <v>0.8571428571428571</v>
      </c>
      <c r="AA32" s="22">
        <v>5346508</v>
      </c>
    </row>
    <row r="33" spans="1:27" x14ac:dyDescent="0.25">
      <c r="A33" s="22" t="str">
        <f>VLOOKUP(Fellowes_Consumiveis[[#This Row],[Código]],BD_Produto[#All],7,FALSE)</f>
        <v>Fora de linha</v>
      </c>
      <c r="B33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3" s="23">
        <v>33062562868</v>
      </c>
      <c r="D33" s="22" t="s">
        <v>960</v>
      </c>
      <c r="E33" s="22" t="str">
        <f>VLOOKUP(Fellowes_Consumiveis[[#This Row],[Código]],BD_Produto[],3,FALSE)</f>
        <v>insumo</v>
      </c>
      <c r="F33" s="22" t="str">
        <f>VLOOKUP(Fellowes_Consumiveis[[#This Row],[Código]],BD_Produto[],4,FALSE)</f>
        <v>Encadernadora</v>
      </c>
      <c r="G33" s="24"/>
      <c r="H33" s="25">
        <v>2.4900000000000002</v>
      </c>
      <c r="I33" s="22"/>
      <c r="J33" s="24"/>
      <c r="K33" s="24" t="str">
        <f>IFERROR(VLOOKUP(Fellowes_Consumiveis[[#This Row],[Código]],Importação!P:R,3,FALSE),"")</f>
        <v/>
      </c>
      <c r="L33" s="24">
        <f>IFERROR(VLOOKUP(Fellowes_Consumiveis[[#This Row],[Código]],Saldo[],3,FALSE),0)</f>
        <v>49</v>
      </c>
      <c r="M33" s="24">
        <f>SUM(Fellowes_Consumiveis[[#This Row],[Produção]:[Estoque]])</f>
        <v>49</v>
      </c>
      <c r="N33" s="24" t="str">
        <f>IFERROR(Fellowes_Consumiveis[[#This Row],[Estoque+Importação]]/Fellowes_Consumiveis[[#This Row],[Proj. de V. No prox. mes]],"Sem Projeção")</f>
        <v>Sem Projeção</v>
      </c>
      <c r="O33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3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3" s="75">
        <f>VLOOKUP(Fellowes_Consumiveis[[#This Row],[Código]],Projeção[#All],15,FALSE)</f>
        <v>0</v>
      </c>
      <c r="R33" s="39">
        <f>VLOOKUP(Fellowes_Consumiveis[[#This Row],[Código]],Projeção[#All],14,FALSE)</f>
        <v>9.9999999999999992E-2</v>
      </c>
      <c r="S33" s="39">
        <f>IFERROR(VLOOKUP(Fellowes_Consumiveis[[#This Row],[Código]],Venda_mes[],2,FALSE),0)</f>
        <v>0</v>
      </c>
      <c r="T33" s="44">
        <f>IFERROR(Fellowes_Consumiveis[[#This Row],[V. No mes]]/Fellowes_Consumiveis[[#This Row],[Proj. de V. No mes]],"")</f>
        <v>0</v>
      </c>
      <c r="U33" s="43">
        <f>VLOOKUP(Fellowes_Consumiveis[[#This Row],[Código]],Projeção[#All],14,FALSE)+VLOOKUP(Fellowes_Consumiveis[[#This Row],[Código]],Projeção[#All],13,FALSE)+VLOOKUP(Fellowes_Consumiveis[[#This Row],[Código]],Projeção[#All],12,FALSE)</f>
        <v>0.23333333333333331</v>
      </c>
      <c r="V33" s="39">
        <f>IFERROR(VLOOKUP(Fellowes_Consumiveis[[#This Row],[Código]],Venda_3meses[],2,FALSE),0)</f>
        <v>0</v>
      </c>
      <c r="W33" s="44">
        <f>IFERROR(Fellowes_Consumiveis[[#This Row],[V. 3 meses]]/Fellowes_Consumiveis[[#This Row],[Proj. de V. 3 meses]],"")</f>
        <v>0</v>
      </c>
      <c r="X33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1.4333333333333329</v>
      </c>
      <c r="Y33" s="39">
        <f>IFERROR(VLOOKUP(Fellowes_Consumiveis[[#This Row],[Código]],Venda_12meses[],2,FALSE),0)</f>
        <v>0</v>
      </c>
      <c r="Z33" s="44">
        <f>IFERROR(Fellowes_Consumiveis[[#This Row],[V. 12 meses]]/Fellowes_Consumiveis[[#This Row],[Proj. de V. 12 meses]],"")</f>
        <v>0</v>
      </c>
      <c r="AA33" s="22">
        <v>5348104</v>
      </c>
    </row>
    <row r="34" spans="1:27" x14ac:dyDescent="0.25">
      <c r="A34" s="22" t="str">
        <f>VLOOKUP(Fellowes_Consumiveis[[#This Row],[Código]],BD_Produto[#All],7,FALSE)</f>
        <v>Fora de linha</v>
      </c>
      <c r="B34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4" s="23">
        <v>33062562862</v>
      </c>
      <c r="D34" s="22" t="s">
        <v>961</v>
      </c>
      <c r="E34" s="22" t="str">
        <f>VLOOKUP(Fellowes_Consumiveis[[#This Row],[Código]],BD_Produto[],3,FALSE)</f>
        <v>insumo</v>
      </c>
      <c r="F34" s="22" t="str">
        <f>VLOOKUP(Fellowes_Consumiveis[[#This Row],[Código]],BD_Produto[],4,FALSE)</f>
        <v>Encadernadora</v>
      </c>
      <c r="G34" s="24"/>
      <c r="H34" s="25">
        <v>2.44</v>
      </c>
      <c r="I34" s="22"/>
      <c r="J34" s="24"/>
      <c r="K34" s="24" t="str">
        <f>IFERROR(VLOOKUP(Fellowes_Consumiveis[[#This Row],[Código]],Importação!P:R,3,FALSE),"")</f>
        <v/>
      </c>
      <c r="L34" s="24">
        <f>IFERROR(VLOOKUP(Fellowes_Consumiveis[[#This Row],[Código]],Saldo[],3,FALSE),0)</f>
        <v>56</v>
      </c>
      <c r="M34" s="24">
        <f>SUM(Fellowes_Consumiveis[[#This Row],[Produção]:[Estoque]])</f>
        <v>56</v>
      </c>
      <c r="N34" s="24" t="str">
        <f>IFERROR(Fellowes_Consumiveis[[#This Row],[Estoque+Importação]]/Fellowes_Consumiveis[[#This Row],[Proj. de V. No prox. mes]],"Sem Projeção")</f>
        <v>Sem Projeção</v>
      </c>
      <c r="O34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4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4" s="75">
        <f>VLOOKUP(Fellowes_Consumiveis[[#This Row],[Código]],Projeção[#All],15,FALSE)</f>
        <v>0</v>
      </c>
      <c r="R34" s="39">
        <f>VLOOKUP(Fellowes_Consumiveis[[#This Row],[Código]],Projeção[#All],14,FALSE)</f>
        <v>3.3333333333333333E-2</v>
      </c>
      <c r="S34" s="39">
        <f>IFERROR(VLOOKUP(Fellowes_Consumiveis[[#This Row],[Código]],Venda_mes[],2,FALSE),0)</f>
        <v>0</v>
      </c>
      <c r="T34" s="44">
        <f>IFERROR(Fellowes_Consumiveis[[#This Row],[V. No mes]]/Fellowes_Consumiveis[[#This Row],[Proj. de V. No mes]],"")</f>
        <v>0</v>
      </c>
      <c r="U34" s="43">
        <f>VLOOKUP(Fellowes_Consumiveis[[#This Row],[Código]],Projeção[#All],14,FALSE)+VLOOKUP(Fellowes_Consumiveis[[#This Row],[Código]],Projeção[#All],13,FALSE)+VLOOKUP(Fellowes_Consumiveis[[#This Row],[Código]],Projeção[#All],12,FALSE)</f>
        <v>0.1</v>
      </c>
      <c r="V34" s="39">
        <f>IFERROR(VLOOKUP(Fellowes_Consumiveis[[#This Row],[Código]],Venda_3meses[],2,FALSE),0)</f>
        <v>0</v>
      </c>
      <c r="W34" s="44">
        <f>IFERROR(Fellowes_Consumiveis[[#This Row],[V. 3 meses]]/Fellowes_Consumiveis[[#This Row],[Proj. de V. 3 meses]],"")</f>
        <v>0</v>
      </c>
      <c r="X34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1.1999999999999997</v>
      </c>
      <c r="Y34" s="39">
        <f>IFERROR(VLOOKUP(Fellowes_Consumiveis[[#This Row],[Código]],Venda_12meses[],2,FALSE),0)</f>
        <v>0</v>
      </c>
      <c r="Z34" s="44">
        <f>IFERROR(Fellowes_Consumiveis[[#This Row],[V. 12 meses]]/Fellowes_Consumiveis[[#This Row],[Proj. de V. 12 meses]],"")</f>
        <v>0</v>
      </c>
      <c r="AA34" s="22">
        <v>5346908</v>
      </c>
    </row>
    <row r="35" spans="1:27" x14ac:dyDescent="0.25">
      <c r="A35" s="22" t="str">
        <f>VLOOKUP(Fellowes_Consumiveis[[#This Row],[Código]],BD_Produto[#All],7,FALSE)</f>
        <v>Fora de linha</v>
      </c>
      <c r="B35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5" s="23">
        <v>33062562864</v>
      </c>
      <c r="D35" s="22" t="s">
        <v>909</v>
      </c>
      <c r="E35" s="22" t="str">
        <f>VLOOKUP(Fellowes_Consumiveis[[#This Row],[Código]],BD_Produto[],3,FALSE)</f>
        <v>insumo</v>
      </c>
      <c r="F35" s="22" t="str">
        <f>VLOOKUP(Fellowes_Consumiveis[[#This Row],[Código]],BD_Produto[],4,FALSE)</f>
        <v>Encadernadora</v>
      </c>
      <c r="G35" s="24"/>
      <c r="H35" s="25">
        <v>3.23</v>
      </c>
      <c r="I35" s="22"/>
      <c r="J35" s="24"/>
      <c r="K35" s="24" t="str">
        <f>IFERROR(VLOOKUP(Fellowes_Consumiveis[[#This Row],[Código]],Importação!P:R,3,FALSE),"")</f>
        <v/>
      </c>
      <c r="L35" s="24">
        <f>IFERROR(VLOOKUP(Fellowes_Consumiveis[[#This Row],[Código]],Saldo[],3,FALSE),0)</f>
        <v>65</v>
      </c>
      <c r="M35" s="24">
        <f>SUM(Fellowes_Consumiveis[[#This Row],[Produção]:[Estoque]])</f>
        <v>65</v>
      </c>
      <c r="N35" s="24" t="str">
        <f>IFERROR(Fellowes_Consumiveis[[#This Row],[Estoque+Importação]]/Fellowes_Consumiveis[[#This Row],[Proj. de V. No prox. mes]],"Sem Projeção")</f>
        <v>Sem Projeção</v>
      </c>
      <c r="O35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5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5" s="75">
        <f>VLOOKUP(Fellowes_Consumiveis[[#This Row],[Código]],Projeção[#All],15,FALSE)</f>
        <v>0</v>
      </c>
      <c r="R35" s="39">
        <f>VLOOKUP(Fellowes_Consumiveis[[#This Row],[Código]],Projeção[#All],14,FALSE)</f>
        <v>3.3333333333333333E-2</v>
      </c>
      <c r="S35" s="39">
        <f>IFERROR(VLOOKUP(Fellowes_Consumiveis[[#This Row],[Código]],Venda_mes[],2,FALSE),0)</f>
        <v>0</v>
      </c>
      <c r="T35" s="44">
        <f>IFERROR(Fellowes_Consumiveis[[#This Row],[V. No mes]]/Fellowes_Consumiveis[[#This Row],[Proj. de V. No mes]],"")</f>
        <v>0</v>
      </c>
      <c r="U35" s="43">
        <f>VLOOKUP(Fellowes_Consumiveis[[#This Row],[Código]],Projeção[#All],14,FALSE)+VLOOKUP(Fellowes_Consumiveis[[#This Row],[Código]],Projeção[#All],13,FALSE)+VLOOKUP(Fellowes_Consumiveis[[#This Row],[Código]],Projeção[#All],12,FALSE)</f>
        <v>0.1</v>
      </c>
      <c r="V35" s="39">
        <f>IFERROR(VLOOKUP(Fellowes_Consumiveis[[#This Row],[Código]],Venda_3meses[],2,FALSE),0)</f>
        <v>0</v>
      </c>
      <c r="W35" s="44">
        <f>IFERROR(Fellowes_Consumiveis[[#This Row],[V. 3 meses]]/Fellowes_Consumiveis[[#This Row],[Proj. de V. 3 meses]],"")</f>
        <v>0</v>
      </c>
      <c r="X35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1.1999999999999997</v>
      </c>
      <c r="Y35" s="39">
        <f>IFERROR(VLOOKUP(Fellowes_Consumiveis[[#This Row],[Código]],Venda_12meses[],2,FALSE),0)</f>
        <v>0</v>
      </c>
      <c r="Z35" s="44">
        <f>IFERROR(Fellowes_Consumiveis[[#This Row],[V. 12 meses]]/Fellowes_Consumiveis[[#This Row],[Proj. de V. 12 meses]],"")</f>
        <v>0</v>
      </c>
      <c r="AA35" s="22">
        <v>5347308</v>
      </c>
    </row>
    <row r="36" spans="1:27" x14ac:dyDescent="0.25">
      <c r="A36" s="22" t="str">
        <f>VLOOKUP(Fellowes_Consumiveis[[#This Row],[Código]],BD_Produto[#All],7,FALSE)</f>
        <v>Fora de linha</v>
      </c>
      <c r="B36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6" s="23">
        <v>33062562863</v>
      </c>
      <c r="D36" s="22" t="s">
        <v>1371</v>
      </c>
      <c r="E36" s="22" t="str">
        <f>VLOOKUP(Fellowes_Consumiveis[[#This Row],[Código]],BD_Produto[],3,FALSE)</f>
        <v>insumo</v>
      </c>
      <c r="F36" s="22" t="str">
        <f>VLOOKUP(Fellowes_Consumiveis[[#This Row],[Código]],BD_Produto[],4,FALSE)</f>
        <v>Encadernadora</v>
      </c>
      <c r="G36" s="24"/>
      <c r="H36" s="25">
        <v>3.23</v>
      </c>
      <c r="I36" s="22"/>
      <c r="J36" s="24"/>
      <c r="K36" s="24" t="str">
        <f>IFERROR(VLOOKUP(Fellowes_Consumiveis[[#This Row],[Código]],Importação!P:R,3,FALSE),"")</f>
        <v/>
      </c>
      <c r="L36" s="24">
        <f>IFERROR(VLOOKUP(Fellowes_Consumiveis[[#This Row],[Código]],Saldo[],3,FALSE),0)</f>
        <v>65</v>
      </c>
      <c r="M36" s="24">
        <f>SUM(Fellowes_Consumiveis[[#This Row],[Produção]:[Estoque]])</f>
        <v>65</v>
      </c>
      <c r="N36" s="24" t="str">
        <f>IFERROR(Fellowes_Consumiveis[[#This Row],[Estoque+Importação]]/Fellowes_Consumiveis[[#This Row],[Proj. de V. No prox. mes]],"Sem Projeção")</f>
        <v>Sem Projeção</v>
      </c>
      <c r="O36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6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6" s="75">
        <f>VLOOKUP(Fellowes_Consumiveis[[#This Row],[Código]],Projeção[#All],15,FALSE)</f>
        <v>0</v>
      </c>
      <c r="R36" s="39">
        <f>VLOOKUP(Fellowes_Consumiveis[[#This Row],[Código]],Projeção[#All],14,FALSE)</f>
        <v>9.9999999999999992E-2</v>
      </c>
      <c r="S36" s="39">
        <f>IFERROR(VLOOKUP(Fellowes_Consumiveis[[#This Row],[Código]],Venda_mes[],2,FALSE),0)</f>
        <v>0</v>
      </c>
      <c r="T36" s="44">
        <f>IFERROR(Fellowes_Consumiveis[[#This Row],[V. No mes]]/Fellowes_Consumiveis[[#This Row],[Proj. de V. No mes]],"")</f>
        <v>0</v>
      </c>
      <c r="U36" s="43">
        <f>VLOOKUP(Fellowes_Consumiveis[[#This Row],[Código]],Projeção[#All],14,FALSE)+VLOOKUP(Fellowes_Consumiveis[[#This Row],[Código]],Projeção[#All],13,FALSE)+VLOOKUP(Fellowes_Consumiveis[[#This Row],[Código]],Projeção[#All],12,FALSE)</f>
        <v>0.23333333333333331</v>
      </c>
      <c r="V36" s="39">
        <f>IFERROR(VLOOKUP(Fellowes_Consumiveis[[#This Row],[Código]],Venda_3meses[],2,FALSE),0)</f>
        <v>0</v>
      </c>
      <c r="W36" s="44">
        <f>IFERROR(Fellowes_Consumiveis[[#This Row],[V. 3 meses]]/Fellowes_Consumiveis[[#This Row],[Proj. de V. 3 meses]],"")</f>
        <v>0</v>
      </c>
      <c r="X36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0.8999999999999998</v>
      </c>
      <c r="Y36" s="39">
        <f>IFERROR(VLOOKUP(Fellowes_Consumiveis[[#This Row],[Código]],Venda_12meses[],2,FALSE),0)</f>
        <v>0</v>
      </c>
      <c r="Z36" s="44">
        <f>IFERROR(Fellowes_Consumiveis[[#This Row],[V. 12 meses]]/Fellowes_Consumiveis[[#This Row],[Proj. de V. 12 meses]],"")</f>
        <v>0</v>
      </c>
      <c r="AA36" s="22">
        <v>5347006</v>
      </c>
    </row>
    <row r="37" spans="1:27" x14ac:dyDescent="0.25">
      <c r="A37" s="22" t="str">
        <f>VLOOKUP(Fellowes_Consumiveis[[#This Row],[Código]],BD_Produto[#All],7,FALSE)</f>
        <v>Fora de linha</v>
      </c>
      <c r="B37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7" s="23">
        <v>33062562854</v>
      </c>
      <c r="D37" s="22" t="s">
        <v>915</v>
      </c>
      <c r="E37" s="22" t="str">
        <f>VLOOKUP(Fellowes_Consumiveis[[#This Row],[Código]],BD_Produto[],3,FALSE)</f>
        <v>insumo</v>
      </c>
      <c r="F37" s="22" t="str">
        <f>VLOOKUP(Fellowes_Consumiveis[[#This Row],[Código]],BD_Produto[],4,FALSE)</f>
        <v>Encadernadora</v>
      </c>
      <c r="G37" s="24"/>
      <c r="H37" s="25">
        <v>1</v>
      </c>
      <c r="I37" s="22"/>
      <c r="J37" s="24"/>
      <c r="K37" s="24" t="str">
        <f>IFERROR(VLOOKUP(Fellowes_Consumiveis[[#This Row],[Código]],Importação!P:R,3,FALSE),"")</f>
        <v/>
      </c>
      <c r="L37" s="24">
        <f>IFERROR(VLOOKUP(Fellowes_Consumiveis[[#This Row],[Código]],Saldo[],3,FALSE),0)</f>
        <v>174</v>
      </c>
      <c r="M37" s="24">
        <f>SUM(Fellowes_Consumiveis[[#This Row],[Produção]:[Estoque]])</f>
        <v>174</v>
      </c>
      <c r="N37" s="24">
        <f>IFERROR(Fellowes_Consumiveis[[#This Row],[Estoque+Importação]]/Fellowes_Consumiveis[[#This Row],[Proj. de V. No prox. mes]],"Sem Projeção")</f>
        <v>745.71428571428567</v>
      </c>
      <c r="O37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7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7" s="75">
        <f>VLOOKUP(Fellowes_Consumiveis[[#This Row],[Código]],Projeção[#All],15,FALSE)</f>
        <v>0.23333333333333334</v>
      </c>
      <c r="R37" s="39">
        <f>VLOOKUP(Fellowes_Consumiveis[[#This Row],[Código]],Projeção[#All],14,FALSE)</f>
        <v>3.3333333333333333E-2</v>
      </c>
      <c r="S37" s="39">
        <f>IFERROR(VLOOKUP(Fellowes_Consumiveis[[#This Row],[Código]],Venda_mes[],2,FALSE),0)</f>
        <v>0</v>
      </c>
      <c r="T37" s="44">
        <f>IFERROR(Fellowes_Consumiveis[[#This Row],[V. No mes]]/Fellowes_Consumiveis[[#This Row],[Proj. de V. No mes]],"")</f>
        <v>0</v>
      </c>
      <c r="U37" s="43">
        <f>VLOOKUP(Fellowes_Consumiveis[[#This Row],[Código]],Projeção[#All],14,FALSE)+VLOOKUP(Fellowes_Consumiveis[[#This Row],[Código]],Projeção[#All],13,FALSE)+VLOOKUP(Fellowes_Consumiveis[[#This Row],[Código]],Projeção[#All],12,FALSE)</f>
        <v>0.1</v>
      </c>
      <c r="V37" s="39">
        <f>IFERROR(VLOOKUP(Fellowes_Consumiveis[[#This Row],[Código]],Venda_3meses[],2,FALSE),0)</f>
        <v>1</v>
      </c>
      <c r="W37" s="44">
        <f>IFERROR(Fellowes_Consumiveis[[#This Row],[V. 3 meses]]/Fellowes_Consumiveis[[#This Row],[Proj. de V. 3 meses]],"")</f>
        <v>10</v>
      </c>
      <c r="X37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1.1999999999999997</v>
      </c>
      <c r="Y37" s="39">
        <f>IFERROR(VLOOKUP(Fellowes_Consumiveis[[#This Row],[Código]],Venda_12meses[],2,FALSE),0)</f>
        <v>1</v>
      </c>
      <c r="Z37" s="44">
        <f>IFERROR(Fellowes_Consumiveis[[#This Row],[V. 12 meses]]/Fellowes_Consumiveis[[#This Row],[Proj. de V. 12 meses]],"")</f>
        <v>0.83333333333333348</v>
      </c>
      <c r="AA37" s="22">
        <v>5345308</v>
      </c>
    </row>
    <row r="38" spans="1:27" x14ac:dyDescent="0.25">
      <c r="A38" s="22" t="str">
        <f>VLOOKUP(Fellowes_Consumiveis[[#This Row],[Código]],BD_Produto[#All],7,FALSE)</f>
        <v>Fora de linha</v>
      </c>
      <c r="B38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8" s="23">
        <v>33062562853</v>
      </c>
      <c r="D38" s="22" t="s">
        <v>963</v>
      </c>
      <c r="E38" s="22" t="str">
        <f>VLOOKUP(Fellowes_Consumiveis[[#This Row],[Código]],BD_Produto[],3,FALSE)</f>
        <v>insumo</v>
      </c>
      <c r="F38" s="22" t="str">
        <f>VLOOKUP(Fellowes_Consumiveis[[#This Row],[Código]],BD_Produto[],4,FALSE)</f>
        <v>Encadernadora</v>
      </c>
      <c r="G38" s="24"/>
      <c r="H38" s="25">
        <v>1</v>
      </c>
      <c r="I38" s="22"/>
      <c r="J38" s="24"/>
      <c r="K38" s="24" t="str">
        <f>IFERROR(VLOOKUP(Fellowes_Consumiveis[[#This Row],[Código]],Importação!P:R,3,FALSE),"")</f>
        <v/>
      </c>
      <c r="L38" s="24">
        <f>IFERROR(VLOOKUP(Fellowes_Consumiveis[[#This Row],[Código]],Saldo[],3,FALSE),0)</f>
        <v>173</v>
      </c>
      <c r="M38" s="24">
        <f>SUM(Fellowes_Consumiveis[[#This Row],[Produção]:[Estoque]])</f>
        <v>173</v>
      </c>
      <c r="N38" s="24">
        <f>IFERROR(Fellowes_Consumiveis[[#This Row],[Estoque+Importação]]/Fellowes_Consumiveis[[#This Row],[Proj. de V. No prox. mes]],"Sem Projeção")</f>
        <v>1730.0000000000002</v>
      </c>
      <c r="O38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8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8" s="75">
        <f>VLOOKUP(Fellowes_Consumiveis[[#This Row],[Código]],Projeção[#All],15,FALSE)</f>
        <v>9.9999999999999992E-2</v>
      </c>
      <c r="R38" s="39">
        <f>VLOOKUP(Fellowes_Consumiveis[[#This Row],[Código]],Projeção[#All],14,FALSE)</f>
        <v>3.3333333333333333E-2</v>
      </c>
      <c r="S38" s="39">
        <f>IFERROR(VLOOKUP(Fellowes_Consumiveis[[#This Row],[Código]],Venda_mes[],2,FALSE),0)</f>
        <v>0</v>
      </c>
      <c r="T38" s="44">
        <f>IFERROR(Fellowes_Consumiveis[[#This Row],[V. No mes]]/Fellowes_Consumiveis[[#This Row],[Proj. de V. No mes]],"")</f>
        <v>0</v>
      </c>
      <c r="U38" s="43">
        <f>VLOOKUP(Fellowes_Consumiveis[[#This Row],[Código]],Projeção[#All],14,FALSE)+VLOOKUP(Fellowes_Consumiveis[[#This Row],[Código]],Projeção[#All],13,FALSE)+VLOOKUP(Fellowes_Consumiveis[[#This Row],[Código]],Projeção[#All],12,FALSE)</f>
        <v>0.1</v>
      </c>
      <c r="V38" s="39">
        <f>IFERROR(VLOOKUP(Fellowes_Consumiveis[[#This Row],[Código]],Venda_3meses[],2,FALSE),0)</f>
        <v>0</v>
      </c>
      <c r="W38" s="44">
        <f>IFERROR(Fellowes_Consumiveis[[#This Row],[V. 3 meses]]/Fellowes_Consumiveis[[#This Row],[Proj. de V. 3 meses]],"")</f>
        <v>0</v>
      </c>
      <c r="X38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0.66666666666666652</v>
      </c>
      <c r="Y38" s="39">
        <f>IFERROR(VLOOKUP(Fellowes_Consumiveis[[#This Row],[Código]],Venda_12meses[],2,FALSE),0)</f>
        <v>1</v>
      </c>
      <c r="Z38" s="44">
        <f>IFERROR(Fellowes_Consumiveis[[#This Row],[V. 12 meses]]/Fellowes_Consumiveis[[#This Row],[Proj. de V. 12 meses]],"")</f>
        <v>1.5000000000000004</v>
      </c>
      <c r="AA38" s="22">
        <v>5345006</v>
      </c>
    </row>
    <row r="39" spans="1:27" x14ac:dyDescent="0.25">
      <c r="A39" s="22" t="str">
        <f>VLOOKUP(Fellowes_Consumiveis[[#This Row],[Código]],BD_Produto[#All],7,FALSE)</f>
        <v>Fora de linha</v>
      </c>
      <c r="B39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39" s="23">
        <v>33062562861</v>
      </c>
      <c r="D39" s="22" t="s">
        <v>908</v>
      </c>
      <c r="E39" s="22" t="str">
        <f>VLOOKUP(Fellowes_Consumiveis[[#This Row],[Código]],BD_Produto[],3,FALSE)</f>
        <v>insumo</v>
      </c>
      <c r="F39" s="22" t="str">
        <f>VLOOKUP(Fellowes_Consumiveis[[#This Row],[Código]],BD_Produto[],4,FALSE)</f>
        <v>Encadernadora</v>
      </c>
      <c r="G39" s="24"/>
      <c r="H39" s="25">
        <v>2.44</v>
      </c>
      <c r="I39" s="22"/>
      <c r="J39" s="24"/>
      <c r="K39" s="24" t="str">
        <f>IFERROR(VLOOKUP(Fellowes_Consumiveis[[#This Row],[Código]],Importação!P:R,3,FALSE),"")</f>
        <v/>
      </c>
      <c r="L39" s="24">
        <f>IFERROR(VLOOKUP(Fellowes_Consumiveis[[#This Row],[Código]],Saldo[],3,FALSE),0)</f>
        <v>64</v>
      </c>
      <c r="M39" s="24">
        <f>SUM(Fellowes_Consumiveis[[#This Row],[Produção]:[Estoque]])</f>
        <v>64</v>
      </c>
      <c r="N39" s="24" t="str">
        <f>IFERROR(Fellowes_Consumiveis[[#This Row],[Estoque+Importação]]/Fellowes_Consumiveis[[#This Row],[Proj. de V. No prox. mes]],"Sem Projeção")</f>
        <v>Sem Projeção</v>
      </c>
      <c r="O39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39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39" s="75">
        <f>VLOOKUP(Fellowes_Consumiveis[[#This Row],[Código]],Projeção[#All],15,FALSE)</f>
        <v>0</v>
      </c>
      <c r="R39" s="39">
        <f>VLOOKUP(Fellowes_Consumiveis[[#This Row],[Código]],Projeção[#All],14,FALSE)</f>
        <v>0</v>
      </c>
      <c r="S39" s="39">
        <f>IFERROR(VLOOKUP(Fellowes_Consumiveis[[#This Row],[Código]],Venda_mes[],2,FALSE),0)</f>
        <v>0</v>
      </c>
      <c r="T39" s="44" t="str">
        <f>IFERROR(Fellowes_Consumiveis[[#This Row],[V. No mes]]/Fellowes_Consumiveis[[#This Row],[Proj. de V. No mes]],"")</f>
        <v/>
      </c>
      <c r="U39" s="43">
        <f>VLOOKUP(Fellowes_Consumiveis[[#This Row],[Código]],Projeção[#All],14,FALSE)+VLOOKUP(Fellowes_Consumiveis[[#This Row],[Código]],Projeção[#All],13,FALSE)+VLOOKUP(Fellowes_Consumiveis[[#This Row],[Código]],Projeção[#All],12,FALSE)</f>
        <v>3.3333333333333333E-2</v>
      </c>
      <c r="V39" s="39">
        <f>IFERROR(VLOOKUP(Fellowes_Consumiveis[[#This Row],[Código]],Venda_3meses[],2,FALSE),0)</f>
        <v>0</v>
      </c>
      <c r="W39" s="44">
        <f>IFERROR(Fellowes_Consumiveis[[#This Row],[V. 3 meses]]/Fellowes_Consumiveis[[#This Row],[Proj. de V. 3 meses]],"")</f>
        <v>0</v>
      </c>
      <c r="X39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0.33333333333333331</v>
      </c>
      <c r="Y39" s="39">
        <f>IFERROR(VLOOKUP(Fellowes_Consumiveis[[#This Row],[Código]],Venda_12meses[],2,FALSE),0)</f>
        <v>0</v>
      </c>
      <c r="Z39" s="44">
        <f>IFERROR(Fellowes_Consumiveis[[#This Row],[V. 12 meses]]/Fellowes_Consumiveis[[#This Row],[Proj. de V. 12 meses]],"")</f>
        <v>0</v>
      </c>
      <c r="AA39" s="22">
        <v>5346605</v>
      </c>
    </row>
    <row r="40" spans="1:27" x14ac:dyDescent="0.25">
      <c r="A40" s="22" t="str">
        <f>VLOOKUP(Fellowes_Consumiveis[[#This Row],[Código]],BD_Produto[#All],7,FALSE)</f>
        <v>Fora de linha</v>
      </c>
      <c r="B40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0" s="23">
        <v>33062562855</v>
      </c>
      <c r="D40" s="22" t="s">
        <v>912</v>
      </c>
      <c r="E40" s="22" t="str">
        <f>VLOOKUP(Fellowes_Consumiveis[[#This Row],[Código]],BD_Produto[],3,FALSE)</f>
        <v>insumo</v>
      </c>
      <c r="F40" s="22" t="str">
        <f>VLOOKUP(Fellowes_Consumiveis[[#This Row],[Código]],BD_Produto[],4,FALSE)</f>
        <v>Encadernadora</v>
      </c>
      <c r="G40" s="24"/>
      <c r="H40" s="25">
        <v>1.23</v>
      </c>
      <c r="I40" s="22"/>
      <c r="J40" s="24"/>
      <c r="K40" s="24" t="str">
        <f>IFERROR(VLOOKUP(Fellowes_Consumiveis[[#This Row],[Código]],Importação!P:R,3,FALSE),"")</f>
        <v/>
      </c>
      <c r="L40" s="24">
        <f>IFERROR(VLOOKUP(Fellowes_Consumiveis[[#This Row],[Código]],Saldo[],3,FALSE),0)</f>
        <v>2</v>
      </c>
      <c r="M40" s="24">
        <f>SUM(Fellowes_Consumiveis[[#This Row],[Produção]:[Estoque]])</f>
        <v>2</v>
      </c>
      <c r="N40" s="24" t="str">
        <f>IFERROR(Fellowes_Consumiveis[[#This Row],[Estoque+Importação]]/Fellowes_Consumiveis[[#This Row],[Proj. de V. No prox. mes]],"Sem Projeção")</f>
        <v>Sem Projeção</v>
      </c>
      <c r="O40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0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0" s="75">
        <f>VLOOKUP(Fellowes_Consumiveis[[#This Row],[Código]],Projeção[#All],15,FALSE)</f>
        <v>0</v>
      </c>
      <c r="R40" s="39">
        <f>VLOOKUP(Fellowes_Consumiveis[[#This Row],[Código]],Projeção[#All],14,FALSE)</f>
        <v>0</v>
      </c>
      <c r="S40" s="39">
        <f>IFERROR(VLOOKUP(Fellowes_Consumiveis[[#This Row],[Código]],Venda_mes[],2,FALSE),0)</f>
        <v>0</v>
      </c>
      <c r="T40" s="44" t="str">
        <f>IFERROR(Fellowes_Consumiveis[[#This Row],[V. No mes]]/Fellowes_Consumiveis[[#This Row],[Proj. de V. No mes]],"")</f>
        <v/>
      </c>
      <c r="U40" s="43">
        <f>VLOOKUP(Fellowes_Consumiveis[[#This Row],[Código]],Projeção[#All],14,FALSE)+VLOOKUP(Fellowes_Consumiveis[[#This Row],[Código]],Projeção[#All],13,FALSE)+VLOOKUP(Fellowes_Consumiveis[[#This Row],[Código]],Projeção[#All],12,FALSE)</f>
        <v>3.3333333333333333E-2</v>
      </c>
      <c r="V40" s="39">
        <f>IFERROR(VLOOKUP(Fellowes_Consumiveis[[#This Row],[Código]],Venda_3meses[],2,FALSE),0)</f>
        <v>0</v>
      </c>
      <c r="W40" s="44">
        <f>IFERROR(Fellowes_Consumiveis[[#This Row],[V. 3 meses]]/Fellowes_Consumiveis[[#This Row],[Proj. de V. 3 meses]],"")</f>
        <v>0</v>
      </c>
      <c r="X40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0.33333333333333331</v>
      </c>
      <c r="Y40" s="39">
        <f>IFERROR(VLOOKUP(Fellowes_Consumiveis[[#This Row],[Código]],Venda_12meses[],2,FALSE),0)</f>
        <v>0</v>
      </c>
      <c r="Z40" s="44">
        <f>IFERROR(Fellowes_Consumiveis[[#This Row],[V. 12 meses]]/Fellowes_Consumiveis[[#This Row],[Proj. de V. 12 meses]],"")</f>
        <v>0</v>
      </c>
      <c r="AA40" s="22">
        <v>5345407</v>
      </c>
    </row>
    <row r="41" spans="1:27" x14ac:dyDescent="0.25">
      <c r="A41" s="22" t="str">
        <f>VLOOKUP(Fellowes_Consumiveis[[#This Row],[Código]],BD_Produto[#All],7,FALSE)</f>
        <v>Fora de linha</v>
      </c>
      <c r="B41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1" s="23">
        <v>33062562857</v>
      </c>
      <c r="D41" s="22" t="s">
        <v>914</v>
      </c>
      <c r="E41" s="22" t="str">
        <f>VLOOKUP(Fellowes_Consumiveis[[#This Row],[Código]],BD_Produto[],3,FALSE)</f>
        <v>insumo</v>
      </c>
      <c r="F41" s="22" t="str">
        <f>VLOOKUP(Fellowes_Consumiveis[[#This Row],[Código]],BD_Produto[],4,FALSE)</f>
        <v>Encadernadora</v>
      </c>
      <c r="G41" s="24"/>
      <c r="H41" s="25">
        <v>1.38</v>
      </c>
      <c r="I41" s="22"/>
      <c r="J41" s="24"/>
      <c r="K41" s="24" t="str">
        <f>IFERROR(VLOOKUP(Fellowes_Consumiveis[[#This Row],[Código]],Importação!P:R,3,FALSE),"")</f>
        <v/>
      </c>
      <c r="L41" s="24">
        <f>IFERROR(VLOOKUP(Fellowes_Consumiveis[[#This Row],[Código]],Saldo[],3,FALSE),0)</f>
        <v>7</v>
      </c>
      <c r="M41" s="24">
        <f>SUM(Fellowes_Consumiveis[[#This Row],[Produção]:[Estoque]])</f>
        <v>7</v>
      </c>
      <c r="N41" s="24">
        <f>IFERROR(Fellowes_Consumiveis[[#This Row],[Estoque+Importação]]/Fellowes_Consumiveis[[#This Row],[Proj. de V. No prox. mes]],"Sem Projeção")</f>
        <v>15</v>
      </c>
      <c r="O41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1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1" s="75">
        <f>VLOOKUP(Fellowes_Consumiveis[[#This Row],[Código]],Projeção[#All],15,FALSE)</f>
        <v>0.46666666666666667</v>
      </c>
      <c r="R41" s="39">
        <f>VLOOKUP(Fellowes_Consumiveis[[#This Row],[Código]],Projeção[#All],14,FALSE)</f>
        <v>0</v>
      </c>
      <c r="S41" s="39">
        <f>IFERROR(VLOOKUP(Fellowes_Consumiveis[[#This Row],[Código]],Venda_mes[],2,FALSE),0)</f>
        <v>2</v>
      </c>
      <c r="T41" s="44" t="str">
        <f>IFERROR(Fellowes_Consumiveis[[#This Row],[V. No mes]]/Fellowes_Consumiveis[[#This Row],[Proj. de V. No mes]],"")</f>
        <v/>
      </c>
      <c r="U41" s="43">
        <f>VLOOKUP(Fellowes_Consumiveis[[#This Row],[Código]],Projeção[#All],14,FALSE)+VLOOKUP(Fellowes_Consumiveis[[#This Row],[Código]],Projeção[#All],13,FALSE)+VLOOKUP(Fellowes_Consumiveis[[#This Row],[Código]],Projeção[#All],12,FALSE)</f>
        <v>3.3333333333333333E-2</v>
      </c>
      <c r="V41" s="39">
        <f>IFERROR(VLOOKUP(Fellowes_Consumiveis[[#This Row],[Código]],Venda_3meses[],2,FALSE),0)</f>
        <v>2</v>
      </c>
      <c r="W41" s="44">
        <f>IFERROR(Fellowes_Consumiveis[[#This Row],[V. 3 meses]]/Fellowes_Consumiveis[[#This Row],[Proj. de V. 3 meses]],"")</f>
        <v>60</v>
      </c>
      <c r="X41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0.33333333333333331</v>
      </c>
      <c r="Y41" s="39">
        <f>IFERROR(VLOOKUP(Fellowes_Consumiveis[[#This Row],[Código]],Venda_12meses[],2,FALSE),0)</f>
        <v>2</v>
      </c>
      <c r="Z41" s="44">
        <f>IFERROR(Fellowes_Consumiveis[[#This Row],[V. 12 meses]]/Fellowes_Consumiveis[[#This Row],[Proj. de V. 12 meses]],"")</f>
        <v>6</v>
      </c>
      <c r="AA41" s="22">
        <v>5345806</v>
      </c>
    </row>
    <row r="42" spans="1:27" x14ac:dyDescent="0.25">
      <c r="A42" s="22" t="str">
        <f>VLOOKUP(Fellowes_Consumiveis[[#This Row],[Código]],BD_Produto[#All],7,FALSE)</f>
        <v>Fora de linha</v>
      </c>
      <c r="B42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2" s="23">
        <v>33062562888</v>
      </c>
      <c r="D42" s="22" t="s">
        <v>875</v>
      </c>
      <c r="E42" s="22" t="str">
        <f>VLOOKUP(Fellowes_Consumiveis[[#This Row],[Código]],BD_Produto[],3,FALSE)</f>
        <v>insumo</v>
      </c>
      <c r="F42" s="22" t="str">
        <f>VLOOKUP(Fellowes_Consumiveis[[#This Row],[Código]],BD_Produto[],4,FALSE)</f>
        <v>Plastificadora</v>
      </c>
      <c r="G42" s="24"/>
      <c r="H42" s="25">
        <v>12.43</v>
      </c>
      <c r="I42" s="22"/>
      <c r="J42" s="24"/>
      <c r="K42" s="24" t="str">
        <f>IFERROR(VLOOKUP(Fellowes_Consumiveis[[#This Row],[Código]],Importação!P:R,3,FALSE),"")</f>
        <v/>
      </c>
      <c r="L42" s="24">
        <f>IFERROR(VLOOKUP(Fellowes_Consumiveis[[#This Row],[Código]],Saldo[],3,FALSE),0)</f>
        <v>34</v>
      </c>
      <c r="M42" s="24">
        <f>SUM(Fellowes_Consumiveis[[#This Row],[Produção]:[Estoque]])</f>
        <v>34</v>
      </c>
      <c r="N42" s="24">
        <f>IFERROR(Fellowes_Consumiveis[[#This Row],[Estoque+Importação]]/Fellowes_Consumiveis[[#This Row],[Proj. de V. No prox. mes]],"Sem Projeção")</f>
        <v>145.71428571428572</v>
      </c>
      <c r="O42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2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2" s="75">
        <f>VLOOKUP(Fellowes_Consumiveis[[#This Row],[Código]],Projeção[#All],15,FALSE)</f>
        <v>0.23333333333333334</v>
      </c>
      <c r="R42" s="39">
        <f>VLOOKUP(Fellowes_Consumiveis[[#This Row],[Código]],Projeção[#All],14,FALSE)</f>
        <v>0</v>
      </c>
      <c r="S42" s="39">
        <f>IFERROR(VLOOKUP(Fellowes_Consumiveis[[#This Row],[Código]],Venda_mes[],2,FALSE),0)</f>
        <v>0</v>
      </c>
      <c r="T42" s="44" t="str">
        <f>IFERROR(Fellowes_Consumiveis[[#This Row],[V. No mes]]/Fellowes_Consumiveis[[#This Row],[Proj. de V. No mes]],"")</f>
        <v/>
      </c>
      <c r="U42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2" s="39">
        <f>IFERROR(VLOOKUP(Fellowes_Consumiveis[[#This Row],[Código]],Venda_3meses[],2,FALSE),0)</f>
        <v>1</v>
      </c>
      <c r="W42" s="44" t="str">
        <f>IFERROR(Fellowes_Consumiveis[[#This Row],[V. 3 meses]]/Fellowes_Consumiveis[[#This Row],[Proj. de V. 3 meses]],"")</f>
        <v/>
      </c>
      <c r="X42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1.3333333333333333</v>
      </c>
      <c r="Y42" s="39">
        <f>IFERROR(VLOOKUP(Fellowes_Consumiveis[[#This Row],[Código]],Venda_12meses[],2,FALSE),0)</f>
        <v>1</v>
      </c>
      <c r="Z42" s="44">
        <f>IFERROR(Fellowes_Consumiveis[[#This Row],[V. 12 meses]]/Fellowes_Consumiveis[[#This Row],[Proj. de V. 12 meses]],"")</f>
        <v>0.75</v>
      </c>
      <c r="AA42" s="22">
        <v>5351206</v>
      </c>
    </row>
    <row r="43" spans="1:27" x14ac:dyDescent="0.25">
      <c r="A43" s="22" t="str">
        <f>VLOOKUP(Fellowes_Consumiveis[[#This Row],[Código]],BD_Produto[#All],7,FALSE)</f>
        <v>Fora de linha</v>
      </c>
      <c r="B43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3" s="23">
        <v>33062562873</v>
      </c>
      <c r="D43" s="22" t="s">
        <v>907</v>
      </c>
      <c r="E43" s="22" t="str">
        <f>VLOOKUP(Fellowes_Consumiveis[[#This Row],[Código]],BD_Produto[],3,FALSE)</f>
        <v>insumo</v>
      </c>
      <c r="F43" s="22" t="str">
        <f>VLOOKUP(Fellowes_Consumiveis[[#This Row],[Código]],BD_Produto[],4,FALSE)</f>
        <v>Encadernadora</v>
      </c>
      <c r="G43" s="24"/>
      <c r="H43" s="25">
        <v>4.3899999999999997</v>
      </c>
      <c r="I43" s="22"/>
      <c r="J43" s="24"/>
      <c r="K43" s="24" t="str">
        <f>IFERROR(VLOOKUP(Fellowes_Consumiveis[[#This Row],[Código]],Importação!P:R,3,FALSE),"")</f>
        <v/>
      </c>
      <c r="L43" s="24">
        <f>IFERROR(VLOOKUP(Fellowes_Consumiveis[[#This Row],[Código]],Saldo[],3,FALSE),0)</f>
        <v>36</v>
      </c>
      <c r="M43" s="24">
        <f>SUM(Fellowes_Consumiveis[[#This Row],[Produção]:[Estoque]])</f>
        <v>36</v>
      </c>
      <c r="N43" s="24" t="str">
        <f>IFERROR(Fellowes_Consumiveis[[#This Row],[Estoque+Importação]]/Fellowes_Consumiveis[[#This Row],[Proj. de V. No prox. mes]],"Sem Projeção")</f>
        <v>Sem Projeção</v>
      </c>
      <c r="O43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3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3" s="75">
        <f>VLOOKUP(Fellowes_Consumiveis[[#This Row],[Código]],Projeção[#All],15,FALSE)</f>
        <v>0</v>
      </c>
      <c r="R43" s="39">
        <f>VLOOKUP(Fellowes_Consumiveis[[#This Row],[Código]],Projeção[#All],14,FALSE)</f>
        <v>0</v>
      </c>
      <c r="S43" s="39">
        <f>IFERROR(VLOOKUP(Fellowes_Consumiveis[[#This Row],[Código]],Venda_mes[],2,FALSE),0)</f>
        <v>0</v>
      </c>
      <c r="T43" s="44" t="str">
        <f>IFERROR(Fellowes_Consumiveis[[#This Row],[V. No mes]]/Fellowes_Consumiveis[[#This Row],[Proj. de V. No mes]],"")</f>
        <v/>
      </c>
      <c r="U43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3" s="39">
        <f>IFERROR(VLOOKUP(Fellowes_Consumiveis[[#This Row],[Código]],Venda_3meses[],2,FALSE),0)</f>
        <v>0</v>
      </c>
      <c r="W43" s="44" t="str">
        <f>IFERROR(Fellowes_Consumiveis[[#This Row],[V. 3 meses]]/Fellowes_Consumiveis[[#This Row],[Proj. de V. 3 meses]],"")</f>
        <v/>
      </c>
      <c r="X43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0.53333333333333333</v>
      </c>
      <c r="Y43" s="39">
        <f>IFERROR(VLOOKUP(Fellowes_Consumiveis[[#This Row],[Código]],Venda_12meses[],2,FALSE),0)</f>
        <v>0</v>
      </c>
      <c r="Z43" s="44">
        <f>IFERROR(Fellowes_Consumiveis[[#This Row],[V. 12 meses]]/Fellowes_Consumiveis[[#This Row],[Proj. de V. 12 meses]],"")</f>
        <v>0</v>
      </c>
      <c r="AA43" s="22">
        <v>5349703</v>
      </c>
    </row>
    <row r="44" spans="1:27" x14ac:dyDescent="0.25">
      <c r="A44" s="22" t="str">
        <f>VLOOKUP(Fellowes_Consumiveis[[#This Row],[Código]],BD_Produto[#All],7,FALSE)</f>
        <v>Fora de linha</v>
      </c>
      <c r="B44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4" s="23">
        <v>33062562886</v>
      </c>
      <c r="D44" s="22" t="s">
        <v>876</v>
      </c>
      <c r="E44" s="22" t="str">
        <f>VLOOKUP(Fellowes_Consumiveis[[#This Row],[Código]],BD_Produto[],3,FALSE)</f>
        <v>insumo</v>
      </c>
      <c r="F44" s="22" t="str">
        <f>VLOOKUP(Fellowes_Consumiveis[[#This Row],[Código]],BD_Produto[],4,FALSE)</f>
        <v>Plastificadora</v>
      </c>
      <c r="G44" s="24"/>
      <c r="H44" s="25">
        <v>3.55</v>
      </c>
      <c r="I44" s="22"/>
      <c r="J44" s="24"/>
      <c r="K44" s="24" t="str">
        <f>IFERROR(VLOOKUP(Fellowes_Consumiveis[[#This Row],[Código]],Importação!P:R,3,FALSE),"")</f>
        <v/>
      </c>
      <c r="L44" s="24">
        <f>IFERROR(VLOOKUP(Fellowes_Consumiveis[[#This Row],[Código]],Saldo[],3,FALSE),0)</f>
        <v>93</v>
      </c>
      <c r="M44" s="24">
        <f>SUM(Fellowes_Consumiveis[[#This Row],[Produção]:[Estoque]])</f>
        <v>93</v>
      </c>
      <c r="N44" s="24" t="str">
        <f>IFERROR(Fellowes_Consumiveis[[#This Row],[Estoque+Importação]]/Fellowes_Consumiveis[[#This Row],[Proj. de V. No prox. mes]],"Sem Projeção")</f>
        <v>Sem Projeção</v>
      </c>
      <c r="O44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4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4" s="75">
        <f>VLOOKUP(Fellowes_Consumiveis[[#This Row],[Código]],Projeção[#All],15,FALSE)</f>
        <v>0</v>
      </c>
      <c r="R44" s="39">
        <f>VLOOKUP(Fellowes_Consumiveis[[#This Row],[Código]],Projeção[#All],14,FALSE)</f>
        <v>0</v>
      </c>
      <c r="S44" s="39">
        <f>IFERROR(VLOOKUP(Fellowes_Consumiveis[[#This Row],[Código]],Venda_mes[],2,FALSE),0)</f>
        <v>0</v>
      </c>
      <c r="T44" s="44" t="str">
        <f>IFERROR(Fellowes_Consumiveis[[#This Row],[V. No mes]]/Fellowes_Consumiveis[[#This Row],[Proj. de V. No mes]],"")</f>
        <v/>
      </c>
      <c r="U44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4" s="39">
        <f>IFERROR(VLOOKUP(Fellowes_Consumiveis[[#This Row],[Código]],Venda_3meses[],2,FALSE),0)</f>
        <v>0</v>
      </c>
      <c r="W44" s="44" t="str">
        <f>IFERROR(Fellowes_Consumiveis[[#This Row],[V. 3 meses]]/Fellowes_Consumiveis[[#This Row],[Proj. de V. 3 meses]],"")</f>
        <v/>
      </c>
      <c r="X44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0.3</v>
      </c>
      <c r="Y44" s="39">
        <f>IFERROR(VLOOKUP(Fellowes_Consumiveis[[#This Row],[Código]],Venda_12meses[],2,FALSE),0)</f>
        <v>0</v>
      </c>
      <c r="Z44" s="44">
        <f>IFERROR(Fellowes_Consumiveis[[#This Row],[V. 12 meses]]/Fellowes_Consumiveis[[#This Row],[Proj. de V. 12 meses]],"")</f>
        <v>0</v>
      </c>
      <c r="AA44" s="22">
        <v>5351003</v>
      </c>
    </row>
    <row r="45" spans="1:27" x14ac:dyDescent="0.25">
      <c r="A45" s="22" t="str">
        <f>VLOOKUP(Fellowes_Consumiveis[[#This Row],[Código]],BD_Produto[#All],7,FALSE)</f>
        <v>Fora de linha</v>
      </c>
      <c r="B45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5" s="23">
        <v>33062562847</v>
      </c>
      <c r="D45" s="22" t="s">
        <v>1365</v>
      </c>
      <c r="E45" s="22" t="str">
        <f>VLOOKUP(Fellowes_Consumiveis[[#This Row],[Código]],BD_Produto[],3,FALSE)</f>
        <v>insumo</v>
      </c>
      <c r="F45" s="22" t="str">
        <f>VLOOKUP(Fellowes_Consumiveis[[#This Row],[Código]],BD_Produto[],4,FALSE)</f>
        <v>Encadernadora</v>
      </c>
      <c r="G45" s="24"/>
      <c r="H45" s="25">
        <v>8.64</v>
      </c>
      <c r="I45" s="22"/>
      <c r="J45" s="24"/>
      <c r="K45" s="24" t="str">
        <f>IFERROR(VLOOKUP(Fellowes_Consumiveis[[#This Row],[Código]],Importação!P:R,3,FALSE),"")</f>
        <v/>
      </c>
      <c r="L45" s="24">
        <f>IFERROR(VLOOKUP(Fellowes_Consumiveis[[#This Row],[Código]],Saldo[],3,FALSE),0)</f>
        <v>48</v>
      </c>
      <c r="M45" s="24">
        <f>SUM(Fellowes_Consumiveis[[#This Row],[Produção]:[Estoque]])</f>
        <v>48</v>
      </c>
      <c r="N45" s="24" t="str">
        <f>IFERROR(Fellowes_Consumiveis[[#This Row],[Estoque+Importação]]/Fellowes_Consumiveis[[#This Row],[Proj. de V. No prox. mes]],"Sem Projeção")</f>
        <v>Sem Projeção</v>
      </c>
      <c r="O45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5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5" s="75">
        <f>VLOOKUP(Fellowes_Consumiveis[[#This Row],[Código]],Projeção[#All],15,FALSE)</f>
        <v>0</v>
      </c>
      <c r="R45" s="39">
        <f>VLOOKUP(Fellowes_Consumiveis[[#This Row],[Código]],Projeção[#All],14,FALSE)</f>
        <v>0</v>
      </c>
      <c r="S45" s="39">
        <f>IFERROR(VLOOKUP(Fellowes_Consumiveis[[#This Row],[Código]],Venda_mes[],2,FALSE),0)</f>
        <v>0</v>
      </c>
      <c r="T45" s="44" t="str">
        <f>IFERROR(Fellowes_Consumiveis[[#This Row],[V. No mes]]/Fellowes_Consumiveis[[#This Row],[Proj. de V. No mes]],"")</f>
        <v/>
      </c>
      <c r="U45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5" s="39">
        <f>IFERROR(VLOOKUP(Fellowes_Consumiveis[[#This Row],[Código]],Venda_3meses[],2,FALSE),0)</f>
        <v>0</v>
      </c>
      <c r="W45" s="44" t="str">
        <f>IFERROR(Fellowes_Consumiveis[[#This Row],[V. 3 meses]]/Fellowes_Consumiveis[[#This Row],[Proj. de V. 3 meses]],"")</f>
        <v/>
      </c>
      <c r="X45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45" s="39">
        <f>IFERROR(VLOOKUP(Fellowes_Consumiveis[[#This Row],[Código]],Venda_12meses[],2,FALSE),0)</f>
        <v>0</v>
      </c>
      <c r="Z45" s="44" t="str">
        <f>IFERROR(Fellowes_Consumiveis[[#This Row],[V. 12 meses]]/Fellowes_Consumiveis[[#This Row],[Proj. de V. 12 meses]],"")</f>
        <v/>
      </c>
      <c r="AA45" s="22">
        <v>53764</v>
      </c>
    </row>
    <row r="46" spans="1:27" x14ac:dyDescent="0.25">
      <c r="A46" s="22" t="str">
        <f>VLOOKUP(Fellowes_Consumiveis[[#This Row],[Código]],BD_Produto[#All],7,FALSE)</f>
        <v>Fora de linha</v>
      </c>
      <c r="B46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6" s="23">
        <v>33062562848</v>
      </c>
      <c r="D46" s="22" t="s">
        <v>1376</v>
      </c>
      <c r="E46" s="22" t="str">
        <f>VLOOKUP(Fellowes_Consumiveis[[#This Row],[Código]],BD_Produto[],3,FALSE)</f>
        <v>insumo</v>
      </c>
      <c r="F46" s="22" t="str">
        <f>VLOOKUP(Fellowes_Consumiveis[[#This Row],[Código]],BD_Produto[],4,FALSE)</f>
        <v>Encadernadora</v>
      </c>
      <c r="G46" s="24"/>
      <c r="H46" s="25">
        <v>5.01</v>
      </c>
      <c r="I46" s="22"/>
      <c r="J46" s="24"/>
      <c r="K46" s="24" t="str">
        <f>IFERROR(VLOOKUP(Fellowes_Consumiveis[[#This Row],[Código]],Importação!P:R,3,FALSE),"")</f>
        <v/>
      </c>
      <c r="L46" s="24">
        <f>IFERROR(VLOOKUP(Fellowes_Consumiveis[[#This Row],[Código]],Saldo[],3,FALSE),0)</f>
        <v>98</v>
      </c>
      <c r="M46" s="24">
        <f>SUM(Fellowes_Consumiveis[[#This Row],[Produção]:[Estoque]])</f>
        <v>98</v>
      </c>
      <c r="N46" s="24" t="str">
        <f>IFERROR(Fellowes_Consumiveis[[#This Row],[Estoque+Importação]]/Fellowes_Consumiveis[[#This Row],[Proj. de V. No prox. mes]],"Sem Projeção")</f>
        <v>Sem Projeção</v>
      </c>
      <c r="O46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6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6" s="75">
        <f>VLOOKUP(Fellowes_Consumiveis[[#This Row],[Código]],Projeção[#All],15,FALSE)</f>
        <v>0</v>
      </c>
      <c r="R46" s="39">
        <f>VLOOKUP(Fellowes_Consumiveis[[#This Row],[Código]],Projeção[#All],14,FALSE)</f>
        <v>0</v>
      </c>
      <c r="S46" s="39">
        <f>IFERROR(VLOOKUP(Fellowes_Consumiveis[[#This Row],[Código]],Venda_mes[],2,FALSE),0)</f>
        <v>0</v>
      </c>
      <c r="T46" s="44" t="str">
        <f>IFERROR(Fellowes_Consumiveis[[#This Row],[V. No mes]]/Fellowes_Consumiveis[[#This Row],[Proj. de V. No mes]],"")</f>
        <v/>
      </c>
      <c r="U46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6" s="39">
        <f>IFERROR(VLOOKUP(Fellowes_Consumiveis[[#This Row],[Código]],Venda_3meses[],2,FALSE),0)</f>
        <v>0</v>
      </c>
      <c r="W46" s="44" t="str">
        <f>IFERROR(Fellowes_Consumiveis[[#This Row],[V. 3 meses]]/Fellowes_Consumiveis[[#This Row],[Proj. de V. 3 meses]],"")</f>
        <v/>
      </c>
      <c r="X46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46" s="39">
        <f>IFERROR(VLOOKUP(Fellowes_Consumiveis[[#This Row],[Código]],Venda_12meses[],2,FALSE),0)</f>
        <v>0</v>
      </c>
      <c r="Z46" s="44" t="str">
        <f>IFERROR(Fellowes_Consumiveis[[#This Row],[V. 12 meses]]/Fellowes_Consumiveis[[#This Row],[Proj. de V. 12 meses]],"")</f>
        <v/>
      </c>
      <c r="AA46" s="22">
        <v>5377001</v>
      </c>
    </row>
    <row r="47" spans="1:27" x14ac:dyDescent="0.25">
      <c r="A47" s="22" t="str">
        <f>VLOOKUP(Fellowes_Consumiveis[[#This Row],[Código]],BD_Produto[#All],7,FALSE)</f>
        <v>Fora de linha</v>
      </c>
      <c r="B47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7" s="23">
        <v>33062562849</v>
      </c>
      <c r="D47" s="22" t="s">
        <v>1374</v>
      </c>
      <c r="E47" s="22" t="str">
        <f>VLOOKUP(Fellowes_Consumiveis[[#This Row],[Código]],BD_Produto[],3,FALSE)</f>
        <v>insumo</v>
      </c>
      <c r="F47" s="22" t="str">
        <f>VLOOKUP(Fellowes_Consumiveis[[#This Row],[Código]],BD_Produto[],4,FALSE)</f>
        <v>Encadernadora</v>
      </c>
      <c r="G47" s="24"/>
      <c r="H47" s="25">
        <v>5.01</v>
      </c>
      <c r="I47" s="22"/>
      <c r="J47" s="24"/>
      <c r="K47" s="24" t="str">
        <f>IFERROR(VLOOKUP(Fellowes_Consumiveis[[#This Row],[Código]],Importação!P:R,3,FALSE),"")</f>
        <v/>
      </c>
      <c r="L47" s="24">
        <f>IFERROR(VLOOKUP(Fellowes_Consumiveis[[#This Row],[Código]],Saldo[],3,FALSE),0)</f>
        <v>87</v>
      </c>
      <c r="M47" s="24">
        <f>SUM(Fellowes_Consumiveis[[#This Row],[Produção]:[Estoque]])</f>
        <v>87</v>
      </c>
      <c r="N47" s="24" t="str">
        <f>IFERROR(Fellowes_Consumiveis[[#This Row],[Estoque+Importação]]/Fellowes_Consumiveis[[#This Row],[Proj. de V. No prox. mes]],"Sem Projeção")</f>
        <v>Sem Projeção</v>
      </c>
      <c r="O47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7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7" s="75">
        <f>VLOOKUP(Fellowes_Consumiveis[[#This Row],[Código]],Projeção[#All],15,FALSE)</f>
        <v>0</v>
      </c>
      <c r="R47" s="39">
        <f>VLOOKUP(Fellowes_Consumiveis[[#This Row],[Código]],Projeção[#All],14,FALSE)</f>
        <v>0</v>
      </c>
      <c r="S47" s="39">
        <f>IFERROR(VLOOKUP(Fellowes_Consumiveis[[#This Row],[Código]],Venda_mes[],2,FALSE),0)</f>
        <v>0</v>
      </c>
      <c r="T47" s="44" t="str">
        <f>IFERROR(Fellowes_Consumiveis[[#This Row],[V. No mes]]/Fellowes_Consumiveis[[#This Row],[Proj. de V. No mes]],"")</f>
        <v/>
      </c>
      <c r="U47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7" s="39">
        <f>IFERROR(VLOOKUP(Fellowes_Consumiveis[[#This Row],[Código]],Venda_3meses[],2,FALSE),0)</f>
        <v>0</v>
      </c>
      <c r="W47" s="44" t="str">
        <f>IFERROR(Fellowes_Consumiveis[[#This Row],[V. 3 meses]]/Fellowes_Consumiveis[[#This Row],[Proj. de V. 3 meses]],"")</f>
        <v/>
      </c>
      <c r="X47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47" s="39">
        <f>IFERROR(VLOOKUP(Fellowes_Consumiveis[[#This Row],[Código]],Venda_12meses[],2,FALSE),0)</f>
        <v>0</v>
      </c>
      <c r="Z47" s="44" t="str">
        <f>IFERROR(Fellowes_Consumiveis[[#This Row],[V. 12 meses]]/Fellowes_Consumiveis[[#This Row],[Proj. de V. 12 meses]],"")</f>
        <v/>
      </c>
      <c r="AA47" s="22">
        <v>5377101</v>
      </c>
    </row>
    <row r="48" spans="1:27" x14ac:dyDescent="0.25">
      <c r="A48" s="22" t="str">
        <f>VLOOKUP(Fellowes_Consumiveis[[#This Row],[Código]],BD_Produto[#All],7,FALSE)</f>
        <v>Fora de linha</v>
      </c>
      <c r="B48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8" s="23">
        <v>33062562852</v>
      </c>
      <c r="D48" s="22" t="s">
        <v>1373</v>
      </c>
      <c r="E48" s="22" t="str">
        <f>VLOOKUP(Fellowes_Consumiveis[[#This Row],[Código]],BD_Produto[],3,FALSE)</f>
        <v>insumo</v>
      </c>
      <c r="F48" s="22" t="str">
        <f>VLOOKUP(Fellowes_Consumiveis[[#This Row],[Código]],BD_Produto[],4,FALSE)</f>
        <v>Encadernadora</v>
      </c>
      <c r="G48" s="24"/>
      <c r="H48" s="25">
        <v>5.01</v>
      </c>
      <c r="I48" s="22"/>
      <c r="J48" s="24"/>
      <c r="K48" s="24" t="str">
        <f>IFERROR(VLOOKUP(Fellowes_Consumiveis[[#This Row],[Código]],Importação!P:R,3,FALSE),"")</f>
        <v/>
      </c>
      <c r="L48" s="24">
        <f>IFERROR(VLOOKUP(Fellowes_Consumiveis[[#This Row],[Código]],Saldo[],3,FALSE),0)</f>
        <v>84</v>
      </c>
      <c r="M48" s="24">
        <f>SUM(Fellowes_Consumiveis[[#This Row],[Produção]:[Estoque]])</f>
        <v>84</v>
      </c>
      <c r="N48" s="24" t="str">
        <f>IFERROR(Fellowes_Consumiveis[[#This Row],[Estoque+Importação]]/Fellowes_Consumiveis[[#This Row],[Proj. de V. No prox. mes]],"Sem Projeção")</f>
        <v>Sem Projeção</v>
      </c>
      <c r="O48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8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8" s="75">
        <f>VLOOKUP(Fellowes_Consumiveis[[#This Row],[Código]],Projeção[#All],15,FALSE)</f>
        <v>0</v>
      </c>
      <c r="R48" s="39">
        <f>VLOOKUP(Fellowes_Consumiveis[[#This Row],[Código]],Projeção[#All],14,FALSE)</f>
        <v>0</v>
      </c>
      <c r="S48" s="39">
        <f>IFERROR(VLOOKUP(Fellowes_Consumiveis[[#This Row],[Código]],Venda_mes[],2,FALSE),0)</f>
        <v>0</v>
      </c>
      <c r="T48" s="44" t="str">
        <f>IFERROR(Fellowes_Consumiveis[[#This Row],[V. No mes]]/Fellowes_Consumiveis[[#This Row],[Proj. de V. No mes]],"")</f>
        <v/>
      </c>
      <c r="U48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8" s="39">
        <f>IFERROR(VLOOKUP(Fellowes_Consumiveis[[#This Row],[Código]],Venda_3meses[],2,FALSE),0)</f>
        <v>0</v>
      </c>
      <c r="W48" s="44" t="str">
        <f>IFERROR(Fellowes_Consumiveis[[#This Row],[V. 3 meses]]/Fellowes_Consumiveis[[#This Row],[Proj. de V. 3 meses]],"")</f>
        <v/>
      </c>
      <c r="X48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48" s="39">
        <f>IFERROR(VLOOKUP(Fellowes_Consumiveis[[#This Row],[Código]],Venda_12meses[],2,FALSE),0)</f>
        <v>0</v>
      </c>
      <c r="Z48" s="44" t="str">
        <f>IFERROR(Fellowes_Consumiveis[[#This Row],[V. 12 meses]]/Fellowes_Consumiveis[[#This Row],[Proj. de V. 12 meses]],"")</f>
        <v/>
      </c>
      <c r="AA48" s="22">
        <v>5377401</v>
      </c>
    </row>
    <row r="49" spans="1:27" x14ac:dyDescent="0.25">
      <c r="A49" s="22" t="str">
        <f>VLOOKUP(Fellowes_Consumiveis[[#This Row],[Código]],BD_Produto[#All],7,FALSE)</f>
        <v>Fora de linha</v>
      </c>
      <c r="B49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49" s="23">
        <v>33062562851</v>
      </c>
      <c r="D49" s="22" t="s">
        <v>1377</v>
      </c>
      <c r="E49" s="22" t="str">
        <f>VLOOKUP(Fellowes_Consumiveis[[#This Row],[Código]],BD_Produto[],3,FALSE)</f>
        <v>insumo</v>
      </c>
      <c r="F49" s="22" t="str">
        <f>VLOOKUP(Fellowes_Consumiveis[[#This Row],[Código]],BD_Produto[],4,FALSE)</f>
        <v>Encadernadora</v>
      </c>
      <c r="G49" s="24"/>
      <c r="H49" s="25">
        <v>5.01</v>
      </c>
      <c r="I49" s="22"/>
      <c r="J49" s="24"/>
      <c r="K49" s="24" t="str">
        <f>IFERROR(VLOOKUP(Fellowes_Consumiveis[[#This Row],[Código]],Importação!P:R,3,FALSE),"")</f>
        <v/>
      </c>
      <c r="L49" s="24">
        <f>IFERROR(VLOOKUP(Fellowes_Consumiveis[[#This Row],[Código]],Saldo[],3,FALSE),0)</f>
        <v>98</v>
      </c>
      <c r="M49" s="24">
        <f>SUM(Fellowes_Consumiveis[[#This Row],[Produção]:[Estoque]])</f>
        <v>98</v>
      </c>
      <c r="N49" s="24" t="str">
        <f>IFERROR(Fellowes_Consumiveis[[#This Row],[Estoque+Importação]]/Fellowes_Consumiveis[[#This Row],[Proj. de V. No prox. mes]],"Sem Projeção")</f>
        <v>Sem Projeção</v>
      </c>
      <c r="O49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49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49" s="75">
        <f>VLOOKUP(Fellowes_Consumiveis[[#This Row],[Código]],Projeção[#All],15,FALSE)</f>
        <v>0</v>
      </c>
      <c r="R49" s="39">
        <f>VLOOKUP(Fellowes_Consumiveis[[#This Row],[Código]],Projeção[#All],14,FALSE)</f>
        <v>0</v>
      </c>
      <c r="S49" s="39">
        <f>IFERROR(VLOOKUP(Fellowes_Consumiveis[[#This Row],[Código]],Venda_mes[],2,FALSE),0)</f>
        <v>0</v>
      </c>
      <c r="T49" s="44" t="str">
        <f>IFERROR(Fellowes_Consumiveis[[#This Row],[V. No mes]]/Fellowes_Consumiveis[[#This Row],[Proj. de V. No mes]],"")</f>
        <v/>
      </c>
      <c r="U49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49" s="39">
        <f>IFERROR(VLOOKUP(Fellowes_Consumiveis[[#This Row],[Código]],Venda_3meses[],2,FALSE),0)</f>
        <v>0</v>
      </c>
      <c r="W49" s="44" t="str">
        <f>IFERROR(Fellowes_Consumiveis[[#This Row],[V. 3 meses]]/Fellowes_Consumiveis[[#This Row],[Proj. de V. 3 meses]],"")</f>
        <v/>
      </c>
      <c r="X49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49" s="39">
        <f>IFERROR(VLOOKUP(Fellowes_Consumiveis[[#This Row],[Código]],Venda_12meses[],2,FALSE),0)</f>
        <v>0</v>
      </c>
      <c r="Z49" s="44" t="str">
        <f>IFERROR(Fellowes_Consumiveis[[#This Row],[V. 12 meses]]/Fellowes_Consumiveis[[#This Row],[Proj. de V. 12 meses]],"")</f>
        <v/>
      </c>
      <c r="AA49" s="22">
        <v>5377301</v>
      </c>
    </row>
    <row r="50" spans="1:27" x14ac:dyDescent="0.25">
      <c r="A50" s="22" t="str">
        <f>VLOOKUP(Fellowes_Consumiveis[[#This Row],[Código]],BD_Produto[#All],7,FALSE)</f>
        <v>Fora de linha</v>
      </c>
      <c r="B50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0" s="23">
        <v>33062562850</v>
      </c>
      <c r="D50" s="22" t="s">
        <v>1375</v>
      </c>
      <c r="E50" s="22" t="str">
        <f>VLOOKUP(Fellowes_Consumiveis[[#This Row],[Código]],BD_Produto[],3,FALSE)</f>
        <v>insumo</v>
      </c>
      <c r="F50" s="22" t="str">
        <f>VLOOKUP(Fellowes_Consumiveis[[#This Row],[Código]],BD_Produto[],4,FALSE)</f>
        <v>Encadernadora</v>
      </c>
      <c r="G50" s="24"/>
      <c r="H50" s="25">
        <v>5.01</v>
      </c>
      <c r="I50" s="22"/>
      <c r="J50" s="24"/>
      <c r="K50" s="24" t="str">
        <f>IFERROR(VLOOKUP(Fellowes_Consumiveis[[#This Row],[Código]],Importação!P:R,3,FALSE),"")</f>
        <v/>
      </c>
      <c r="L50" s="24">
        <f>IFERROR(VLOOKUP(Fellowes_Consumiveis[[#This Row],[Código]],Saldo[],3,FALSE),0)</f>
        <v>97</v>
      </c>
      <c r="M50" s="24">
        <f>SUM(Fellowes_Consumiveis[[#This Row],[Produção]:[Estoque]])</f>
        <v>97</v>
      </c>
      <c r="N50" s="24" t="str">
        <f>IFERROR(Fellowes_Consumiveis[[#This Row],[Estoque+Importação]]/Fellowes_Consumiveis[[#This Row],[Proj. de V. No prox. mes]],"Sem Projeção")</f>
        <v>Sem Projeção</v>
      </c>
      <c r="O50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0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0" s="75">
        <f>VLOOKUP(Fellowes_Consumiveis[[#This Row],[Código]],Projeção[#All],15,FALSE)</f>
        <v>0</v>
      </c>
      <c r="R50" s="39">
        <f>VLOOKUP(Fellowes_Consumiveis[[#This Row],[Código]],Projeção[#All],14,FALSE)</f>
        <v>0</v>
      </c>
      <c r="S50" s="39">
        <f>IFERROR(VLOOKUP(Fellowes_Consumiveis[[#This Row],[Código]],Venda_mes[],2,FALSE),0)</f>
        <v>0</v>
      </c>
      <c r="T50" s="44" t="str">
        <f>IFERROR(Fellowes_Consumiveis[[#This Row],[V. No mes]]/Fellowes_Consumiveis[[#This Row],[Proj. de V. No mes]],"")</f>
        <v/>
      </c>
      <c r="U50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0" s="39">
        <f>IFERROR(VLOOKUP(Fellowes_Consumiveis[[#This Row],[Código]],Venda_3meses[],2,FALSE),0)</f>
        <v>0</v>
      </c>
      <c r="W50" s="44" t="str">
        <f>IFERROR(Fellowes_Consumiveis[[#This Row],[V. 3 meses]]/Fellowes_Consumiveis[[#This Row],[Proj. de V. 3 meses]],"")</f>
        <v/>
      </c>
      <c r="X50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0" s="39">
        <f>IFERROR(VLOOKUP(Fellowes_Consumiveis[[#This Row],[Código]],Venda_12meses[],2,FALSE),0)</f>
        <v>0</v>
      </c>
      <c r="Z50" s="44" t="str">
        <f>IFERROR(Fellowes_Consumiveis[[#This Row],[V. 12 meses]]/Fellowes_Consumiveis[[#This Row],[Proj. de V. 12 meses]],"")</f>
        <v/>
      </c>
      <c r="AA50" s="22">
        <v>5377201</v>
      </c>
    </row>
    <row r="51" spans="1:27" x14ac:dyDescent="0.25">
      <c r="A51" s="22" t="str">
        <f>VLOOKUP(Fellowes_Consumiveis[[#This Row],[Código]],BD_Produto[#All],7,FALSE)</f>
        <v>Fora de linha</v>
      </c>
      <c r="B51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51" s="23">
        <v>33062562859</v>
      </c>
      <c r="D51" s="22" t="s">
        <v>962</v>
      </c>
      <c r="E51" s="22" t="str">
        <f>VLOOKUP(Fellowes_Consumiveis[[#This Row],[Código]],BD_Produto[],3,FALSE)</f>
        <v>insumo</v>
      </c>
      <c r="F51" s="22" t="str">
        <f>VLOOKUP(Fellowes_Consumiveis[[#This Row],[Código]],BD_Produto[],4,FALSE)</f>
        <v>Encadernadora</v>
      </c>
      <c r="G51" s="24"/>
      <c r="H51" s="25">
        <v>2.13</v>
      </c>
      <c r="I51" s="22"/>
      <c r="J51" s="24"/>
      <c r="K51" s="24" t="str">
        <f>IFERROR(VLOOKUP(Fellowes_Consumiveis[[#This Row],[Código]],Importação!P:R,3,FALSE),"")</f>
        <v/>
      </c>
      <c r="L51" s="24">
        <f>IFERROR(VLOOKUP(Fellowes_Consumiveis[[#This Row],[Código]],Saldo[],3,FALSE),0)</f>
        <v>0</v>
      </c>
      <c r="M51" s="24">
        <f>SUM(Fellowes_Consumiveis[[#This Row],[Produção]:[Estoque]])</f>
        <v>0</v>
      </c>
      <c r="N51" s="24">
        <f>IFERROR(Fellowes_Consumiveis[[#This Row],[Estoque+Importação]]/Fellowes_Consumiveis[[#This Row],[Proj. de V. No prox. mes]],"Sem Projeção")</f>
        <v>0</v>
      </c>
      <c r="O51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1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1" s="75">
        <f>VLOOKUP(Fellowes_Consumiveis[[#This Row],[Código]],Projeção[#All],15,FALSE)</f>
        <v>0.33333333333333326</v>
      </c>
      <c r="R51" s="39">
        <f>VLOOKUP(Fellowes_Consumiveis[[#This Row],[Código]],Projeção[#All],14,FALSE)</f>
        <v>0</v>
      </c>
      <c r="S51" s="39">
        <f>IFERROR(VLOOKUP(Fellowes_Consumiveis[[#This Row],[Código]],Venda_mes[],2,FALSE),0)</f>
        <v>1</v>
      </c>
      <c r="T51" s="44" t="str">
        <f>IFERROR(Fellowes_Consumiveis[[#This Row],[V. No mes]]/Fellowes_Consumiveis[[#This Row],[Proj. de V. No mes]],"")</f>
        <v/>
      </c>
      <c r="U51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1" s="39">
        <f>IFERROR(VLOOKUP(Fellowes_Consumiveis[[#This Row],[Código]],Venda_3meses[],2,FALSE),0)</f>
        <v>1</v>
      </c>
      <c r="W51" s="44" t="str">
        <f>IFERROR(Fellowes_Consumiveis[[#This Row],[V. 3 meses]]/Fellowes_Consumiveis[[#This Row],[Proj. de V. 3 meses]],"")</f>
        <v/>
      </c>
      <c r="X51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1" s="39">
        <f>IFERROR(VLOOKUP(Fellowes_Consumiveis[[#This Row],[Código]],Venda_12meses[],2,FALSE),0)</f>
        <v>2</v>
      </c>
      <c r="Z51" s="44" t="str">
        <f>IFERROR(Fellowes_Consumiveis[[#This Row],[V. 12 meses]]/Fellowes_Consumiveis[[#This Row],[Proj. de V. 12 meses]],"")</f>
        <v/>
      </c>
      <c r="AA51" s="22">
        <v>5346207</v>
      </c>
    </row>
    <row r="52" spans="1:27" x14ac:dyDescent="0.25">
      <c r="A52" s="22" t="str">
        <f>VLOOKUP(Fellowes_Consumiveis[[#This Row],[Código]],BD_Produto[#All],7,FALSE)</f>
        <v>Fora de linha</v>
      </c>
      <c r="B52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2" s="23">
        <v>33062562865</v>
      </c>
      <c r="D52" s="22" t="s">
        <v>1369</v>
      </c>
      <c r="E52" s="22" t="str">
        <f>VLOOKUP(Fellowes_Consumiveis[[#This Row],[Código]],BD_Produto[],3,FALSE)</f>
        <v>insumo</v>
      </c>
      <c r="F52" s="22" t="str">
        <f>VLOOKUP(Fellowes_Consumiveis[[#This Row],[Código]],BD_Produto[],4,FALSE)</f>
        <v>Encadernadora</v>
      </c>
      <c r="G52" s="24"/>
      <c r="H52" s="25">
        <v>3.77</v>
      </c>
      <c r="I52" s="22"/>
      <c r="J52" s="24"/>
      <c r="K52" s="24" t="str">
        <f>IFERROR(VLOOKUP(Fellowes_Consumiveis[[#This Row],[Código]],Importação!P:R,3,FALSE),"")</f>
        <v/>
      </c>
      <c r="L52" s="24">
        <f>IFERROR(VLOOKUP(Fellowes_Consumiveis[[#This Row],[Código]],Saldo[],3,FALSE),0)</f>
        <v>56</v>
      </c>
      <c r="M52" s="24">
        <f>SUM(Fellowes_Consumiveis[[#This Row],[Produção]:[Estoque]])</f>
        <v>56</v>
      </c>
      <c r="N52" s="24" t="str">
        <f>IFERROR(Fellowes_Consumiveis[[#This Row],[Estoque+Importação]]/Fellowes_Consumiveis[[#This Row],[Proj. de V. No prox. mes]],"Sem Projeção")</f>
        <v>Sem Projeção</v>
      </c>
      <c r="O52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2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2" s="75">
        <f>VLOOKUP(Fellowes_Consumiveis[[#This Row],[Código]],Projeção[#All],15,FALSE)</f>
        <v>0</v>
      </c>
      <c r="R52" s="39">
        <f>VLOOKUP(Fellowes_Consumiveis[[#This Row],[Código]],Projeção[#All],14,FALSE)</f>
        <v>0</v>
      </c>
      <c r="S52" s="39">
        <f>IFERROR(VLOOKUP(Fellowes_Consumiveis[[#This Row],[Código]],Venda_mes[],2,FALSE),0)</f>
        <v>0</v>
      </c>
      <c r="T52" s="44" t="str">
        <f>IFERROR(Fellowes_Consumiveis[[#This Row],[V. No mes]]/Fellowes_Consumiveis[[#This Row],[Proj. de V. No mes]],"")</f>
        <v/>
      </c>
      <c r="U52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2" s="39">
        <f>IFERROR(VLOOKUP(Fellowes_Consumiveis[[#This Row],[Código]],Venda_3meses[],2,FALSE),0)</f>
        <v>0</v>
      </c>
      <c r="W52" s="44" t="str">
        <f>IFERROR(Fellowes_Consumiveis[[#This Row],[V. 3 meses]]/Fellowes_Consumiveis[[#This Row],[Proj. de V. 3 meses]],"")</f>
        <v/>
      </c>
      <c r="X52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2" s="39">
        <f>IFERROR(VLOOKUP(Fellowes_Consumiveis[[#This Row],[Código]],Venda_12meses[],2,FALSE),0)</f>
        <v>0</v>
      </c>
      <c r="Z52" s="44" t="str">
        <f>IFERROR(Fellowes_Consumiveis[[#This Row],[V. 12 meses]]/Fellowes_Consumiveis[[#This Row],[Proj. de V. 12 meses]],"")</f>
        <v/>
      </c>
      <c r="AA52" s="22">
        <v>5347406</v>
      </c>
    </row>
    <row r="53" spans="1:27" x14ac:dyDescent="0.25">
      <c r="A53" s="22" t="str">
        <f>VLOOKUP(Fellowes_Consumiveis[[#This Row],[Código]],BD_Produto[#All],7,FALSE)</f>
        <v>Fora de linha</v>
      </c>
      <c r="B53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3" s="23">
        <v>33062562867</v>
      </c>
      <c r="D53" s="22" t="s">
        <v>959</v>
      </c>
      <c r="E53" s="22" t="str">
        <f>VLOOKUP(Fellowes_Consumiveis[[#This Row],[Código]],BD_Produto[],3,FALSE)</f>
        <v>insumo</v>
      </c>
      <c r="F53" s="22" t="str">
        <f>VLOOKUP(Fellowes_Consumiveis[[#This Row],[Código]],BD_Produto[],4,FALSE)</f>
        <v>Encadernadora</v>
      </c>
      <c r="G53" s="24"/>
      <c r="H53" s="25">
        <v>2.4900000000000002</v>
      </c>
      <c r="I53" s="22"/>
      <c r="J53" s="24"/>
      <c r="K53" s="24" t="str">
        <f>IFERROR(VLOOKUP(Fellowes_Consumiveis[[#This Row],[Código]],Importação!P:R,3,FALSE),"")</f>
        <v/>
      </c>
      <c r="L53" s="24">
        <f>IFERROR(VLOOKUP(Fellowes_Consumiveis[[#This Row],[Código]],Saldo[],3,FALSE),0)</f>
        <v>57</v>
      </c>
      <c r="M53" s="24">
        <f>SUM(Fellowes_Consumiveis[[#This Row],[Produção]:[Estoque]])</f>
        <v>57</v>
      </c>
      <c r="N53" s="24" t="str">
        <f>IFERROR(Fellowes_Consumiveis[[#This Row],[Estoque+Importação]]/Fellowes_Consumiveis[[#This Row],[Proj. de V. No prox. mes]],"Sem Projeção")</f>
        <v>Sem Projeção</v>
      </c>
      <c r="O53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3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3" s="75">
        <f>VLOOKUP(Fellowes_Consumiveis[[#This Row],[Código]],Projeção[#All],15,FALSE)</f>
        <v>0</v>
      </c>
      <c r="R53" s="39">
        <f>VLOOKUP(Fellowes_Consumiveis[[#This Row],[Código]],Projeção[#All],14,FALSE)</f>
        <v>0</v>
      </c>
      <c r="S53" s="39">
        <f>IFERROR(VLOOKUP(Fellowes_Consumiveis[[#This Row],[Código]],Venda_mes[],2,FALSE),0)</f>
        <v>0</v>
      </c>
      <c r="T53" s="44" t="str">
        <f>IFERROR(Fellowes_Consumiveis[[#This Row],[V. No mes]]/Fellowes_Consumiveis[[#This Row],[Proj. de V. No mes]],"")</f>
        <v/>
      </c>
      <c r="U53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3" s="39">
        <f>IFERROR(VLOOKUP(Fellowes_Consumiveis[[#This Row],[Código]],Venda_3meses[],2,FALSE),0)</f>
        <v>0</v>
      </c>
      <c r="W53" s="44" t="str">
        <f>IFERROR(Fellowes_Consumiveis[[#This Row],[V. 3 meses]]/Fellowes_Consumiveis[[#This Row],[Proj. de V. 3 meses]],"")</f>
        <v/>
      </c>
      <c r="X53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3" s="39">
        <f>IFERROR(VLOOKUP(Fellowes_Consumiveis[[#This Row],[Código]],Venda_12meses[],2,FALSE),0)</f>
        <v>0</v>
      </c>
      <c r="Z53" s="44" t="str">
        <f>IFERROR(Fellowes_Consumiveis[[#This Row],[V. 12 meses]]/Fellowes_Consumiveis[[#This Row],[Proj. de V. 12 meses]],"")</f>
        <v/>
      </c>
      <c r="AA53" s="22">
        <v>5347804</v>
      </c>
    </row>
    <row r="54" spans="1:27" x14ac:dyDescent="0.25">
      <c r="A54" s="22" t="str">
        <f>VLOOKUP(Fellowes_Consumiveis[[#This Row],[Código]],BD_Produto[#All],7,FALSE)</f>
        <v>Fora de linha</v>
      </c>
      <c r="B54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4" s="23">
        <v>33062562869</v>
      </c>
      <c r="D54" s="22" t="s">
        <v>1363</v>
      </c>
      <c r="E54" s="22" t="str">
        <f>VLOOKUP(Fellowes_Consumiveis[[#This Row],[Código]],BD_Produto[],3,FALSE)</f>
        <v>insumo</v>
      </c>
      <c r="F54" s="22" t="str">
        <f>VLOOKUP(Fellowes_Consumiveis[[#This Row],[Código]],BD_Produto[],4,FALSE)</f>
        <v>Encadernadora</v>
      </c>
      <c r="G54" s="24"/>
      <c r="H54" s="25">
        <v>3.2</v>
      </c>
      <c r="I54" s="22"/>
      <c r="J54" s="24"/>
      <c r="K54" s="24" t="str">
        <f>IFERROR(VLOOKUP(Fellowes_Consumiveis[[#This Row],[Código]],Importação!P:R,3,FALSE),"")</f>
        <v/>
      </c>
      <c r="L54" s="24">
        <f>IFERROR(VLOOKUP(Fellowes_Consumiveis[[#This Row],[Código]],Saldo[],3,FALSE),0)</f>
        <v>38</v>
      </c>
      <c r="M54" s="24">
        <f>SUM(Fellowes_Consumiveis[[#This Row],[Produção]:[Estoque]])</f>
        <v>38</v>
      </c>
      <c r="N54" s="24" t="str">
        <f>IFERROR(Fellowes_Consumiveis[[#This Row],[Estoque+Importação]]/Fellowes_Consumiveis[[#This Row],[Proj. de V. No prox. mes]],"Sem Projeção")</f>
        <v>Sem Projeção</v>
      </c>
      <c r="O54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4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4" s="75">
        <f>VLOOKUP(Fellowes_Consumiveis[[#This Row],[Código]],Projeção[#All],15,FALSE)</f>
        <v>0</v>
      </c>
      <c r="R54" s="39">
        <f>VLOOKUP(Fellowes_Consumiveis[[#This Row],[Código]],Projeção[#All],14,FALSE)</f>
        <v>0</v>
      </c>
      <c r="S54" s="39">
        <f>IFERROR(VLOOKUP(Fellowes_Consumiveis[[#This Row],[Código]],Venda_mes[],2,FALSE),0)</f>
        <v>0</v>
      </c>
      <c r="T54" s="44" t="str">
        <f>IFERROR(Fellowes_Consumiveis[[#This Row],[V. No mes]]/Fellowes_Consumiveis[[#This Row],[Proj. de V. No mes]],"")</f>
        <v/>
      </c>
      <c r="U54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4" s="39">
        <f>IFERROR(VLOOKUP(Fellowes_Consumiveis[[#This Row],[Código]],Venda_3meses[],2,FALSE),0)</f>
        <v>0</v>
      </c>
      <c r="W54" s="44" t="str">
        <f>IFERROR(Fellowes_Consumiveis[[#This Row],[V. 3 meses]]/Fellowes_Consumiveis[[#This Row],[Proj. de V. 3 meses]],"")</f>
        <v/>
      </c>
      <c r="X54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4" s="39">
        <f>IFERROR(VLOOKUP(Fellowes_Consumiveis[[#This Row],[Código]],Venda_12meses[],2,FALSE),0)</f>
        <v>0</v>
      </c>
      <c r="Z54" s="44" t="str">
        <f>IFERROR(Fellowes_Consumiveis[[#This Row],[V. 12 meses]]/Fellowes_Consumiveis[[#This Row],[Proj. de V. 12 meses]],"")</f>
        <v/>
      </c>
      <c r="AA54" s="22">
        <v>5348205</v>
      </c>
    </row>
    <row r="55" spans="1:27" x14ac:dyDescent="0.25">
      <c r="A55" s="22" t="str">
        <f>VLOOKUP(Fellowes_Consumiveis[[#This Row],[Código]],BD_Produto[#All],7,FALSE)</f>
        <v>Fora de linha</v>
      </c>
      <c r="B55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5" s="23">
        <v>33062562872</v>
      </c>
      <c r="D55" s="22" t="s">
        <v>1361</v>
      </c>
      <c r="E55" s="22" t="str">
        <f>VLOOKUP(Fellowes_Consumiveis[[#This Row],[Código]],BD_Produto[],3,FALSE)</f>
        <v>insumo</v>
      </c>
      <c r="F55" s="22" t="str">
        <f>VLOOKUP(Fellowes_Consumiveis[[#This Row],[Código]],BD_Produto[],4,FALSE)</f>
        <v>Encadernadora</v>
      </c>
      <c r="G55" s="24"/>
      <c r="H55" s="25">
        <v>3.76</v>
      </c>
      <c r="I55" s="22"/>
      <c r="J55" s="24"/>
      <c r="K55" s="24" t="str">
        <f>IFERROR(VLOOKUP(Fellowes_Consumiveis[[#This Row],[Código]],Importação!P:R,3,FALSE),"")</f>
        <v/>
      </c>
      <c r="L55" s="24">
        <f>IFERROR(VLOOKUP(Fellowes_Consumiveis[[#This Row],[Código]],Saldo[],3,FALSE),0)</f>
        <v>37</v>
      </c>
      <c r="M55" s="24">
        <f>SUM(Fellowes_Consumiveis[[#This Row],[Produção]:[Estoque]])</f>
        <v>37</v>
      </c>
      <c r="N55" s="24" t="str">
        <f>IFERROR(Fellowes_Consumiveis[[#This Row],[Estoque+Importação]]/Fellowes_Consumiveis[[#This Row],[Proj. de V. No prox. mes]],"Sem Projeção")</f>
        <v>Sem Projeção</v>
      </c>
      <c r="O55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5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5" s="75">
        <f>VLOOKUP(Fellowes_Consumiveis[[#This Row],[Código]],Projeção[#All],15,FALSE)</f>
        <v>0</v>
      </c>
      <c r="R55" s="39">
        <f>VLOOKUP(Fellowes_Consumiveis[[#This Row],[Código]],Projeção[#All],14,FALSE)</f>
        <v>0</v>
      </c>
      <c r="S55" s="39">
        <f>IFERROR(VLOOKUP(Fellowes_Consumiveis[[#This Row],[Código]],Venda_mes[],2,FALSE),0)</f>
        <v>0</v>
      </c>
      <c r="T55" s="44" t="str">
        <f>IFERROR(Fellowes_Consumiveis[[#This Row],[V. No mes]]/Fellowes_Consumiveis[[#This Row],[Proj. de V. No mes]],"")</f>
        <v/>
      </c>
      <c r="U55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5" s="39">
        <f>IFERROR(VLOOKUP(Fellowes_Consumiveis[[#This Row],[Código]],Venda_3meses[],2,FALSE),0)</f>
        <v>0</v>
      </c>
      <c r="W55" s="44" t="str">
        <f>IFERROR(Fellowes_Consumiveis[[#This Row],[V. 3 meses]]/Fellowes_Consumiveis[[#This Row],[Proj. de V. 3 meses]],"")</f>
        <v/>
      </c>
      <c r="X55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5" s="39">
        <f>IFERROR(VLOOKUP(Fellowes_Consumiveis[[#This Row],[Código]],Venda_12meses[],2,FALSE),0)</f>
        <v>0</v>
      </c>
      <c r="Z55" s="44" t="str">
        <f>IFERROR(Fellowes_Consumiveis[[#This Row],[V. 12 meses]]/Fellowes_Consumiveis[[#This Row],[Proj. de V. 12 meses]],"")</f>
        <v/>
      </c>
      <c r="AA55" s="22">
        <v>5349303</v>
      </c>
    </row>
    <row r="56" spans="1:27" x14ac:dyDescent="0.25">
      <c r="A56" s="22" t="str">
        <f>VLOOKUP(Fellowes_Consumiveis[[#This Row],[Código]],BD_Produto[#All],7,FALSE)</f>
        <v>Fora de linha</v>
      </c>
      <c r="B56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6" s="23">
        <v>33062562874</v>
      </c>
      <c r="D56" s="22" t="s">
        <v>1364</v>
      </c>
      <c r="E56" s="22" t="str">
        <f>VLOOKUP(Fellowes_Consumiveis[[#This Row],[Código]],BD_Produto[],3,FALSE)</f>
        <v>insumo</v>
      </c>
      <c r="F56" s="22" t="str">
        <f>VLOOKUP(Fellowes_Consumiveis[[#This Row],[Código]],BD_Produto[],4,FALSE)</f>
        <v>Encadernadora</v>
      </c>
      <c r="G56" s="24"/>
      <c r="H56" s="25">
        <v>5.0599999999999996</v>
      </c>
      <c r="I56" s="22"/>
      <c r="J56" s="24"/>
      <c r="K56" s="24" t="str">
        <f>IFERROR(VLOOKUP(Fellowes_Consumiveis[[#This Row],[Código]],Importação!P:R,3,FALSE),"")</f>
        <v/>
      </c>
      <c r="L56" s="24">
        <f>IFERROR(VLOOKUP(Fellowes_Consumiveis[[#This Row],[Código]],Saldo[],3,FALSE),0)</f>
        <v>38</v>
      </c>
      <c r="M56" s="24">
        <f>SUM(Fellowes_Consumiveis[[#This Row],[Produção]:[Estoque]])</f>
        <v>38</v>
      </c>
      <c r="N56" s="24" t="str">
        <f>IFERROR(Fellowes_Consumiveis[[#This Row],[Estoque+Importação]]/Fellowes_Consumiveis[[#This Row],[Proj. de V. No prox. mes]],"Sem Projeção")</f>
        <v>Sem Projeção</v>
      </c>
      <c r="O56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6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6" s="75">
        <f>VLOOKUP(Fellowes_Consumiveis[[#This Row],[Código]],Projeção[#All],15,FALSE)</f>
        <v>0</v>
      </c>
      <c r="R56" s="39">
        <f>VLOOKUP(Fellowes_Consumiveis[[#This Row],[Código]],Projeção[#All],14,FALSE)</f>
        <v>0</v>
      </c>
      <c r="S56" s="39">
        <f>IFERROR(VLOOKUP(Fellowes_Consumiveis[[#This Row],[Código]],Venda_mes[],2,FALSE),0)</f>
        <v>0</v>
      </c>
      <c r="T56" s="44" t="str">
        <f>IFERROR(Fellowes_Consumiveis[[#This Row],[V. No mes]]/Fellowes_Consumiveis[[#This Row],[Proj. de V. No mes]],"")</f>
        <v/>
      </c>
      <c r="U56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6" s="39">
        <f>IFERROR(VLOOKUP(Fellowes_Consumiveis[[#This Row],[Código]],Venda_3meses[],2,FALSE),0)</f>
        <v>0</v>
      </c>
      <c r="W56" s="44" t="str">
        <f>IFERROR(Fellowes_Consumiveis[[#This Row],[V. 3 meses]]/Fellowes_Consumiveis[[#This Row],[Proj. de V. 3 meses]],"")</f>
        <v/>
      </c>
      <c r="X56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6" s="39">
        <f>IFERROR(VLOOKUP(Fellowes_Consumiveis[[#This Row],[Código]],Venda_12meses[],2,FALSE),0)</f>
        <v>0</v>
      </c>
      <c r="Z56" s="44" t="str">
        <f>IFERROR(Fellowes_Consumiveis[[#This Row],[V. 12 meses]]/Fellowes_Consumiveis[[#This Row],[Proj. de V. 12 meses]],"")</f>
        <v/>
      </c>
      <c r="AA56" s="22">
        <v>5350103</v>
      </c>
    </row>
    <row r="57" spans="1:27" x14ac:dyDescent="0.25">
      <c r="A57" s="22" t="str">
        <f>VLOOKUP(Fellowes_Consumiveis[[#This Row],[Código]],BD_Produto[#All],7,FALSE)</f>
        <v>Fora de linha</v>
      </c>
      <c r="B57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7" s="23">
        <v>33062562877</v>
      </c>
      <c r="D57" s="22" t="s">
        <v>867</v>
      </c>
      <c r="E57" s="22" t="str">
        <f>VLOOKUP(Fellowes_Consumiveis[[#This Row],[Código]],BD_Produto[],3,FALSE)</f>
        <v>insumo</v>
      </c>
      <c r="F57" s="22" t="str">
        <f>VLOOKUP(Fellowes_Consumiveis[[#This Row],[Código]],BD_Produto[],4,FALSE)</f>
        <v>Plastificadora</v>
      </c>
      <c r="G57" s="24"/>
      <c r="H57" s="25">
        <v>1.02</v>
      </c>
      <c r="I57" s="22"/>
      <c r="J57" s="24"/>
      <c r="K57" s="24" t="str">
        <f>IFERROR(VLOOKUP(Fellowes_Consumiveis[[#This Row],[Código]],Importação!P:R,3,FALSE),"")</f>
        <v/>
      </c>
      <c r="L57" s="24">
        <f>IFERROR(VLOOKUP(Fellowes_Consumiveis[[#This Row],[Código]],Saldo[],3,FALSE),0)</f>
        <v>224</v>
      </c>
      <c r="M57" s="24">
        <f>SUM(Fellowes_Consumiveis[[#This Row],[Produção]:[Estoque]])</f>
        <v>224</v>
      </c>
      <c r="N57" s="24" t="str">
        <f>IFERROR(Fellowes_Consumiveis[[#This Row],[Estoque+Importação]]/Fellowes_Consumiveis[[#This Row],[Proj. de V. No prox. mes]],"Sem Projeção")</f>
        <v>Sem Projeção</v>
      </c>
      <c r="O57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7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7" s="75">
        <f>VLOOKUP(Fellowes_Consumiveis[[#This Row],[Código]],Projeção[#All],15,FALSE)</f>
        <v>0</v>
      </c>
      <c r="R57" s="39">
        <f>VLOOKUP(Fellowes_Consumiveis[[#This Row],[Código]],Projeção[#All],14,FALSE)</f>
        <v>0</v>
      </c>
      <c r="S57" s="39">
        <f>IFERROR(VLOOKUP(Fellowes_Consumiveis[[#This Row],[Código]],Venda_mes[],2,FALSE),0)</f>
        <v>0</v>
      </c>
      <c r="T57" s="44" t="str">
        <f>IFERROR(Fellowes_Consumiveis[[#This Row],[V. No mes]]/Fellowes_Consumiveis[[#This Row],[Proj. de V. No mes]],"")</f>
        <v/>
      </c>
      <c r="U57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7" s="39">
        <f>IFERROR(VLOOKUP(Fellowes_Consumiveis[[#This Row],[Código]],Venda_3meses[],2,FALSE),0)</f>
        <v>0</v>
      </c>
      <c r="W57" s="44" t="str">
        <f>IFERROR(Fellowes_Consumiveis[[#This Row],[V. 3 meses]]/Fellowes_Consumiveis[[#This Row],[Proj. de V. 3 meses]],"")</f>
        <v/>
      </c>
      <c r="X57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7" s="39">
        <f>IFERROR(VLOOKUP(Fellowes_Consumiveis[[#This Row],[Código]],Venda_12meses[],2,FALSE),0)</f>
        <v>0</v>
      </c>
      <c r="Z57" s="44" t="str">
        <f>IFERROR(Fellowes_Consumiveis[[#This Row],[V. 12 meses]]/Fellowes_Consumiveis[[#This Row],[Proj. de V. 12 meses]],"")</f>
        <v/>
      </c>
      <c r="AA57" s="22">
        <v>5306703</v>
      </c>
    </row>
    <row r="58" spans="1:27" x14ac:dyDescent="0.25">
      <c r="A58" s="22" t="str">
        <f>VLOOKUP(Fellowes_Consumiveis[[#This Row],[Código]],BD_Produto[#All],7,FALSE)</f>
        <v>Fora de linha</v>
      </c>
      <c r="B58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8" s="23">
        <v>33062562878</v>
      </c>
      <c r="D58" s="22" t="s">
        <v>866</v>
      </c>
      <c r="E58" s="22" t="str">
        <f>VLOOKUP(Fellowes_Consumiveis[[#This Row],[Código]],BD_Produto[],3,FALSE)</f>
        <v>insumo</v>
      </c>
      <c r="F58" s="22" t="str">
        <f>VLOOKUP(Fellowes_Consumiveis[[#This Row],[Código]],BD_Produto[],4,FALSE)</f>
        <v>Plastificadora</v>
      </c>
      <c r="G58" s="24"/>
      <c r="H58" s="25">
        <v>1.29</v>
      </c>
      <c r="I58" s="22"/>
      <c r="J58" s="24"/>
      <c r="K58" s="24" t="str">
        <f>IFERROR(VLOOKUP(Fellowes_Consumiveis[[#This Row],[Código]],Importação!P:R,3,FALSE),"")</f>
        <v/>
      </c>
      <c r="L58" s="24">
        <f>IFERROR(VLOOKUP(Fellowes_Consumiveis[[#This Row],[Código]],Saldo[],3,FALSE),0)</f>
        <v>204</v>
      </c>
      <c r="M58" s="24">
        <f>SUM(Fellowes_Consumiveis[[#This Row],[Produção]:[Estoque]])</f>
        <v>204</v>
      </c>
      <c r="N58" s="24" t="str">
        <f>IFERROR(Fellowes_Consumiveis[[#This Row],[Estoque+Importação]]/Fellowes_Consumiveis[[#This Row],[Proj. de V. No prox. mes]],"Sem Projeção")</f>
        <v>Sem Projeção</v>
      </c>
      <c r="O58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8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8" s="75">
        <f>VLOOKUP(Fellowes_Consumiveis[[#This Row],[Código]],Projeção[#All],15,FALSE)</f>
        <v>0</v>
      </c>
      <c r="R58" s="39">
        <f>VLOOKUP(Fellowes_Consumiveis[[#This Row],[Código]],Projeção[#All],14,FALSE)</f>
        <v>0</v>
      </c>
      <c r="S58" s="39">
        <f>IFERROR(VLOOKUP(Fellowes_Consumiveis[[#This Row],[Código]],Venda_mes[],2,FALSE),0)</f>
        <v>0</v>
      </c>
      <c r="T58" s="44" t="str">
        <f>IFERROR(Fellowes_Consumiveis[[#This Row],[V. No mes]]/Fellowes_Consumiveis[[#This Row],[Proj. de V. No mes]],"")</f>
        <v/>
      </c>
      <c r="U58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8" s="39">
        <f>IFERROR(VLOOKUP(Fellowes_Consumiveis[[#This Row],[Código]],Venda_3meses[],2,FALSE),0)</f>
        <v>0</v>
      </c>
      <c r="W58" s="44" t="str">
        <f>IFERROR(Fellowes_Consumiveis[[#This Row],[V. 3 meses]]/Fellowes_Consumiveis[[#This Row],[Proj. de V. 3 meses]],"")</f>
        <v/>
      </c>
      <c r="X58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8" s="39">
        <f>IFERROR(VLOOKUP(Fellowes_Consumiveis[[#This Row],[Código]],Venda_12meses[],2,FALSE),0)</f>
        <v>0</v>
      </c>
      <c r="Z58" s="44" t="str">
        <f>IFERROR(Fellowes_Consumiveis[[#This Row],[V. 12 meses]]/Fellowes_Consumiveis[[#This Row],[Proj. de V. 12 meses]],"")</f>
        <v/>
      </c>
      <c r="AA58" s="22">
        <v>5306902</v>
      </c>
    </row>
    <row r="59" spans="1:27" x14ac:dyDescent="0.25">
      <c r="A59" s="22" t="str">
        <f>VLOOKUP(Fellowes_Consumiveis[[#This Row],[Código]],BD_Produto[#All],7,FALSE)</f>
        <v>Fora de linha</v>
      </c>
      <c r="B59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59" s="23">
        <v>33062562881</v>
      </c>
      <c r="D59" s="22" t="s">
        <v>879</v>
      </c>
      <c r="E59" s="22" t="str">
        <f>VLOOKUP(Fellowes_Consumiveis[[#This Row],[Código]],BD_Produto[],3,FALSE)</f>
        <v>insumo</v>
      </c>
      <c r="F59" s="22" t="str">
        <f>VLOOKUP(Fellowes_Consumiveis[[#This Row],[Código]],BD_Produto[],4,FALSE)</f>
        <v>Plastificadora</v>
      </c>
      <c r="G59" s="24"/>
      <c r="H59" s="25">
        <v>4.6500000000000004</v>
      </c>
      <c r="I59" s="22"/>
      <c r="J59" s="24"/>
      <c r="K59" s="24" t="str">
        <f>IFERROR(VLOOKUP(Fellowes_Consumiveis[[#This Row],[Código]],Importação!P:R,3,FALSE),"")</f>
        <v/>
      </c>
      <c r="L59" s="24">
        <f>IFERROR(VLOOKUP(Fellowes_Consumiveis[[#This Row],[Código]],Saldo[],3,FALSE),0)</f>
        <v>86</v>
      </c>
      <c r="M59" s="24">
        <f>SUM(Fellowes_Consumiveis[[#This Row],[Produção]:[Estoque]])</f>
        <v>86</v>
      </c>
      <c r="N59" s="24" t="str">
        <f>IFERROR(Fellowes_Consumiveis[[#This Row],[Estoque+Importação]]/Fellowes_Consumiveis[[#This Row],[Proj. de V. No prox. mes]],"Sem Projeção")</f>
        <v>Sem Projeção</v>
      </c>
      <c r="O59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59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59" s="75">
        <f>VLOOKUP(Fellowes_Consumiveis[[#This Row],[Código]],Projeção[#All],15,FALSE)</f>
        <v>0</v>
      </c>
      <c r="R59" s="39">
        <f>VLOOKUP(Fellowes_Consumiveis[[#This Row],[Código]],Projeção[#All],14,FALSE)</f>
        <v>0</v>
      </c>
      <c r="S59" s="39">
        <f>IFERROR(VLOOKUP(Fellowes_Consumiveis[[#This Row],[Código]],Venda_mes[],2,FALSE),0)</f>
        <v>0</v>
      </c>
      <c r="T59" s="44" t="str">
        <f>IFERROR(Fellowes_Consumiveis[[#This Row],[V. No mes]]/Fellowes_Consumiveis[[#This Row],[Proj. de V. No mes]],"")</f>
        <v/>
      </c>
      <c r="U59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59" s="39">
        <f>IFERROR(VLOOKUP(Fellowes_Consumiveis[[#This Row],[Código]],Venda_3meses[],2,FALSE),0)</f>
        <v>0</v>
      </c>
      <c r="W59" s="44" t="str">
        <f>IFERROR(Fellowes_Consumiveis[[#This Row],[V. 3 meses]]/Fellowes_Consumiveis[[#This Row],[Proj. de V. 3 meses]],"")</f>
        <v/>
      </c>
      <c r="X59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59" s="39">
        <f>IFERROR(VLOOKUP(Fellowes_Consumiveis[[#This Row],[Código]],Venda_12meses[],2,FALSE),0)</f>
        <v>0</v>
      </c>
      <c r="Z59" s="44" t="str">
        <f>IFERROR(Fellowes_Consumiveis[[#This Row],[V. 12 meses]]/Fellowes_Consumiveis[[#This Row],[Proj. de V. 12 meses]],"")</f>
        <v/>
      </c>
      <c r="AA59" s="22">
        <v>5307303</v>
      </c>
    </row>
    <row r="60" spans="1:27" x14ac:dyDescent="0.25">
      <c r="A60" s="22" t="str">
        <f>VLOOKUP(Fellowes_Consumiveis[[#This Row],[Código]],BD_Produto[#All],7,FALSE)</f>
        <v>Fora de linha</v>
      </c>
      <c r="B60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ok</v>
      </c>
      <c r="C60" s="23">
        <v>33062562880</v>
      </c>
      <c r="D60" s="22" t="s">
        <v>865</v>
      </c>
      <c r="E60" s="22" t="str">
        <f>VLOOKUP(Fellowes_Consumiveis[[#This Row],[Código]],BD_Produto[],3,FALSE)</f>
        <v>insumo</v>
      </c>
      <c r="F60" s="22" t="str">
        <f>VLOOKUP(Fellowes_Consumiveis[[#This Row],[Código]],BD_Produto[],4,FALSE)</f>
        <v>Plastificadora</v>
      </c>
      <c r="G60" s="24"/>
      <c r="H60" s="25">
        <v>2.64</v>
      </c>
      <c r="I60" s="22"/>
      <c r="J60" s="24"/>
      <c r="K60" s="24" t="str">
        <f>IFERROR(VLOOKUP(Fellowes_Consumiveis[[#This Row],[Código]],Importação!P:R,3,FALSE),"")</f>
        <v/>
      </c>
      <c r="L60" s="24">
        <f>IFERROR(VLOOKUP(Fellowes_Consumiveis[[#This Row],[Código]],Saldo[],3,FALSE),0)</f>
        <v>184</v>
      </c>
      <c r="M60" s="24">
        <f>SUM(Fellowes_Consumiveis[[#This Row],[Produção]:[Estoque]])</f>
        <v>184</v>
      </c>
      <c r="N60" s="24" t="str">
        <f>IFERROR(Fellowes_Consumiveis[[#This Row],[Estoque+Importação]]/Fellowes_Consumiveis[[#This Row],[Proj. de V. No prox. mes]],"Sem Projeção")</f>
        <v>Sem Projeção</v>
      </c>
      <c r="O60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0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0" s="75">
        <f>VLOOKUP(Fellowes_Consumiveis[[#This Row],[Código]],Projeção[#All],15,FALSE)</f>
        <v>0</v>
      </c>
      <c r="R60" s="39">
        <f>VLOOKUP(Fellowes_Consumiveis[[#This Row],[Código]],Projeção[#All],14,FALSE)</f>
        <v>0</v>
      </c>
      <c r="S60" s="39">
        <f>IFERROR(VLOOKUP(Fellowes_Consumiveis[[#This Row],[Código]],Venda_mes[],2,FALSE),0)</f>
        <v>0</v>
      </c>
      <c r="T60" s="44" t="str">
        <f>IFERROR(Fellowes_Consumiveis[[#This Row],[V. No mes]]/Fellowes_Consumiveis[[#This Row],[Proj. de V. No mes]],"")</f>
        <v/>
      </c>
      <c r="U60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60" s="39">
        <f>IFERROR(VLOOKUP(Fellowes_Consumiveis[[#This Row],[Código]],Venda_3meses[],2,FALSE),0)</f>
        <v>0</v>
      </c>
      <c r="W60" s="44" t="str">
        <f>IFERROR(Fellowes_Consumiveis[[#This Row],[V. 3 meses]]/Fellowes_Consumiveis[[#This Row],[Proj. de V. 3 meses]],"")</f>
        <v/>
      </c>
      <c r="X60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</v>
      </c>
      <c r="Y60" s="39">
        <f>IFERROR(VLOOKUP(Fellowes_Consumiveis[[#This Row],[Código]],Venda_12meses[],2,FALSE),0)</f>
        <v>0</v>
      </c>
      <c r="Z60" s="44" t="str">
        <f>IFERROR(Fellowes_Consumiveis[[#This Row],[V. 12 meses]]/Fellowes_Consumiveis[[#This Row],[Proj. de V. 12 meses]],"")</f>
        <v/>
      </c>
      <c r="AA60" s="22">
        <v>5307202</v>
      </c>
    </row>
    <row r="61" spans="1:27" x14ac:dyDescent="0.25">
      <c r="A61" s="22" t="str">
        <f>VLOOKUP(Fellowes_Consumiveis[[#This Row],[Código]],BD_Produto[#All],7,FALSE)</f>
        <v>Fora de linha</v>
      </c>
      <c r="B61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61" s="23">
        <v>33062562882</v>
      </c>
      <c r="D61" s="22" t="s">
        <v>873</v>
      </c>
      <c r="E61" s="22" t="str">
        <f>VLOOKUP(Fellowes_Consumiveis[[#This Row],[Código]],BD_Produto[],3,FALSE)</f>
        <v>insumo</v>
      </c>
      <c r="F61" s="22" t="str">
        <f>VLOOKUP(Fellowes_Consumiveis[[#This Row],[Código]],BD_Produto[],4,FALSE)</f>
        <v>Plastificadora</v>
      </c>
      <c r="G61" s="24"/>
      <c r="H61" s="25">
        <v>8.01</v>
      </c>
      <c r="I61" s="22"/>
      <c r="J61" s="24"/>
      <c r="K61" s="24" t="str">
        <f>IFERROR(VLOOKUP(Fellowes_Consumiveis[[#This Row],[Código]],Importação!P:R,3,FALSE),"")</f>
        <v/>
      </c>
      <c r="L61" s="24">
        <f>IFERROR(VLOOKUP(Fellowes_Consumiveis[[#This Row],[Código]],Saldo[],3,FALSE),0)</f>
        <v>0</v>
      </c>
      <c r="M61" s="24">
        <f>SUM(Fellowes_Consumiveis[[#This Row],[Produção]:[Estoque]])</f>
        <v>0</v>
      </c>
      <c r="N61" s="24">
        <f>IFERROR(Fellowes_Consumiveis[[#This Row],[Estoque+Importação]]/Fellowes_Consumiveis[[#This Row],[Proj. de V. No prox. mes]],"Sem Projeção")</f>
        <v>0</v>
      </c>
      <c r="O61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1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1" s="75">
        <f>VLOOKUP(Fellowes_Consumiveis[[#This Row],[Código]],Projeção[#All],15,FALSE)</f>
        <v>1.7999999999999998</v>
      </c>
      <c r="R61" s="39">
        <f>VLOOKUP(Fellowes_Consumiveis[[#This Row],[Código]],Projeção[#All],14,FALSE)</f>
        <v>0.6333333333333333</v>
      </c>
      <c r="S61" s="39">
        <f>IFERROR(VLOOKUP(Fellowes_Consumiveis[[#This Row],[Código]],Venda_mes[],2,FALSE),0)</f>
        <v>0</v>
      </c>
      <c r="T61" s="44">
        <f>IFERROR(Fellowes_Consumiveis[[#This Row],[V. No mes]]/Fellowes_Consumiveis[[#This Row],[Proj. de V. No mes]],"")</f>
        <v>0</v>
      </c>
      <c r="U61" s="43">
        <f>VLOOKUP(Fellowes_Consumiveis[[#This Row],[Código]],Projeção[#All],14,FALSE)+VLOOKUP(Fellowes_Consumiveis[[#This Row],[Código]],Projeção[#All],13,FALSE)+VLOOKUP(Fellowes_Consumiveis[[#This Row],[Código]],Projeção[#All],12,FALSE)</f>
        <v>2.166666666666667</v>
      </c>
      <c r="V61" s="39">
        <f>IFERROR(VLOOKUP(Fellowes_Consumiveis[[#This Row],[Código]],Venda_3meses[],2,FALSE),0)</f>
        <v>0</v>
      </c>
      <c r="W61" s="44">
        <f>IFERROR(Fellowes_Consumiveis[[#This Row],[V. 3 meses]]/Fellowes_Consumiveis[[#This Row],[Proj. de V. 3 meses]],"")</f>
        <v>0</v>
      </c>
      <c r="X61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13.8</v>
      </c>
      <c r="Y61" s="39">
        <f>IFERROR(VLOOKUP(Fellowes_Consumiveis[[#This Row],[Código]],Venda_12meses[],2,FALSE),0)</f>
        <v>54</v>
      </c>
      <c r="Z61" s="44">
        <f>IFERROR(Fellowes_Consumiveis[[#This Row],[V. 12 meses]]/Fellowes_Consumiveis[[#This Row],[Proj. de V. 12 meses]],"")</f>
        <v>3.9130434782608692</v>
      </c>
      <c r="AA61" s="22">
        <v>5307409</v>
      </c>
    </row>
    <row r="62" spans="1:27" x14ac:dyDescent="0.25">
      <c r="A62" s="22" t="str">
        <f>VLOOKUP(Fellowes_Consumiveis[[#This Row],[Código]],BD_Produto[#All],7,FALSE)</f>
        <v>Fora de linha</v>
      </c>
      <c r="B62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62" s="23">
        <v>33062562883</v>
      </c>
      <c r="D62" s="22" t="s">
        <v>991</v>
      </c>
      <c r="E62" s="22" t="str">
        <f>VLOOKUP(Fellowes_Consumiveis[[#This Row],[Código]],BD_Produto[],3,FALSE)</f>
        <v>insumo</v>
      </c>
      <c r="F62" s="22" t="str">
        <f>VLOOKUP(Fellowes_Consumiveis[[#This Row],[Código]],BD_Produto[],4,FALSE)</f>
        <v>Plastificadora</v>
      </c>
      <c r="G62" s="24"/>
      <c r="H62" s="25">
        <v>16.04</v>
      </c>
      <c r="I62" s="22"/>
      <c r="J62" s="24"/>
      <c r="K62" s="24" t="str">
        <f>IFERROR(VLOOKUP(Fellowes_Consumiveis[[#This Row],[Código]],Importação!P:R,3,FALSE),"")</f>
        <v/>
      </c>
      <c r="L62" s="24">
        <f>IFERROR(VLOOKUP(Fellowes_Consumiveis[[#This Row],[Código]],Saldo[],3,FALSE),0)</f>
        <v>0</v>
      </c>
      <c r="M62" s="24">
        <f>SUM(Fellowes_Consumiveis[[#This Row],[Produção]:[Estoque]])</f>
        <v>0</v>
      </c>
      <c r="N62" s="24">
        <f>IFERROR(Fellowes_Consumiveis[[#This Row],[Estoque+Importação]]/Fellowes_Consumiveis[[#This Row],[Proj. de V. No prox. mes]],"Sem Projeção")</f>
        <v>0</v>
      </c>
      <c r="O62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2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2" s="75">
        <f>VLOOKUP(Fellowes_Consumiveis[[#This Row],[Código]],Projeção[#All],15,FALSE)</f>
        <v>1.2666666666666666</v>
      </c>
      <c r="R62" s="39">
        <f>VLOOKUP(Fellowes_Consumiveis[[#This Row],[Código]],Projeção[#All],14,FALSE)</f>
        <v>9.9999999999999992E-2</v>
      </c>
      <c r="S62" s="39">
        <f>IFERROR(VLOOKUP(Fellowes_Consumiveis[[#This Row],[Código]],Venda_mes[],2,FALSE),0)</f>
        <v>0</v>
      </c>
      <c r="T62" s="44">
        <f>IFERROR(Fellowes_Consumiveis[[#This Row],[V. No mes]]/Fellowes_Consumiveis[[#This Row],[Proj. de V. No mes]],"")</f>
        <v>0</v>
      </c>
      <c r="U62" s="43">
        <f>VLOOKUP(Fellowes_Consumiveis[[#This Row],[Código]],Projeção[#All],14,FALSE)+VLOOKUP(Fellowes_Consumiveis[[#This Row],[Código]],Projeção[#All],13,FALSE)+VLOOKUP(Fellowes_Consumiveis[[#This Row],[Código]],Projeção[#All],12,FALSE)</f>
        <v>0.36666666666666659</v>
      </c>
      <c r="V62" s="39">
        <f>IFERROR(VLOOKUP(Fellowes_Consumiveis[[#This Row],[Código]],Venda_3meses[],2,FALSE),0)</f>
        <v>0</v>
      </c>
      <c r="W62" s="44">
        <f>IFERROR(Fellowes_Consumiveis[[#This Row],[V. 3 meses]]/Fellowes_Consumiveis[[#This Row],[Proj. de V. 3 meses]],"")</f>
        <v>0</v>
      </c>
      <c r="X62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0.53333333333333321</v>
      </c>
      <c r="Y62" s="39">
        <f>IFERROR(VLOOKUP(Fellowes_Consumiveis[[#This Row],[Código]],Venda_12meses[],2,FALSE),0)</f>
        <v>38</v>
      </c>
      <c r="Z62" s="44">
        <f>IFERROR(Fellowes_Consumiveis[[#This Row],[V. 12 meses]]/Fellowes_Consumiveis[[#This Row],[Proj. de V. 12 meses]],"")</f>
        <v>71.250000000000014</v>
      </c>
      <c r="AA62" s="22">
        <v>5307507</v>
      </c>
    </row>
    <row r="63" spans="1:27" x14ac:dyDescent="0.25">
      <c r="A63" s="22" t="str">
        <f>VLOOKUP(Fellowes_Consumiveis[[#This Row],[Código]],BD_Produto[#All],7,FALSE)</f>
        <v>Fora de linha</v>
      </c>
      <c r="B63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63" s="23">
        <v>33062562889</v>
      </c>
      <c r="D63" s="22" t="s">
        <v>870</v>
      </c>
      <c r="E63" s="22" t="str">
        <f>VLOOKUP(Fellowes_Consumiveis[[#This Row],[Código]],BD_Produto[],3,FALSE)</f>
        <v>insumo</v>
      </c>
      <c r="F63" s="22" t="str">
        <f>VLOOKUP(Fellowes_Consumiveis[[#This Row],[Código]],BD_Produto[],4,FALSE)</f>
        <v>Plastificadora</v>
      </c>
      <c r="G63" s="24"/>
      <c r="H63" s="25">
        <v>2.4</v>
      </c>
      <c r="I63" s="22"/>
      <c r="J63" s="24"/>
      <c r="K63" s="24" t="str">
        <f>IFERROR(VLOOKUP(Fellowes_Consumiveis[[#This Row],[Código]],Importação!P:R,3,FALSE),"")</f>
        <v/>
      </c>
      <c r="L63" s="24">
        <f>IFERROR(VLOOKUP(Fellowes_Consumiveis[[#This Row],[Código]],Saldo[],3,FALSE),0)</f>
        <v>0</v>
      </c>
      <c r="M63" s="24">
        <f>SUM(Fellowes_Consumiveis[[#This Row],[Produção]:[Estoque]])</f>
        <v>0</v>
      </c>
      <c r="N63" s="24">
        <f>IFERROR(Fellowes_Consumiveis[[#This Row],[Estoque+Importação]]/Fellowes_Consumiveis[[#This Row],[Proj. de V. No prox. mes]],"Sem Projeção")</f>
        <v>0</v>
      </c>
      <c r="O63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3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3" s="75">
        <f>VLOOKUP(Fellowes_Consumiveis[[#This Row],[Código]],Projeção[#All],15,FALSE)</f>
        <v>9.2666666666666657</v>
      </c>
      <c r="R63" s="39">
        <f>VLOOKUP(Fellowes_Consumiveis[[#This Row],[Código]],Projeção[#All],14,FALSE)</f>
        <v>6.6666666666666666E-2</v>
      </c>
      <c r="S63" s="39">
        <f>IFERROR(VLOOKUP(Fellowes_Consumiveis[[#This Row],[Código]],Venda_mes[],2,FALSE),0)</f>
        <v>0</v>
      </c>
      <c r="T63" s="44">
        <f>IFERROR(Fellowes_Consumiveis[[#This Row],[V. No mes]]/Fellowes_Consumiveis[[#This Row],[Proj. de V. No mes]],"")</f>
        <v>0</v>
      </c>
      <c r="U63" s="43">
        <f>VLOOKUP(Fellowes_Consumiveis[[#This Row],[Código]],Projeção[#All],14,FALSE)+VLOOKUP(Fellowes_Consumiveis[[#This Row],[Código]],Projeção[#All],13,FALSE)+VLOOKUP(Fellowes_Consumiveis[[#This Row],[Código]],Projeção[#All],12,FALSE)</f>
        <v>0.33333333333333331</v>
      </c>
      <c r="V63" s="39">
        <f>IFERROR(VLOOKUP(Fellowes_Consumiveis[[#This Row],[Código]],Venda_3meses[],2,FALSE),0)</f>
        <v>0</v>
      </c>
      <c r="W63" s="44">
        <f>IFERROR(Fellowes_Consumiveis[[#This Row],[V. 3 meses]]/Fellowes_Consumiveis[[#This Row],[Proj. de V. 3 meses]],"")</f>
        <v>0</v>
      </c>
      <c r="X63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3.133333333333332</v>
      </c>
      <c r="Y63" s="39">
        <f>IFERROR(VLOOKUP(Fellowes_Consumiveis[[#This Row],[Código]],Venda_12meses[],2,FALSE),0)</f>
        <v>278</v>
      </c>
      <c r="Z63" s="44">
        <f>IFERROR(Fellowes_Consumiveis[[#This Row],[V. 12 meses]]/Fellowes_Consumiveis[[#This Row],[Proj. de V. 12 meses]],"")</f>
        <v>88.723404255319181</v>
      </c>
      <c r="AA63" s="22"/>
    </row>
    <row r="64" spans="1:27" x14ac:dyDescent="0.25">
      <c r="A64" s="22" t="str">
        <f>VLOOKUP(Fellowes_Consumiveis[[#This Row],[Código]],BD_Produto[#All],7,FALSE)</f>
        <v>Fora de linha</v>
      </c>
      <c r="B64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64" s="23">
        <v>33062562890</v>
      </c>
      <c r="D64" s="22" t="s">
        <v>880</v>
      </c>
      <c r="E64" s="22" t="str">
        <f>VLOOKUP(Fellowes_Consumiveis[[#This Row],[Código]],BD_Produto[],3,FALSE)</f>
        <v>insumo</v>
      </c>
      <c r="F64" s="22" t="str">
        <f>VLOOKUP(Fellowes_Consumiveis[[#This Row],[Código]],BD_Produto[],4,FALSE)</f>
        <v>Plastificadora</v>
      </c>
      <c r="G64" s="24"/>
      <c r="H64" s="25">
        <v>17.82</v>
      </c>
      <c r="I64" s="22"/>
      <c r="J64" s="24"/>
      <c r="K64" s="24" t="str">
        <f>IFERROR(VLOOKUP(Fellowes_Consumiveis[[#This Row],[Código]],Importação!P:R,3,FALSE),"")</f>
        <v/>
      </c>
      <c r="L64" s="24">
        <f>IFERROR(VLOOKUP(Fellowes_Consumiveis[[#This Row],[Código]],Saldo[],3,FALSE),0)</f>
        <v>0</v>
      </c>
      <c r="M64" s="24">
        <f>SUM(Fellowes_Consumiveis[[#This Row],[Produção]:[Estoque]])</f>
        <v>0</v>
      </c>
      <c r="N64" s="24">
        <f>IFERROR(Fellowes_Consumiveis[[#This Row],[Estoque+Importação]]/Fellowes_Consumiveis[[#This Row],[Proj. de V. No prox. mes]],"Sem Projeção")</f>
        <v>0</v>
      </c>
      <c r="O64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4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4" s="75">
        <f>VLOOKUP(Fellowes_Consumiveis[[#This Row],[Código]],Projeção[#All],15,FALSE)</f>
        <v>0.39999999999999997</v>
      </c>
      <c r="R64" s="39">
        <f>VLOOKUP(Fellowes_Consumiveis[[#This Row],[Código]],Projeção[#All],14,FALSE)</f>
        <v>0</v>
      </c>
      <c r="S64" s="39">
        <f>IFERROR(VLOOKUP(Fellowes_Consumiveis[[#This Row],[Código]],Venda_mes[],2,FALSE),0)</f>
        <v>0</v>
      </c>
      <c r="T64" s="44" t="str">
        <f>IFERROR(Fellowes_Consumiveis[[#This Row],[V. No mes]]/Fellowes_Consumiveis[[#This Row],[Proj. de V. No mes]],"")</f>
        <v/>
      </c>
      <c r="U64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64" s="39">
        <f>IFERROR(VLOOKUP(Fellowes_Consumiveis[[#This Row],[Código]],Venda_3meses[],2,FALSE),0)</f>
        <v>0</v>
      </c>
      <c r="W64" s="44" t="str">
        <f>IFERROR(Fellowes_Consumiveis[[#This Row],[V. 3 meses]]/Fellowes_Consumiveis[[#This Row],[Proj. de V. 3 meses]],"")</f>
        <v/>
      </c>
      <c r="X64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2.1333333333333333</v>
      </c>
      <c r="Y64" s="39">
        <f>IFERROR(VLOOKUP(Fellowes_Consumiveis[[#This Row],[Código]],Venda_12meses[],2,FALSE),0)</f>
        <v>12</v>
      </c>
      <c r="Z64" s="44">
        <f>IFERROR(Fellowes_Consumiveis[[#This Row],[V. 12 meses]]/Fellowes_Consumiveis[[#This Row],[Proj. de V. 12 meses]],"")</f>
        <v>5.625</v>
      </c>
      <c r="AA64" s="22">
        <v>5401804</v>
      </c>
    </row>
    <row r="65" spans="1:27" x14ac:dyDescent="0.25">
      <c r="A65" s="22" t="str">
        <f>VLOOKUP(Fellowes_Consumiveis[[#This Row],[Código]],BD_Produto[#All],7,FALSE)</f>
        <v>Fora de linha</v>
      </c>
      <c r="B65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65" s="23">
        <v>33062562885</v>
      </c>
      <c r="D65" s="22" t="s">
        <v>883</v>
      </c>
      <c r="E65" s="22" t="str">
        <f>VLOOKUP(Fellowes_Consumiveis[[#This Row],[Código]],BD_Produto[],3,FALSE)</f>
        <v>insumo</v>
      </c>
      <c r="F65" s="22" t="str">
        <f>VLOOKUP(Fellowes_Consumiveis[[#This Row],[Código]],BD_Produto[],4,FALSE)</f>
        <v>Plastificadora</v>
      </c>
      <c r="G65" s="24"/>
      <c r="H65" s="25">
        <v>25.15</v>
      </c>
      <c r="I65" s="22"/>
      <c r="J65" s="24"/>
      <c r="K65" s="24" t="str">
        <f>IFERROR(VLOOKUP(Fellowes_Consumiveis[[#This Row],[Código]],Importação!P:R,3,FALSE),"")</f>
        <v/>
      </c>
      <c r="L65" s="24">
        <f>IFERROR(VLOOKUP(Fellowes_Consumiveis[[#This Row],[Código]],Saldo[],3,FALSE),0)</f>
        <v>0</v>
      </c>
      <c r="M65" s="24">
        <f>SUM(Fellowes_Consumiveis[[#This Row],[Produção]:[Estoque]])</f>
        <v>0</v>
      </c>
      <c r="N65" s="24">
        <f>IFERROR(Fellowes_Consumiveis[[#This Row],[Estoque+Importação]]/Fellowes_Consumiveis[[#This Row],[Proj. de V. No prox. mes]],"Sem Projeção")</f>
        <v>0</v>
      </c>
      <c r="O65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5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5" s="75">
        <f>VLOOKUP(Fellowes_Consumiveis[[#This Row],[Código]],Projeção[#All],15,FALSE)</f>
        <v>2.2666666666666666</v>
      </c>
      <c r="R65" s="43">
        <f>VLOOKUP(Fellowes_Consumiveis[[#This Row],[Código]],Projeção[#All],14,FALSE)</f>
        <v>0</v>
      </c>
      <c r="S65" s="39">
        <f>IFERROR(VLOOKUP(Fellowes_Consumiveis[[#This Row],[Código]],Venda_mes[],2,FALSE),0)</f>
        <v>0</v>
      </c>
      <c r="T65" s="44" t="str">
        <f>IFERROR(Fellowes_Consumiveis[[#This Row],[V. No mes]]/Fellowes_Consumiveis[[#This Row],[Proj. de V. No mes]],"")</f>
        <v/>
      </c>
      <c r="U65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65" s="39">
        <f>IFERROR(VLOOKUP(Fellowes_Consumiveis[[#This Row],[Código]],Venda_3meses[],2,FALSE),0)</f>
        <v>0</v>
      </c>
      <c r="W65" s="44" t="str">
        <f>IFERROR(Fellowes_Consumiveis[[#This Row],[V. 3 meses]]/Fellowes_Consumiveis[[#This Row],[Proj. de V. 3 meses]],"")</f>
        <v/>
      </c>
      <c r="X65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1.5999999999999999</v>
      </c>
      <c r="Y65" s="39">
        <f>IFERROR(VLOOKUP(Fellowes_Consumiveis[[#This Row],[Código]],Venda_12meses[],2,FALSE),0)</f>
        <v>68</v>
      </c>
      <c r="Z65" s="44">
        <f>IFERROR(Fellowes_Consumiveis[[#This Row],[V. 12 meses]]/Fellowes_Consumiveis[[#This Row],[Proj. de V. 12 meses]],"")</f>
        <v>42.5</v>
      </c>
      <c r="AA65" s="22">
        <v>5308804</v>
      </c>
    </row>
    <row r="66" spans="1:27" x14ac:dyDescent="0.25">
      <c r="A66" s="22" t="str">
        <f>VLOOKUP(Fellowes_Consumiveis[[#This Row],[Código]],BD_Produto[#All],7,FALSE)</f>
        <v>Fora de linha</v>
      </c>
      <c r="B66" s="22" t="str">
        <f>IF(OR(Fellowes_Consumiveis[[#This Row],[Status]]="Em linha",Fellowes_Consumiveis[[#This Row],[Status]]="Materia Prima",Fellowes_Consumiveis[[#This Row],[Status]]="Componente"),"ok",IF(Fellowes_Consumiveis[[#This Row],[Estoque+Importação]]&lt;1,"Tirar","ok"))</f>
        <v>Tirar</v>
      </c>
      <c r="C66" s="23">
        <v>33062562884</v>
      </c>
      <c r="D66" s="22" t="s">
        <v>878</v>
      </c>
      <c r="E66" s="22" t="str">
        <f>VLOOKUP(Fellowes_Consumiveis[[#This Row],[Código]],BD_Produto[],3,FALSE)</f>
        <v>insumo</v>
      </c>
      <c r="F66" s="22" t="str">
        <f>VLOOKUP(Fellowes_Consumiveis[[#This Row],[Código]],BD_Produto[],4,FALSE)</f>
        <v>Plastificadora</v>
      </c>
      <c r="G66" s="24"/>
      <c r="H66" s="25">
        <v>11.84</v>
      </c>
      <c r="I66" s="22"/>
      <c r="J66" s="24"/>
      <c r="K66" s="24" t="str">
        <f>IFERROR(VLOOKUP(Fellowes_Consumiveis[[#This Row],[Código]],Importação!P:R,3,FALSE),"")</f>
        <v/>
      </c>
      <c r="L66" s="24">
        <f>IFERROR(VLOOKUP(Fellowes_Consumiveis[[#This Row],[Código]],Saldo[],3,FALSE),0)</f>
        <v>0</v>
      </c>
      <c r="M66" s="24">
        <f>SUM(Fellowes_Consumiveis[[#This Row],[Produção]:[Estoque]])</f>
        <v>0</v>
      </c>
      <c r="N66" s="24">
        <f>IFERROR(Fellowes_Consumiveis[[#This Row],[Estoque+Importação]]/Fellowes_Consumiveis[[#This Row],[Proj. de V. No prox. mes]],"Sem Projeção")</f>
        <v>0</v>
      </c>
      <c r="O66" s="24" t="str">
        <f>IF(OR(Fellowes_Consumiveis[[#This Row],[Status]]="Em Linha",Fellowes_Consumiveis[[#This Row],[Status]]="Componente",Fellowes_Consumiveis[[#This Row],[Status]]="Materia Prima"),Fellowes_Consumiveis[[#This Row],[Proj. de V. No prox. mes]]*10,"-")</f>
        <v>-</v>
      </c>
      <c r="P66" s="34">
        <f>IF(OR(Fellowes_Consumiveis[[#This Row],[Status]]="Em Linha",Fellowes_Consumiveis[[#This Row],[Status]]="Componente",Fellowes_Consumiveis[[#This Row],[Status]]="Materia Prima"),Fellowes_Consumiveis[[#This Row],[estoque 10 meses]]-Fellowes_Consumiveis[[#This Row],[Estoque+Importação]],0)</f>
        <v>0</v>
      </c>
      <c r="Q66" s="75">
        <f>VLOOKUP(Fellowes_Consumiveis[[#This Row],[Código]],Projeção[#All],15,FALSE)</f>
        <v>4.1333333333333337</v>
      </c>
      <c r="R66" s="43">
        <f>VLOOKUP(Fellowes_Consumiveis[[#This Row],[Código]],Projeção[#All],14,FALSE)</f>
        <v>0</v>
      </c>
      <c r="S66" s="39">
        <f>IFERROR(VLOOKUP(Fellowes_Consumiveis[[#This Row],[Código]],Venda_mes[],2,FALSE),0)</f>
        <v>0</v>
      </c>
      <c r="T66" s="44" t="str">
        <f>IFERROR(Fellowes_Consumiveis[[#This Row],[V. No mes]]/Fellowes_Consumiveis[[#This Row],[Proj. de V. No mes]],"")</f>
        <v/>
      </c>
      <c r="U66" s="43">
        <f>VLOOKUP(Fellowes_Consumiveis[[#This Row],[Código]],Projeção[#All],14,FALSE)+VLOOKUP(Fellowes_Consumiveis[[#This Row],[Código]],Projeção[#All],13,FALSE)+VLOOKUP(Fellowes_Consumiveis[[#This Row],[Código]],Projeção[#All],12,FALSE)</f>
        <v>0</v>
      </c>
      <c r="V66" s="39">
        <f>IFERROR(VLOOKUP(Fellowes_Consumiveis[[#This Row],[Código]],Venda_3meses[],2,FALSE),0)</f>
        <v>0</v>
      </c>
      <c r="W66" s="44" t="str">
        <f>IFERROR(Fellowes_Consumiveis[[#This Row],[V. 3 meses]]/Fellowes_Consumiveis[[#This Row],[Proj. de V. 3 meses]],"")</f>
        <v/>
      </c>
      <c r="X66" s="43">
        <f>VLOOKUP(Fellowes_Consumiveis[[#This Row],[Código]],Projeção[#All],14,FALSE)+VLOOKUP(Fellowes_Consumiveis[[#This Row],[Código]],Projeção[#All],13,FALSE)+VLOOKUP(Fellowes_Consumiveis[[#This Row],[Código]],Projeção[#All],12,FALSE)+VLOOKUP(Fellowes_Consumiveis[[#This Row],[Código]],Projeção[#All],11,FALSE)+VLOOKUP(Fellowes_Consumiveis[[#This Row],[Código]],Projeção[#All],10,FALSE)+VLOOKUP(Fellowes_Consumiveis[[#This Row],[Código]],Projeção[#All],9,FALSE)+VLOOKUP(Fellowes_Consumiveis[[#This Row],[Código]],Projeção[#All],8,FALSE)+VLOOKUP(Fellowes_Consumiveis[[#This Row],[Código]],Projeção[#All],7,FALSE)+VLOOKUP(Fellowes_Consumiveis[[#This Row],[Código]],Projeção[#All],6,FALSE)+VLOOKUP(Fellowes_Consumiveis[[#This Row],[Código]],Projeção[#All],5,FALSE)+VLOOKUP(Fellowes_Consumiveis[[#This Row],[Código]],Projeção[#All],4,FALSE)+VLOOKUP(Fellowes_Consumiveis[[#This Row],[Código]],Projeção[#All],3,FALSE)</f>
        <v>1.3333333333333333</v>
      </c>
      <c r="Y66" s="39">
        <f>IFERROR(VLOOKUP(Fellowes_Consumiveis[[#This Row],[Código]],Venda_12meses[],2,FALSE),0)</f>
        <v>124</v>
      </c>
      <c r="Z66" s="44">
        <f>IFERROR(Fellowes_Consumiveis[[#This Row],[V. 12 meses]]/Fellowes_Consumiveis[[#This Row],[Proj. de V. 12 meses]],"")</f>
        <v>93</v>
      </c>
      <c r="AA66" s="22">
        <v>5308704</v>
      </c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2:T2"/>
    <mergeCell ref="R3:R5"/>
    <mergeCell ref="S3:S5"/>
    <mergeCell ref="T3:T5"/>
    <mergeCell ref="Z3:Z5"/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ECF1581B-D3E4-4133-B69A-9595F103CAE8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T7:T66 W7:W66 Z7:Z66</xm:sqref>
        </x14:conditionalFormatting>
        <x14:conditionalFormatting xmlns:xm="http://schemas.microsoft.com/office/excel/2006/main">
          <x14:cfRule type="iconSet" priority="1" id="{AA55794A-F81F-4594-BD9B-CF81D3DF17AA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P7:P66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A112"/>
  <sheetViews>
    <sheetView tabSelected="1"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AC82" sqref="AC82"/>
    </sheetView>
  </sheetViews>
  <sheetFormatPr defaultRowHeight="15" x14ac:dyDescent="0.25"/>
  <cols>
    <col min="1" max="1" width="13.5703125" bestFit="1" customWidth="1"/>
    <col min="2" max="2" width="7.28515625" bestFit="1" customWidth="1"/>
    <col min="3" max="3" width="15.42578125" bestFit="1" customWidth="1"/>
    <col min="4" max="4" width="93.85546875" bestFit="1" customWidth="1"/>
    <col min="5" max="5" width="16.28515625" bestFit="1" customWidth="1"/>
    <col min="6" max="6" width="16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hidden="1" customWidth="1"/>
    <col min="12" max="12" width="14.85546875" bestFit="1" customWidth="1"/>
    <col min="13" max="13" width="16.5703125" hidden="1" customWidth="1"/>
    <col min="14" max="14" width="15.42578125" hidden="1" customWidth="1"/>
    <col min="15" max="15" width="14.85546875" hidden="1" customWidth="1"/>
    <col min="16" max="16" width="14.140625" hidden="1" customWidth="1"/>
    <col min="17" max="17" width="9.28515625" style="78" hidden="1" customWidth="1"/>
    <col min="18" max="22" width="9.7109375" hidden="1" customWidth="1"/>
    <col min="23" max="23" width="10.28515625" hidden="1" customWidth="1"/>
    <col min="24" max="26" width="9.7109375" hidden="1" customWidth="1"/>
    <col min="27" max="27" width="66.85546875" hidden="1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65" t="s">
        <v>36</v>
      </c>
      <c r="K1" s="65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6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89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66" t="str">
        <f>VLOOKUP(Fellowes_Consumiveis9[[#This Row],[Código]],BD_Produto[#All],7,FALSE)</f>
        <v>Componente</v>
      </c>
      <c r="B7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" s="23">
        <v>33062064886</v>
      </c>
      <c r="D7" s="66" t="s">
        <v>1911</v>
      </c>
      <c r="E7" s="66" t="str">
        <f>VLOOKUP(Fellowes_Consumiveis9[[#This Row],[Código]],BD_Produto[],3,FALSE)</f>
        <v>Componentes</v>
      </c>
      <c r="F7" s="66" t="str">
        <f>VLOOKUP(Fellowes_Consumiveis9[[#This Row],[Código]],BD_Produto[],4,FALSE)</f>
        <v>Fragmentadora</v>
      </c>
      <c r="G7" s="24"/>
      <c r="H7" s="25"/>
      <c r="J7" s="24"/>
      <c r="K7" s="24" t="str">
        <f>IFERROR(VLOOKUP(Fellowes_Consumiveis9[[#This Row],[Código]],Importação!P:R,3,FALSE),"")</f>
        <v/>
      </c>
      <c r="L7" s="24">
        <f>IFERROR(VLOOKUP(Fellowes_Consumiveis9[[#This Row],[Código]],Saldo[],3,FALSE),0)</f>
        <v>1</v>
      </c>
      <c r="M7" s="24">
        <f>SUM(Fellowes_Consumiveis9[[#This Row],[Produção]:[Estoque]])</f>
        <v>1</v>
      </c>
      <c r="N7" s="24">
        <f>IFERROR(Fellowes_Consumiveis9[[#This Row],[Estoque+Importação]]/Fellowes_Consumiveis9[[#This Row],[Proj. de V. No prox. mes]],"Sem Projeção")</f>
        <v>5</v>
      </c>
      <c r="O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1.9999999999999998</v>
      </c>
      <c r="P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0.99999999999999978</v>
      </c>
      <c r="Q7" s="75">
        <f>VLOOKUP(Fellowes_Consumiveis9[[#This Row],[Código]],Projeção[#All],15,FALSE)</f>
        <v>0.19999999999999998</v>
      </c>
      <c r="R7" s="39">
        <f>VLOOKUP(Fellowes_Consumiveis9[[#This Row],[Código]],Projeção[#All],14,FALSE)</f>
        <v>1.5666666666666667</v>
      </c>
      <c r="S7" s="24">
        <f>IFERROR(VLOOKUP(Fellowes_Consumiveis9[[#This Row],[Código]],Venda_mes[],2,FALSE),0)</f>
        <v>0</v>
      </c>
      <c r="T7" s="44">
        <f>IFERROR(Fellowes_Consumiveis9[[#This Row],[V. No mes]]/Fellowes_Consumiveis9[[#This Row],[Proj. de V. No mes]],"")</f>
        <v>0</v>
      </c>
      <c r="U7" s="43">
        <f>VLOOKUP(Fellowes_Consumiveis9[[#This Row],[Código]],Projeção[#All],14,FALSE)+VLOOKUP(Fellowes_Consumiveis9[[#This Row],[Código]],Projeção[#All],13,FALSE)+VLOOKUP(Fellowes_Consumiveis9[[#This Row],[Código]],Projeção[#All],12,FALSE)</f>
        <v>3.2333333333333334</v>
      </c>
      <c r="V7" s="24">
        <f>IFERROR(VLOOKUP(Fellowes_Consumiveis9[[#This Row],[Código]],Venda_3meses[],2,FALSE),0)</f>
        <v>0</v>
      </c>
      <c r="W7" s="44">
        <f>IFERROR(Fellowes_Consumiveis9[[#This Row],[V. 3 meses]]/Fellowes_Consumiveis9[[#This Row],[Proj. de V. 3 meses]],"")</f>
        <v>0</v>
      </c>
      <c r="X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4.166666666666667</v>
      </c>
      <c r="Y7" s="24">
        <f>IFERROR(VLOOKUP(Fellowes_Consumiveis9[[#This Row],[Código]],Venda_12meses[],2,FALSE),0)</f>
        <v>6</v>
      </c>
      <c r="Z7" s="44">
        <f>IFERROR(Fellowes_Consumiveis9[[#This Row],[V. 12 meses]]/Fellowes_Consumiveis9[[#This Row],[Proj. de V. 12 meses]],"")</f>
        <v>1.44</v>
      </c>
    </row>
    <row r="8" spans="1:27" x14ac:dyDescent="0.25">
      <c r="A8" s="66" t="str">
        <f>VLOOKUP(Fellowes_Consumiveis9[[#This Row],[Código]],BD_Produto[#All],7,FALSE)</f>
        <v>Componente</v>
      </c>
      <c r="B8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" s="23">
        <v>33062065056</v>
      </c>
      <c r="D8" s="66" t="s">
        <v>389</v>
      </c>
      <c r="E8" s="66" t="str">
        <f>VLOOKUP(Fellowes_Consumiveis9[[#This Row],[Código]],BD_Produto[],3,FALSE)</f>
        <v>Componentes</v>
      </c>
      <c r="F8" s="66" t="str">
        <f>VLOOKUP(Fellowes_Consumiveis9[[#This Row],[Código]],BD_Produto[],4,FALSE)</f>
        <v>Fragmentadora</v>
      </c>
      <c r="G8" s="24"/>
      <c r="H8" s="25"/>
      <c r="I8" s="22"/>
      <c r="J8" s="24"/>
      <c r="K8" s="24" t="str">
        <f>IFERROR(VLOOKUP(Fellowes_Consumiveis9[[#This Row],[Código]],Importação!P:R,3,FALSE),"")</f>
        <v/>
      </c>
      <c r="L8" s="24">
        <f>IFERROR(VLOOKUP(Fellowes_Consumiveis9[[#This Row],[Código]],Saldo[],3,FALSE),0)</f>
        <v>2</v>
      </c>
      <c r="M8" s="24">
        <f>SUM(Fellowes_Consumiveis9[[#This Row],[Produção]:[Estoque]])</f>
        <v>2</v>
      </c>
      <c r="N8" s="24">
        <f>IFERROR(Fellowes_Consumiveis9[[#This Row],[Estoque+Importação]]/Fellowes_Consumiveis9[[#This Row],[Proj. de V. No prox. mes]],"Sem Projeção")</f>
        <v>60</v>
      </c>
      <c r="O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0.33333333333333331</v>
      </c>
      <c r="P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-1.6666666666666667</v>
      </c>
      <c r="Q8" s="75">
        <f>VLOOKUP(Fellowes_Consumiveis9[[#This Row],[Código]],Projeção[#All],15,FALSE)</f>
        <v>3.3333333333333333E-2</v>
      </c>
      <c r="R8" s="39">
        <f>VLOOKUP(Fellowes_Consumiveis9[[#This Row],[Código]],Projeção[#All],14,FALSE)</f>
        <v>0.26666666666666666</v>
      </c>
      <c r="S8" s="24">
        <f>IFERROR(VLOOKUP(Fellowes_Consumiveis9[[#This Row],[Código]],Venda_mes[],2,FALSE),0)</f>
        <v>0</v>
      </c>
      <c r="T8" s="44">
        <f>IFERROR(Fellowes_Consumiveis9[[#This Row],[V. No mes]]/Fellowes_Consumiveis9[[#This Row],[Proj. de V. No mes]],"")</f>
        <v>0</v>
      </c>
      <c r="U8" s="43">
        <f>VLOOKUP(Fellowes_Consumiveis9[[#This Row],[Código]],Projeção[#All],14,FALSE)+VLOOKUP(Fellowes_Consumiveis9[[#This Row],[Código]],Projeção[#All],13,FALSE)+VLOOKUP(Fellowes_Consumiveis9[[#This Row],[Código]],Projeção[#All],12,FALSE)</f>
        <v>0.33333333333333331</v>
      </c>
      <c r="V8" s="24">
        <f>IFERROR(VLOOKUP(Fellowes_Consumiveis9[[#This Row],[Código]],Venda_3meses[],2,FALSE),0)</f>
        <v>0</v>
      </c>
      <c r="W8" s="44">
        <f>IFERROR(Fellowes_Consumiveis9[[#This Row],[V. 3 meses]]/Fellowes_Consumiveis9[[#This Row],[Proj. de V. 3 meses]],"")</f>
        <v>0</v>
      </c>
      <c r="X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0.86666666666666659</v>
      </c>
      <c r="Y8" s="24">
        <f>IFERROR(VLOOKUP(Fellowes_Consumiveis9[[#This Row],[Código]],Venda_12meses[],2,FALSE),0)</f>
        <v>1</v>
      </c>
      <c r="Z8" s="44">
        <f>IFERROR(Fellowes_Consumiveis9[[#This Row],[V. 12 meses]]/Fellowes_Consumiveis9[[#This Row],[Proj. de V. 12 meses]],"")</f>
        <v>1.153846153846154</v>
      </c>
      <c r="AA8" s="22"/>
    </row>
    <row r="9" spans="1:27" x14ac:dyDescent="0.25">
      <c r="A9" s="66" t="str">
        <f>VLOOKUP(Fellowes_Consumiveis9[[#This Row],[Código]],BD_Produto[#All],7,FALSE)</f>
        <v>Componente</v>
      </c>
      <c r="B9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" s="23">
        <v>33062065057</v>
      </c>
      <c r="D9" s="66" t="s">
        <v>390</v>
      </c>
      <c r="E9" s="66" t="str">
        <f>VLOOKUP(Fellowes_Consumiveis9[[#This Row],[Código]],BD_Produto[],3,FALSE)</f>
        <v>Componentes</v>
      </c>
      <c r="F9" s="66" t="str">
        <f>VLOOKUP(Fellowes_Consumiveis9[[#This Row],[Código]],BD_Produto[],4,FALSE)</f>
        <v>Fragmentadora</v>
      </c>
      <c r="G9" s="24"/>
      <c r="H9" s="25"/>
      <c r="I9" s="22"/>
      <c r="J9" s="24"/>
      <c r="K9" s="24" t="str">
        <f>IFERROR(VLOOKUP(Fellowes_Consumiveis9[[#This Row],[Código]],Importação!P:R,3,FALSE),"")</f>
        <v/>
      </c>
      <c r="L9" s="24">
        <f>IFERROR(VLOOKUP(Fellowes_Consumiveis9[[#This Row],[Código]],Saldo[],3,FALSE),0)</f>
        <v>5</v>
      </c>
      <c r="M9" s="24">
        <f>SUM(Fellowes_Consumiveis9[[#This Row],[Produção]:[Estoque]])</f>
        <v>5</v>
      </c>
      <c r="N9" s="24">
        <f>IFERROR(Fellowes_Consumiveis9[[#This Row],[Estoque+Importação]]/Fellowes_Consumiveis9[[#This Row],[Proj. de V. No prox. mes]],"Sem Projeção")</f>
        <v>150</v>
      </c>
      <c r="O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0.33333333333333331</v>
      </c>
      <c r="P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-4.666666666666667</v>
      </c>
      <c r="Q9" s="75">
        <f>VLOOKUP(Fellowes_Consumiveis9[[#This Row],[Código]],Projeção[#All],15,FALSE)</f>
        <v>3.3333333333333333E-2</v>
      </c>
      <c r="R9" s="39">
        <f>VLOOKUP(Fellowes_Consumiveis9[[#This Row],[Código]],Projeção[#All],14,FALSE)</f>
        <v>0.26666666666666666</v>
      </c>
      <c r="S9" s="24">
        <f>IFERROR(VLOOKUP(Fellowes_Consumiveis9[[#This Row],[Código]],Venda_mes[],2,FALSE),0)</f>
        <v>0</v>
      </c>
      <c r="T9" s="44">
        <f>IFERROR(Fellowes_Consumiveis9[[#This Row],[V. No mes]]/Fellowes_Consumiveis9[[#This Row],[Proj. de V. No mes]],"")</f>
        <v>0</v>
      </c>
      <c r="U9" s="43">
        <f>VLOOKUP(Fellowes_Consumiveis9[[#This Row],[Código]],Projeção[#All],14,FALSE)+VLOOKUP(Fellowes_Consumiveis9[[#This Row],[Código]],Projeção[#All],13,FALSE)+VLOOKUP(Fellowes_Consumiveis9[[#This Row],[Código]],Projeção[#All],12,FALSE)</f>
        <v>0.56666666666666665</v>
      </c>
      <c r="V9" s="24">
        <f>IFERROR(VLOOKUP(Fellowes_Consumiveis9[[#This Row],[Código]],Venda_3meses[],2,FALSE),0)</f>
        <v>0</v>
      </c>
      <c r="W9" s="44">
        <f>IFERROR(Fellowes_Consumiveis9[[#This Row],[V. 3 meses]]/Fellowes_Consumiveis9[[#This Row],[Proj. de V. 3 meses]],"")</f>
        <v>0</v>
      </c>
      <c r="X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0.7</v>
      </c>
      <c r="Y9" s="24">
        <f>IFERROR(VLOOKUP(Fellowes_Consumiveis9[[#This Row],[Código]],Venda_12meses[],2,FALSE),0)</f>
        <v>1</v>
      </c>
      <c r="Z9" s="44">
        <f>IFERROR(Fellowes_Consumiveis9[[#This Row],[V. 12 meses]]/Fellowes_Consumiveis9[[#This Row],[Proj. de V. 12 meses]],"")</f>
        <v>1.4285714285714286</v>
      </c>
      <c r="AA9" s="22"/>
    </row>
    <row r="10" spans="1:27" x14ac:dyDescent="0.25">
      <c r="A10" s="66" t="str">
        <f>VLOOKUP(Fellowes_Consumiveis9[[#This Row],[Código]],BD_Produto[#All],7,FALSE)</f>
        <v>Componente</v>
      </c>
      <c r="B10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" s="23">
        <v>33062064880</v>
      </c>
      <c r="D10" s="66" t="s">
        <v>1920</v>
      </c>
      <c r="E10" s="66" t="str">
        <f>VLOOKUP(Fellowes_Consumiveis9[[#This Row],[Código]],BD_Produto[],3,FALSE)</f>
        <v>Componentes</v>
      </c>
      <c r="F10" s="66" t="str">
        <f>VLOOKUP(Fellowes_Consumiveis9[[#This Row],[Código]],BD_Produto[],4,FALSE)</f>
        <v>Fragmentadora</v>
      </c>
      <c r="G10" s="24"/>
      <c r="H10" s="25"/>
      <c r="I10" s="22"/>
      <c r="J10" s="24"/>
      <c r="K10" s="24" t="str">
        <f>IFERROR(VLOOKUP(Fellowes_Consumiveis9[[#This Row],[Código]],Importação!P:R,3,FALSE),"")</f>
        <v/>
      </c>
      <c r="L10" s="24">
        <f>IFERROR(VLOOKUP(Fellowes_Consumiveis9[[#This Row],[Código]],Saldo[],3,FALSE),0)</f>
        <v>4</v>
      </c>
      <c r="M10" s="24">
        <f>SUM(Fellowes_Consumiveis9[[#This Row],[Produção]:[Estoque]])</f>
        <v>4</v>
      </c>
      <c r="N10" s="24">
        <f>IFERROR(Fellowes_Consumiveis9[[#This Row],[Estoque+Importação]]/Fellowes_Consumiveis9[[#This Row],[Proj. de V. No prox. mes]],"Sem Projeção")</f>
        <v>120</v>
      </c>
      <c r="O1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0.33333333333333331</v>
      </c>
      <c r="P1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-3.6666666666666665</v>
      </c>
      <c r="Q10" s="75">
        <f>VLOOKUP(Fellowes_Consumiveis9[[#This Row],[Código]],Projeção[#All],15,FALSE)</f>
        <v>3.3333333333333333E-2</v>
      </c>
      <c r="R10" s="39">
        <f>VLOOKUP(Fellowes_Consumiveis9[[#This Row],[Código]],Projeção[#All],14,FALSE)</f>
        <v>0</v>
      </c>
      <c r="S10" s="24">
        <f>IFERROR(VLOOKUP(Fellowes_Consumiveis9[[#This Row],[Código]],Venda_mes[],2,FALSE),0)</f>
        <v>0</v>
      </c>
      <c r="T10" s="44" t="str">
        <f>IFERROR(Fellowes_Consumiveis9[[#This Row],[V. No mes]]/Fellowes_Consumiveis9[[#This Row],[Proj. de V. No mes]],"")</f>
        <v/>
      </c>
      <c r="U1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" s="24">
        <f>IFERROR(VLOOKUP(Fellowes_Consumiveis9[[#This Row],[Código]],Venda_3meses[],2,FALSE),0)</f>
        <v>0</v>
      </c>
      <c r="W10" s="44" t="str">
        <f>IFERROR(Fellowes_Consumiveis9[[#This Row],[V. 3 meses]]/Fellowes_Consumiveis9[[#This Row],[Proj. de V. 3 meses]],"")</f>
        <v/>
      </c>
      <c r="X1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" s="24">
        <f>IFERROR(VLOOKUP(Fellowes_Consumiveis9[[#This Row],[Código]],Venda_12meses[],2,FALSE),0)</f>
        <v>1</v>
      </c>
      <c r="Z10" s="44" t="str">
        <f>IFERROR(Fellowes_Consumiveis9[[#This Row],[V. 12 meses]]/Fellowes_Consumiveis9[[#This Row],[Proj. de V. 12 meses]],"")</f>
        <v/>
      </c>
      <c r="AA10" s="22"/>
    </row>
    <row r="11" spans="1:27" x14ac:dyDescent="0.25">
      <c r="A11" s="22" t="str">
        <f>VLOOKUP(Fellowes_Consumiveis9[[#This Row],[Código]],BD_Produto[#All],7,FALSE)</f>
        <v>Componente</v>
      </c>
      <c r="B11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1" s="23">
        <v>33062064868</v>
      </c>
      <c r="D11" s="22" t="s">
        <v>1814</v>
      </c>
      <c r="E11" s="22" t="str">
        <f>VLOOKUP(Fellowes_Consumiveis9[[#This Row],[Código]],BD_Produto[],3,FALSE)</f>
        <v>Componentes</v>
      </c>
      <c r="F11" s="22" t="str">
        <f>VLOOKUP(Fellowes_Consumiveis9[[#This Row],[Código]],BD_Produto[],4,FALSE)</f>
        <v>Fragmentadora</v>
      </c>
      <c r="G11" s="24"/>
      <c r="H11" s="25"/>
      <c r="I11" s="22"/>
      <c r="J11" s="24"/>
      <c r="K11" s="24" t="str">
        <f>IFERROR(VLOOKUP(Fellowes_Consumiveis9[[#This Row],[Código]],Importação!P:R,3,FALSE),"")</f>
        <v/>
      </c>
      <c r="L11" s="24">
        <f>IFERROR(VLOOKUP(Fellowes_Consumiveis9[[#This Row],[Código]],Saldo[],3,FALSE),0)</f>
        <v>0</v>
      </c>
      <c r="M11" s="24">
        <f>SUM(Fellowes_Consumiveis9[[#This Row],[Produção]:[Estoque]])</f>
        <v>0</v>
      </c>
      <c r="N11" s="24">
        <f>IFERROR(Fellowes_Consumiveis9[[#This Row],[Estoque+Importação]]/Fellowes_Consumiveis9[[#This Row],[Proj. de V. No prox. mes]],"Sem Projeção")</f>
        <v>0</v>
      </c>
      <c r="O1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5</v>
      </c>
      <c r="P1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5</v>
      </c>
      <c r="Q11" s="75">
        <f>VLOOKUP(Fellowes_Consumiveis9[[#This Row],[Código]],Projeção[#All],15,FALSE)</f>
        <v>0.5</v>
      </c>
      <c r="R11" s="39">
        <f>VLOOKUP(Fellowes_Consumiveis9[[#This Row],[Código]],Projeção[#All],14,FALSE)</f>
        <v>9.9999999999999992E-2</v>
      </c>
      <c r="S11" s="39">
        <f>IFERROR(VLOOKUP(Fellowes_Consumiveis9[[#This Row],[Código]],Venda_mes[],2,FALSE),0)</f>
        <v>0</v>
      </c>
      <c r="T11" s="44">
        <f>IFERROR(Fellowes_Consumiveis9[[#This Row],[V. No mes]]/Fellowes_Consumiveis9[[#This Row],[Proj. de V. No mes]],"")</f>
        <v>0</v>
      </c>
      <c r="U11" s="43">
        <f>VLOOKUP(Fellowes_Consumiveis9[[#This Row],[Código]],Projeção[#All],14,FALSE)+VLOOKUP(Fellowes_Consumiveis9[[#This Row],[Código]],Projeção[#All],13,FALSE)+VLOOKUP(Fellowes_Consumiveis9[[#This Row],[Código]],Projeção[#All],12,FALSE)</f>
        <v>0.49999999999999994</v>
      </c>
      <c r="V11" s="39">
        <f>IFERROR(VLOOKUP(Fellowes_Consumiveis9[[#This Row],[Código]],Venda_3meses[],2,FALSE),0)</f>
        <v>2</v>
      </c>
      <c r="W11" s="44">
        <f>IFERROR(Fellowes_Consumiveis9[[#This Row],[V. 3 meses]]/Fellowes_Consumiveis9[[#This Row],[Proj. de V. 3 meses]],"")</f>
        <v>4</v>
      </c>
      <c r="X1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0.49999999999999994</v>
      </c>
      <c r="Y11" s="39">
        <f>IFERROR(VLOOKUP(Fellowes_Consumiveis9[[#This Row],[Código]],Venda_12meses[],2,FALSE),0)</f>
        <v>3</v>
      </c>
      <c r="Z11" s="44">
        <f>IFERROR(Fellowes_Consumiveis9[[#This Row],[V. 12 meses]]/Fellowes_Consumiveis9[[#This Row],[Proj. de V. 12 meses]],"")</f>
        <v>6.0000000000000009</v>
      </c>
      <c r="AA11" s="22">
        <v>5348104</v>
      </c>
    </row>
    <row r="12" spans="1:27" x14ac:dyDescent="0.25">
      <c r="A12" s="66" t="str">
        <f>VLOOKUP(Fellowes_Consumiveis9[[#This Row],[Código]],BD_Produto[#All],7,FALSE)</f>
        <v>Componente</v>
      </c>
      <c r="B12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2" s="23">
        <v>33062064885</v>
      </c>
      <c r="D12" s="66" t="s">
        <v>1910</v>
      </c>
      <c r="E12" s="66" t="str">
        <f>VLOOKUP(Fellowes_Consumiveis9[[#This Row],[Código]],BD_Produto[],3,FALSE)</f>
        <v>Componentes</v>
      </c>
      <c r="F12" s="66" t="str">
        <f>VLOOKUP(Fellowes_Consumiveis9[[#This Row],[Código]],BD_Produto[],4,FALSE)</f>
        <v>Fragmentadora</v>
      </c>
      <c r="G12" s="24"/>
      <c r="H12" s="25"/>
      <c r="I12" s="22"/>
      <c r="J12" s="24"/>
      <c r="K12" s="24" t="str">
        <f>IFERROR(VLOOKUP(Fellowes_Consumiveis9[[#This Row],[Código]],Importação!P:R,3,FALSE),"")</f>
        <v/>
      </c>
      <c r="L12" s="24">
        <f>IFERROR(VLOOKUP(Fellowes_Consumiveis9[[#This Row],[Código]],Saldo[],3,FALSE),0)</f>
        <v>8</v>
      </c>
      <c r="M12" s="24">
        <f>SUM(Fellowes_Consumiveis9[[#This Row],[Produção]:[Estoque]])</f>
        <v>8</v>
      </c>
      <c r="N12" s="24" t="str">
        <f>IFERROR(Fellowes_Consumiveis9[[#This Row],[Estoque+Importação]]/Fellowes_Consumiveis9[[#This Row],[Proj. de V. No prox. mes]],"Sem Projeção")</f>
        <v>Sem Projeção</v>
      </c>
      <c r="O1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12" s="75">
        <f>VLOOKUP(Fellowes_Consumiveis9[[#This Row],[Código]],Projeção[#All],15,FALSE)</f>
        <v>0</v>
      </c>
      <c r="R12" s="39">
        <f>VLOOKUP(Fellowes_Consumiveis9[[#This Row],[Código]],Projeção[#All],14,FALSE)</f>
        <v>0.13333333333333333</v>
      </c>
      <c r="S12" s="24">
        <f>IFERROR(VLOOKUP(Fellowes_Consumiveis9[[#This Row],[Código]],Venda_mes[],2,FALSE),0)</f>
        <v>0</v>
      </c>
      <c r="T12" s="44">
        <f>IFERROR(Fellowes_Consumiveis9[[#This Row],[V. No mes]]/Fellowes_Consumiveis9[[#This Row],[Proj. de V. No mes]],"")</f>
        <v>0</v>
      </c>
      <c r="U12" s="43">
        <f>VLOOKUP(Fellowes_Consumiveis9[[#This Row],[Código]],Projeção[#All],14,FALSE)+VLOOKUP(Fellowes_Consumiveis9[[#This Row],[Código]],Projeção[#All],13,FALSE)+VLOOKUP(Fellowes_Consumiveis9[[#This Row],[Código]],Projeção[#All],12,FALSE)</f>
        <v>0.33333333333333331</v>
      </c>
      <c r="V12" s="24">
        <f>IFERROR(VLOOKUP(Fellowes_Consumiveis9[[#This Row],[Código]],Venda_3meses[],2,FALSE),0)</f>
        <v>0</v>
      </c>
      <c r="W12" s="44">
        <f>IFERROR(Fellowes_Consumiveis9[[#This Row],[V. 3 meses]]/Fellowes_Consumiveis9[[#This Row],[Proj. de V. 3 meses]],"")</f>
        <v>0</v>
      </c>
      <c r="X1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1.1333333333333333</v>
      </c>
      <c r="Y12" s="24">
        <f>IFERROR(VLOOKUP(Fellowes_Consumiveis9[[#This Row],[Código]],Venda_12meses[],2,FALSE),0)</f>
        <v>0</v>
      </c>
      <c r="Z12" s="44">
        <f>IFERROR(Fellowes_Consumiveis9[[#This Row],[V. 12 meses]]/Fellowes_Consumiveis9[[#This Row],[Proj. de V. 12 meses]],"")</f>
        <v>0</v>
      </c>
      <c r="AA12" s="22"/>
    </row>
    <row r="13" spans="1:27" x14ac:dyDescent="0.25">
      <c r="A13" s="66" t="str">
        <f>VLOOKUP(Fellowes_Consumiveis9[[#This Row],[Código]],BD_Produto[#All],7,FALSE)</f>
        <v>Componente</v>
      </c>
      <c r="B13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3" s="23">
        <v>33062064884</v>
      </c>
      <c r="D13" s="66" t="s">
        <v>1909</v>
      </c>
      <c r="E13" s="66" t="str">
        <f>VLOOKUP(Fellowes_Consumiveis9[[#This Row],[Código]],BD_Produto[],3,FALSE)</f>
        <v>Componentes</v>
      </c>
      <c r="F13" s="66" t="str">
        <f>VLOOKUP(Fellowes_Consumiveis9[[#This Row],[Código]],BD_Produto[],4,FALSE)</f>
        <v>Fragmentadora</v>
      </c>
      <c r="G13" s="24"/>
      <c r="H13" s="25"/>
      <c r="I13" s="22"/>
      <c r="J13" s="24"/>
      <c r="K13" s="24" t="str">
        <f>IFERROR(VLOOKUP(Fellowes_Consumiveis9[[#This Row],[Código]],Importação!P:R,3,FALSE),"")</f>
        <v/>
      </c>
      <c r="L13" s="24">
        <f>IFERROR(VLOOKUP(Fellowes_Consumiveis9[[#This Row],[Código]],Saldo[],3,FALSE),0)</f>
        <v>8</v>
      </c>
      <c r="M13" s="24">
        <f>SUM(Fellowes_Consumiveis9[[#This Row],[Produção]:[Estoque]])</f>
        <v>8</v>
      </c>
      <c r="N13" s="24" t="str">
        <f>IFERROR(Fellowes_Consumiveis9[[#This Row],[Estoque+Importação]]/Fellowes_Consumiveis9[[#This Row],[Proj. de V. No prox. mes]],"Sem Projeção")</f>
        <v>Sem Projeção</v>
      </c>
      <c r="O1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13" s="75">
        <f>VLOOKUP(Fellowes_Consumiveis9[[#This Row],[Código]],Projeção[#All],15,FALSE)</f>
        <v>0</v>
      </c>
      <c r="R13" s="39">
        <f>VLOOKUP(Fellowes_Consumiveis9[[#This Row],[Código]],Projeção[#All],14,FALSE)</f>
        <v>3.3333333333333333E-2</v>
      </c>
      <c r="S13" s="24">
        <f>IFERROR(VLOOKUP(Fellowes_Consumiveis9[[#This Row],[Código]],Venda_mes[],2,FALSE),0)</f>
        <v>0</v>
      </c>
      <c r="T13" s="44">
        <f>IFERROR(Fellowes_Consumiveis9[[#This Row],[V. No mes]]/Fellowes_Consumiveis9[[#This Row],[Proj. de V. No mes]],"")</f>
        <v>0</v>
      </c>
      <c r="U13" s="43">
        <f>VLOOKUP(Fellowes_Consumiveis9[[#This Row],[Código]],Projeção[#All],14,FALSE)+VLOOKUP(Fellowes_Consumiveis9[[#This Row],[Código]],Projeção[#All],13,FALSE)+VLOOKUP(Fellowes_Consumiveis9[[#This Row],[Código]],Projeção[#All],12,FALSE)</f>
        <v>0.1</v>
      </c>
      <c r="V13" s="24">
        <f>IFERROR(VLOOKUP(Fellowes_Consumiveis9[[#This Row],[Código]],Venda_3meses[],2,FALSE),0)</f>
        <v>0</v>
      </c>
      <c r="W13" s="44">
        <f>IFERROR(Fellowes_Consumiveis9[[#This Row],[V. 3 meses]]/Fellowes_Consumiveis9[[#This Row],[Proj. de V. 3 meses]],"")</f>
        <v>0</v>
      </c>
      <c r="X1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0.23333333333333331</v>
      </c>
      <c r="Y13" s="24">
        <f>IFERROR(VLOOKUP(Fellowes_Consumiveis9[[#This Row],[Código]],Venda_12meses[],2,FALSE),0)</f>
        <v>0</v>
      </c>
      <c r="Z13" s="44">
        <f>IFERROR(Fellowes_Consumiveis9[[#This Row],[V. 12 meses]]/Fellowes_Consumiveis9[[#This Row],[Proj. de V. 12 meses]],"")</f>
        <v>0</v>
      </c>
      <c r="AA13" s="22"/>
    </row>
    <row r="14" spans="1:27" x14ac:dyDescent="0.25">
      <c r="A14" s="22" t="str">
        <f>VLOOKUP(Fellowes_Consumiveis9[[#This Row],[Código]],BD_Produto[#All],7,FALSE)</f>
        <v>Componente</v>
      </c>
      <c r="B14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4" s="23">
        <v>33062065018</v>
      </c>
      <c r="D14" s="22" t="s">
        <v>1798</v>
      </c>
      <c r="E14" s="22" t="str">
        <f>VLOOKUP(Fellowes_Consumiveis9[[#This Row],[Código]],BD_Produto[],3,FALSE)</f>
        <v>Componentes</v>
      </c>
      <c r="F14" s="22" t="str">
        <f>VLOOKUP(Fellowes_Consumiveis9[[#This Row],[Código]],BD_Produto[],4,FALSE)</f>
        <v>Fragmentadora</v>
      </c>
      <c r="G14" s="24"/>
      <c r="H14" s="25"/>
      <c r="I14" s="22"/>
      <c r="J14" s="24"/>
      <c r="K14" s="24" t="str">
        <f>IFERROR(VLOOKUP(Fellowes_Consumiveis9[[#This Row],[Código]],Importação!P:R,3,FALSE),"")</f>
        <v/>
      </c>
      <c r="L14" s="24">
        <f>IFERROR(VLOOKUP(Fellowes_Consumiveis9[[#This Row],[Código]],Saldo[],3,FALSE),0)</f>
        <v>0</v>
      </c>
      <c r="M14" s="24">
        <f>SUM(Fellowes_Consumiveis9[[#This Row],[Produção]:[Estoque]])</f>
        <v>0</v>
      </c>
      <c r="N14" s="24">
        <f>IFERROR(Fellowes_Consumiveis9[[#This Row],[Estoque+Importação]]/Fellowes_Consumiveis9[[#This Row],[Proj. de V. No prox. mes]],"Sem Projeção")</f>
        <v>0</v>
      </c>
      <c r="O1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2.3333333333333335</v>
      </c>
      <c r="P1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2.3333333333333335</v>
      </c>
      <c r="Q14" s="75">
        <f>VLOOKUP(Fellowes_Consumiveis9[[#This Row],[Código]],Projeção[#All],15,FALSE)</f>
        <v>0.23333333333333334</v>
      </c>
      <c r="R14" s="39">
        <f>VLOOKUP(Fellowes_Consumiveis9[[#This Row],[Código]],Projeção[#All],14,FALSE)</f>
        <v>0</v>
      </c>
      <c r="S14" s="39">
        <f>IFERROR(VLOOKUP(Fellowes_Consumiveis9[[#This Row],[Código]],Venda_mes[],2,FALSE),0)</f>
        <v>1</v>
      </c>
      <c r="T14" s="44" t="str">
        <f>IFERROR(Fellowes_Consumiveis9[[#This Row],[V. No mes]]/Fellowes_Consumiveis9[[#This Row],[Proj. de V. No mes]],"")</f>
        <v/>
      </c>
      <c r="U1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4" s="39">
        <f>IFERROR(VLOOKUP(Fellowes_Consumiveis9[[#This Row],[Código]],Venda_3meses[],2,FALSE),0)</f>
        <v>1</v>
      </c>
      <c r="W14" s="44" t="str">
        <f>IFERROR(Fellowes_Consumiveis9[[#This Row],[V. 3 meses]]/Fellowes_Consumiveis9[[#This Row],[Proj. de V. 3 meses]],"")</f>
        <v/>
      </c>
      <c r="X1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4" s="39">
        <f>IFERROR(VLOOKUP(Fellowes_Consumiveis9[[#This Row],[Código]],Venda_12meses[],2,FALSE),0)</f>
        <v>1</v>
      </c>
      <c r="Z14" s="44" t="str">
        <f>IFERROR(Fellowes_Consumiveis9[[#This Row],[V. 12 meses]]/Fellowes_Consumiveis9[[#This Row],[Proj. de V. 12 meses]],"")</f>
        <v/>
      </c>
      <c r="AA14" s="22">
        <v>5411301</v>
      </c>
    </row>
    <row r="15" spans="1:27" x14ac:dyDescent="0.25">
      <c r="A15" s="22" t="str">
        <f>VLOOKUP(Fellowes_Consumiveis9[[#This Row],[Código]],BD_Produto[#All],7,FALSE)</f>
        <v>Componente</v>
      </c>
      <c r="B15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5" s="23">
        <v>33062064862</v>
      </c>
      <c r="D15" s="22" t="s">
        <v>1800</v>
      </c>
      <c r="E15" s="22" t="str">
        <f>VLOOKUP(Fellowes_Consumiveis9[[#This Row],[Código]],BD_Produto[],3,FALSE)</f>
        <v>Componentes</v>
      </c>
      <c r="F15" s="22" t="str">
        <f>VLOOKUP(Fellowes_Consumiveis9[[#This Row],[Código]],BD_Produto[],4,FALSE)</f>
        <v>Fragmentadora</v>
      </c>
      <c r="G15" s="24"/>
      <c r="H15" s="25"/>
      <c r="I15" s="22"/>
      <c r="J15" s="24"/>
      <c r="K15" s="24" t="str">
        <f>IFERROR(VLOOKUP(Fellowes_Consumiveis9[[#This Row],[Código]],Importação!P:R,3,FALSE),"")</f>
        <v/>
      </c>
      <c r="L15" s="24">
        <f>IFERROR(VLOOKUP(Fellowes_Consumiveis9[[#This Row],[Código]],Saldo[],3,FALSE),0)</f>
        <v>5</v>
      </c>
      <c r="M15" s="24">
        <f>SUM(Fellowes_Consumiveis9[[#This Row],[Produção]:[Estoque]])</f>
        <v>5</v>
      </c>
      <c r="N15" s="24" t="str">
        <f>IFERROR(Fellowes_Consumiveis9[[#This Row],[Estoque+Importação]]/Fellowes_Consumiveis9[[#This Row],[Proj. de V. No prox. mes]],"Sem Projeção")</f>
        <v>Sem Projeção</v>
      </c>
      <c r="O1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15" s="75">
        <f>VLOOKUP(Fellowes_Consumiveis9[[#This Row],[Código]],Projeção[#All],15,FALSE)</f>
        <v>0</v>
      </c>
      <c r="R15" s="39">
        <f>VLOOKUP(Fellowes_Consumiveis9[[#This Row],[Código]],Projeção[#All],14,FALSE)</f>
        <v>0</v>
      </c>
      <c r="S15" s="39">
        <f>IFERROR(VLOOKUP(Fellowes_Consumiveis9[[#This Row],[Código]],Venda_mes[],2,FALSE),0)</f>
        <v>0</v>
      </c>
      <c r="T15" s="44" t="str">
        <f>IFERROR(Fellowes_Consumiveis9[[#This Row],[V. No mes]]/Fellowes_Consumiveis9[[#This Row],[Proj. de V. No mes]],"")</f>
        <v/>
      </c>
      <c r="U1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5" s="39">
        <f>IFERROR(VLOOKUP(Fellowes_Consumiveis9[[#This Row],[Código]],Venda_3meses[],2,FALSE),0)</f>
        <v>0</v>
      </c>
      <c r="W15" s="44" t="str">
        <f>IFERROR(Fellowes_Consumiveis9[[#This Row],[V. 3 meses]]/Fellowes_Consumiveis9[[#This Row],[Proj. de V. 3 meses]],"")</f>
        <v/>
      </c>
      <c r="X1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5" s="39">
        <f>IFERROR(VLOOKUP(Fellowes_Consumiveis9[[#This Row],[Código]],Venda_12meses[],2,FALSE),0)</f>
        <v>0</v>
      </c>
      <c r="Z15" s="44" t="str">
        <f>IFERROR(Fellowes_Consumiveis9[[#This Row],[V. 12 meses]]/Fellowes_Consumiveis9[[#This Row],[Proj. de V. 12 meses]],"")</f>
        <v/>
      </c>
      <c r="AA15" s="22">
        <v>5411601</v>
      </c>
    </row>
    <row r="16" spans="1:27" x14ac:dyDescent="0.25">
      <c r="A16" s="22" t="str">
        <f>VLOOKUP(Fellowes_Consumiveis9[[#This Row],[Código]],BD_Produto[#All],7,FALSE)</f>
        <v>Componente</v>
      </c>
      <c r="B16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6" s="23">
        <v>33062064863</v>
      </c>
      <c r="D16" s="22" t="s">
        <v>1802</v>
      </c>
      <c r="E16" s="22" t="str">
        <f>VLOOKUP(Fellowes_Consumiveis9[[#This Row],[Código]],BD_Produto[],3,FALSE)</f>
        <v>Componentes</v>
      </c>
      <c r="F16" s="22" t="str">
        <f>VLOOKUP(Fellowes_Consumiveis9[[#This Row],[Código]],BD_Produto[],4,FALSE)</f>
        <v>Fragmentadora</v>
      </c>
      <c r="G16" s="24"/>
      <c r="H16" s="25"/>
      <c r="I16" s="22"/>
      <c r="J16" s="24"/>
      <c r="K16" s="24" t="str">
        <f>IFERROR(VLOOKUP(Fellowes_Consumiveis9[[#This Row],[Código]],Importação!P:R,3,FALSE),"")</f>
        <v/>
      </c>
      <c r="L16" s="24">
        <f>IFERROR(VLOOKUP(Fellowes_Consumiveis9[[#This Row],[Código]],Saldo[],3,FALSE),0)</f>
        <v>2</v>
      </c>
      <c r="M16" s="24">
        <f>SUM(Fellowes_Consumiveis9[[#This Row],[Produção]:[Estoque]])</f>
        <v>2</v>
      </c>
      <c r="N16" s="24" t="str">
        <f>IFERROR(Fellowes_Consumiveis9[[#This Row],[Estoque+Importação]]/Fellowes_Consumiveis9[[#This Row],[Proj. de V. No prox. mes]],"Sem Projeção")</f>
        <v>Sem Projeção</v>
      </c>
      <c r="O1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16" s="75">
        <f>VLOOKUP(Fellowes_Consumiveis9[[#This Row],[Código]],Projeção[#All],15,FALSE)</f>
        <v>0</v>
      </c>
      <c r="R16" s="39">
        <f>VLOOKUP(Fellowes_Consumiveis9[[#This Row],[Código]],Projeção[#All],14,FALSE)</f>
        <v>0</v>
      </c>
      <c r="S16" s="39">
        <f>IFERROR(VLOOKUP(Fellowes_Consumiveis9[[#This Row],[Código]],Venda_mes[],2,FALSE),0)</f>
        <v>0</v>
      </c>
      <c r="T16" s="44" t="str">
        <f>IFERROR(Fellowes_Consumiveis9[[#This Row],[V. No mes]]/Fellowes_Consumiveis9[[#This Row],[Proj. de V. No mes]],"")</f>
        <v/>
      </c>
      <c r="U1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6" s="39">
        <f>IFERROR(VLOOKUP(Fellowes_Consumiveis9[[#This Row],[Código]],Venda_3meses[],2,FALSE),0)</f>
        <v>0</v>
      </c>
      <c r="W16" s="44" t="str">
        <f>IFERROR(Fellowes_Consumiveis9[[#This Row],[V. 3 meses]]/Fellowes_Consumiveis9[[#This Row],[Proj. de V. 3 meses]],"")</f>
        <v/>
      </c>
      <c r="X1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6" s="39">
        <f>IFERROR(VLOOKUP(Fellowes_Consumiveis9[[#This Row],[Código]],Venda_12meses[],2,FALSE),0)</f>
        <v>0</v>
      </c>
      <c r="Z16" s="44" t="str">
        <f>IFERROR(Fellowes_Consumiveis9[[#This Row],[V. 12 meses]]/Fellowes_Consumiveis9[[#This Row],[Proj. de V. 12 meses]],"")</f>
        <v/>
      </c>
      <c r="AA16" s="22">
        <v>5411501</v>
      </c>
    </row>
    <row r="17" spans="1:27" x14ac:dyDescent="0.25">
      <c r="A17" s="22" t="str">
        <f>VLOOKUP(Fellowes_Consumiveis9[[#This Row],[Código]],BD_Produto[#All],7,FALSE)</f>
        <v>Componente</v>
      </c>
      <c r="B17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7" s="23">
        <v>33062064864</v>
      </c>
      <c r="D17" s="22" t="s">
        <v>1804</v>
      </c>
      <c r="E17" s="22" t="str">
        <f>VLOOKUP(Fellowes_Consumiveis9[[#This Row],[Código]],BD_Produto[],3,FALSE)</f>
        <v>Componentes</v>
      </c>
      <c r="F17" s="22" t="str">
        <f>VLOOKUP(Fellowes_Consumiveis9[[#This Row],[Código]],BD_Produto[],4,FALSE)</f>
        <v>Fragmentadora</v>
      </c>
      <c r="G17" s="24"/>
      <c r="H17" s="25"/>
      <c r="I17" s="22"/>
      <c r="J17" s="24"/>
      <c r="K17" s="24" t="str">
        <f>IFERROR(VLOOKUP(Fellowes_Consumiveis9[[#This Row],[Código]],Importação!P:R,3,FALSE),"")</f>
        <v/>
      </c>
      <c r="L17" s="24">
        <f>IFERROR(VLOOKUP(Fellowes_Consumiveis9[[#This Row],[Código]],Saldo[],3,FALSE),0)</f>
        <v>1</v>
      </c>
      <c r="M17" s="24">
        <f>SUM(Fellowes_Consumiveis9[[#This Row],[Produção]:[Estoque]])</f>
        <v>1</v>
      </c>
      <c r="N17" s="24" t="str">
        <f>IFERROR(Fellowes_Consumiveis9[[#This Row],[Estoque+Importação]]/Fellowes_Consumiveis9[[#This Row],[Proj. de V. No prox. mes]],"Sem Projeção")</f>
        <v>Sem Projeção</v>
      </c>
      <c r="O1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</v>
      </c>
      <c r="Q17" s="75">
        <f>VLOOKUP(Fellowes_Consumiveis9[[#This Row],[Código]],Projeção[#All],15,FALSE)</f>
        <v>0</v>
      </c>
      <c r="R17" s="39">
        <f>VLOOKUP(Fellowes_Consumiveis9[[#This Row],[Código]],Projeção[#All],14,FALSE)</f>
        <v>0</v>
      </c>
      <c r="S17" s="39">
        <f>IFERROR(VLOOKUP(Fellowes_Consumiveis9[[#This Row],[Código]],Venda_mes[],2,FALSE),0)</f>
        <v>0</v>
      </c>
      <c r="T17" s="44" t="str">
        <f>IFERROR(Fellowes_Consumiveis9[[#This Row],[V. No mes]]/Fellowes_Consumiveis9[[#This Row],[Proj. de V. No mes]],"")</f>
        <v/>
      </c>
      <c r="U1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7" s="39">
        <f>IFERROR(VLOOKUP(Fellowes_Consumiveis9[[#This Row],[Código]],Venda_3meses[],2,FALSE),0)</f>
        <v>0</v>
      </c>
      <c r="W17" s="44" t="str">
        <f>IFERROR(Fellowes_Consumiveis9[[#This Row],[V. 3 meses]]/Fellowes_Consumiveis9[[#This Row],[Proj. de V. 3 meses]],"")</f>
        <v/>
      </c>
      <c r="X1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7" s="39">
        <f>IFERROR(VLOOKUP(Fellowes_Consumiveis9[[#This Row],[Código]],Venda_12meses[],2,FALSE),0)</f>
        <v>0</v>
      </c>
      <c r="Z17" s="44" t="str">
        <f>IFERROR(Fellowes_Consumiveis9[[#This Row],[V. 12 meses]]/Fellowes_Consumiveis9[[#This Row],[Proj. de V. 12 meses]],"")</f>
        <v/>
      </c>
      <c r="AA17" s="22">
        <v>5411401</v>
      </c>
    </row>
    <row r="18" spans="1:27" x14ac:dyDescent="0.25">
      <c r="A18" s="22" t="str">
        <f>VLOOKUP(Fellowes_Consumiveis9[[#This Row],[Código]],BD_Produto[#All],7,FALSE)</f>
        <v>Componente</v>
      </c>
      <c r="B18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8" s="23">
        <v>33062064865</v>
      </c>
      <c r="D18" s="22" t="s">
        <v>1806</v>
      </c>
      <c r="E18" s="22" t="str">
        <f>VLOOKUP(Fellowes_Consumiveis9[[#This Row],[Código]],BD_Produto[],3,FALSE)</f>
        <v>Componentes</v>
      </c>
      <c r="F18" s="22" t="str">
        <f>VLOOKUP(Fellowes_Consumiveis9[[#This Row],[Código]],BD_Produto[],4,FALSE)</f>
        <v>Fragmentadora</v>
      </c>
      <c r="G18" s="24"/>
      <c r="H18" s="25"/>
      <c r="I18" s="22"/>
      <c r="J18" s="24"/>
      <c r="K18" s="24" t="str">
        <f>IFERROR(VLOOKUP(Fellowes_Consumiveis9[[#This Row],[Código]],Importação!P:R,3,FALSE),"")</f>
        <v/>
      </c>
      <c r="L18" s="24">
        <f>IFERROR(VLOOKUP(Fellowes_Consumiveis9[[#This Row],[Código]],Saldo[],3,FALSE),0)</f>
        <v>3</v>
      </c>
      <c r="M18" s="24">
        <f>SUM(Fellowes_Consumiveis9[[#This Row],[Produção]:[Estoque]])</f>
        <v>3</v>
      </c>
      <c r="N18" s="24" t="str">
        <f>IFERROR(Fellowes_Consumiveis9[[#This Row],[Estoque+Importação]]/Fellowes_Consumiveis9[[#This Row],[Proj. de V. No prox. mes]],"Sem Projeção")</f>
        <v>Sem Projeção</v>
      </c>
      <c r="O1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18" s="75">
        <f>VLOOKUP(Fellowes_Consumiveis9[[#This Row],[Código]],Projeção[#All],15,FALSE)</f>
        <v>0</v>
      </c>
      <c r="R18" s="39">
        <f>VLOOKUP(Fellowes_Consumiveis9[[#This Row],[Código]],Projeção[#All],14,FALSE)</f>
        <v>0</v>
      </c>
      <c r="S18" s="39">
        <f>IFERROR(VLOOKUP(Fellowes_Consumiveis9[[#This Row],[Código]],Venda_mes[],2,FALSE),0)</f>
        <v>0</v>
      </c>
      <c r="T18" s="44" t="str">
        <f>IFERROR(Fellowes_Consumiveis9[[#This Row],[V. No mes]]/Fellowes_Consumiveis9[[#This Row],[Proj. de V. No mes]],"")</f>
        <v/>
      </c>
      <c r="U1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8" s="39">
        <f>IFERROR(VLOOKUP(Fellowes_Consumiveis9[[#This Row],[Código]],Venda_3meses[],2,FALSE),0)</f>
        <v>0</v>
      </c>
      <c r="W18" s="44" t="str">
        <f>IFERROR(Fellowes_Consumiveis9[[#This Row],[V. 3 meses]]/Fellowes_Consumiveis9[[#This Row],[Proj. de V. 3 meses]],"")</f>
        <v/>
      </c>
      <c r="X1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8" s="39">
        <f>IFERROR(VLOOKUP(Fellowes_Consumiveis9[[#This Row],[Código]],Venda_12meses[],2,FALSE),0)</f>
        <v>0</v>
      </c>
      <c r="Z18" s="44" t="str">
        <f>IFERROR(Fellowes_Consumiveis9[[#This Row],[V. 12 meses]]/Fellowes_Consumiveis9[[#This Row],[Proj. de V. 12 meses]],"")</f>
        <v/>
      </c>
      <c r="AA18" s="22">
        <v>5351113</v>
      </c>
    </row>
    <row r="19" spans="1:27" x14ac:dyDescent="0.25">
      <c r="A19" s="22" t="str">
        <f>VLOOKUP(Fellowes_Consumiveis9[[#This Row],[Código]],BD_Produto[#All],7,FALSE)</f>
        <v>Componente</v>
      </c>
      <c r="B19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9" s="23">
        <v>33062064866</v>
      </c>
      <c r="D19" s="22" t="s">
        <v>1808</v>
      </c>
      <c r="E19" s="22" t="str">
        <f>VLOOKUP(Fellowes_Consumiveis9[[#This Row],[Código]],BD_Produto[],3,FALSE)</f>
        <v>Componentes</v>
      </c>
      <c r="F19" s="22" t="str">
        <f>VLOOKUP(Fellowes_Consumiveis9[[#This Row],[Código]],BD_Produto[],4,FALSE)</f>
        <v>Fragmentadora</v>
      </c>
      <c r="G19" s="24"/>
      <c r="H19" s="25"/>
      <c r="I19" s="22"/>
      <c r="J19" s="24"/>
      <c r="K19" s="24" t="str">
        <f>IFERROR(VLOOKUP(Fellowes_Consumiveis9[[#This Row],[Código]],Importação!P:R,3,FALSE),"")</f>
        <v/>
      </c>
      <c r="L19" s="24">
        <f>IFERROR(VLOOKUP(Fellowes_Consumiveis9[[#This Row],[Código]],Saldo[],3,FALSE),0)</f>
        <v>3</v>
      </c>
      <c r="M19" s="24">
        <f>SUM(Fellowes_Consumiveis9[[#This Row],[Produção]:[Estoque]])</f>
        <v>3</v>
      </c>
      <c r="N19" s="24" t="str">
        <f>IFERROR(Fellowes_Consumiveis9[[#This Row],[Estoque+Importação]]/Fellowes_Consumiveis9[[#This Row],[Proj. de V. No prox. mes]],"Sem Projeção")</f>
        <v>Sem Projeção</v>
      </c>
      <c r="O1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19" s="75">
        <f>VLOOKUP(Fellowes_Consumiveis9[[#This Row],[Código]],Projeção[#All],15,FALSE)</f>
        <v>0</v>
      </c>
      <c r="R19" s="39">
        <f>VLOOKUP(Fellowes_Consumiveis9[[#This Row],[Código]],Projeção[#All],14,FALSE)</f>
        <v>0</v>
      </c>
      <c r="S19" s="39">
        <f>IFERROR(VLOOKUP(Fellowes_Consumiveis9[[#This Row],[Código]],Venda_mes[],2,FALSE),0)</f>
        <v>0</v>
      </c>
      <c r="T19" s="44" t="str">
        <f>IFERROR(Fellowes_Consumiveis9[[#This Row],[V. No mes]]/Fellowes_Consumiveis9[[#This Row],[Proj. de V. No mes]],"")</f>
        <v/>
      </c>
      <c r="U1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9" s="39">
        <f>IFERROR(VLOOKUP(Fellowes_Consumiveis9[[#This Row],[Código]],Venda_3meses[],2,FALSE),0)</f>
        <v>0</v>
      </c>
      <c r="W19" s="44" t="str">
        <f>IFERROR(Fellowes_Consumiveis9[[#This Row],[V. 3 meses]]/Fellowes_Consumiveis9[[#This Row],[Proj. de V. 3 meses]],"")</f>
        <v/>
      </c>
      <c r="X1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9" s="39">
        <f>IFERROR(VLOOKUP(Fellowes_Consumiveis9[[#This Row],[Código]],Venda_12meses[],2,FALSE),0)</f>
        <v>0</v>
      </c>
      <c r="Z19" s="44" t="str">
        <f>IFERROR(Fellowes_Consumiveis9[[#This Row],[V. 12 meses]]/Fellowes_Consumiveis9[[#This Row],[Proj. de V. 12 meses]],"")</f>
        <v/>
      </c>
      <c r="AA19" s="22">
        <v>5401804</v>
      </c>
    </row>
    <row r="20" spans="1:27" x14ac:dyDescent="0.25">
      <c r="A20" s="22" t="str">
        <f>VLOOKUP(Fellowes_Consumiveis9[[#This Row],[Código]],BD_Produto[#All],7,FALSE)</f>
        <v>Componente</v>
      </c>
      <c r="B20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0" s="23">
        <v>33062064867</v>
      </c>
      <c r="D20" s="22" t="s">
        <v>1810</v>
      </c>
      <c r="E20" s="22" t="str">
        <f>VLOOKUP(Fellowes_Consumiveis9[[#This Row],[Código]],BD_Produto[],3,FALSE)</f>
        <v>Componentes</v>
      </c>
      <c r="F20" s="22" t="str">
        <f>VLOOKUP(Fellowes_Consumiveis9[[#This Row],[Código]],BD_Produto[],4,FALSE)</f>
        <v>Fragmentadora</v>
      </c>
      <c r="G20" s="24"/>
      <c r="H20" s="25"/>
      <c r="I20" s="22"/>
      <c r="J20" s="24"/>
      <c r="K20" s="24" t="str">
        <f>IFERROR(VLOOKUP(Fellowes_Consumiveis9[[#This Row],[Código]],Importação!P:R,3,FALSE),"")</f>
        <v/>
      </c>
      <c r="L20" s="24">
        <f>IFERROR(VLOOKUP(Fellowes_Consumiveis9[[#This Row],[Código]],Saldo[],3,FALSE),0)</f>
        <v>3</v>
      </c>
      <c r="M20" s="24">
        <f>SUM(Fellowes_Consumiveis9[[#This Row],[Produção]:[Estoque]])</f>
        <v>3</v>
      </c>
      <c r="N20" s="24" t="str">
        <f>IFERROR(Fellowes_Consumiveis9[[#This Row],[Estoque+Importação]]/Fellowes_Consumiveis9[[#This Row],[Proj. de V. No prox. mes]],"Sem Projeção")</f>
        <v>Sem Projeção</v>
      </c>
      <c r="O2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20" s="75">
        <f>VLOOKUP(Fellowes_Consumiveis9[[#This Row],[Código]],Projeção[#All],15,FALSE)</f>
        <v>0</v>
      </c>
      <c r="R20" s="39">
        <f>VLOOKUP(Fellowes_Consumiveis9[[#This Row],[Código]],Projeção[#All],14,FALSE)</f>
        <v>0</v>
      </c>
      <c r="S20" s="39">
        <f>IFERROR(VLOOKUP(Fellowes_Consumiveis9[[#This Row],[Código]],Venda_mes[],2,FALSE),0)</f>
        <v>0</v>
      </c>
      <c r="T20" s="44" t="str">
        <f>IFERROR(Fellowes_Consumiveis9[[#This Row],[V. No mes]]/Fellowes_Consumiveis9[[#This Row],[Proj. de V. No mes]],"")</f>
        <v/>
      </c>
      <c r="U2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0" s="39">
        <f>IFERROR(VLOOKUP(Fellowes_Consumiveis9[[#This Row],[Código]],Venda_3meses[],2,FALSE),0)</f>
        <v>0</v>
      </c>
      <c r="W20" s="44" t="str">
        <f>IFERROR(Fellowes_Consumiveis9[[#This Row],[V. 3 meses]]/Fellowes_Consumiveis9[[#This Row],[Proj. de V. 3 meses]],"")</f>
        <v/>
      </c>
      <c r="X2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0" s="39">
        <f>IFERROR(VLOOKUP(Fellowes_Consumiveis9[[#This Row],[Código]],Venda_12meses[],2,FALSE),0)</f>
        <v>0</v>
      </c>
      <c r="Z20" s="44" t="str">
        <f>IFERROR(Fellowes_Consumiveis9[[#This Row],[V. 12 meses]]/Fellowes_Consumiveis9[[#This Row],[Proj. de V. 12 meses]],"")</f>
        <v/>
      </c>
      <c r="AA20" s="22">
        <v>5307409</v>
      </c>
    </row>
    <row r="21" spans="1:27" x14ac:dyDescent="0.25">
      <c r="A21" s="22" t="str">
        <f>VLOOKUP(Fellowes_Consumiveis9[[#This Row],[Código]],BD_Produto[#All],7,FALSE)</f>
        <v>Componente</v>
      </c>
      <c r="B21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1" s="23">
        <v>33062065020</v>
      </c>
      <c r="D21" s="22" t="s">
        <v>1812</v>
      </c>
      <c r="E21" s="22" t="str">
        <f>VLOOKUP(Fellowes_Consumiveis9[[#This Row],[Código]],BD_Produto[],3,FALSE)</f>
        <v>Componentes</v>
      </c>
      <c r="F21" s="22" t="str">
        <f>VLOOKUP(Fellowes_Consumiveis9[[#This Row],[Código]],BD_Produto[],4,FALSE)</f>
        <v>Fragmentadora</v>
      </c>
      <c r="G21" s="24"/>
      <c r="H21" s="25"/>
      <c r="I21" s="22"/>
      <c r="J21" s="24"/>
      <c r="K21" s="24" t="str">
        <f>IFERROR(VLOOKUP(Fellowes_Consumiveis9[[#This Row],[Código]],Importação!P:R,3,FALSE),"")</f>
        <v/>
      </c>
      <c r="L21" s="24">
        <f>IFERROR(VLOOKUP(Fellowes_Consumiveis9[[#This Row],[Código]],Saldo[],3,FALSE),0)</f>
        <v>4</v>
      </c>
      <c r="M21" s="24">
        <f>SUM(Fellowes_Consumiveis9[[#This Row],[Produção]:[Estoque]])</f>
        <v>4</v>
      </c>
      <c r="N21" s="24" t="str">
        <f>IFERROR(Fellowes_Consumiveis9[[#This Row],[Estoque+Importação]]/Fellowes_Consumiveis9[[#This Row],[Proj. de V. No prox. mes]],"Sem Projeção")</f>
        <v>Sem Projeção</v>
      </c>
      <c r="O2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21" s="75">
        <f>VLOOKUP(Fellowes_Consumiveis9[[#This Row],[Código]],Projeção[#All],15,FALSE)</f>
        <v>0</v>
      </c>
      <c r="R21" s="39">
        <f>VLOOKUP(Fellowes_Consumiveis9[[#This Row],[Código]],Projeção[#All],14,FALSE)</f>
        <v>0</v>
      </c>
      <c r="S21" s="39">
        <f>IFERROR(VLOOKUP(Fellowes_Consumiveis9[[#This Row],[Código]],Venda_mes[],2,FALSE),0)</f>
        <v>0</v>
      </c>
      <c r="T21" s="44" t="str">
        <f>IFERROR(Fellowes_Consumiveis9[[#This Row],[V. No mes]]/Fellowes_Consumiveis9[[#This Row],[Proj. de V. No mes]],"")</f>
        <v/>
      </c>
      <c r="U2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1" s="39">
        <f>IFERROR(VLOOKUP(Fellowes_Consumiveis9[[#This Row],[Código]],Venda_3meses[],2,FALSE),0)</f>
        <v>0</v>
      </c>
      <c r="W21" s="44" t="str">
        <f>IFERROR(Fellowes_Consumiveis9[[#This Row],[V. 3 meses]]/Fellowes_Consumiveis9[[#This Row],[Proj. de V. 3 meses]],"")</f>
        <v/>
      </c>
      <c r="X2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1" s="39">
        <f>IFERROR(VLOOKUP(Fellowes_Consumiveis9[[#This Row],[Código]],Venda_12meses[],2,FALSE),0)</f>
        <v>0</v>
      </c>
      <c r="Z21" s="44" t="str">
        <f>IFERROR(Fellowes_Consumiveis9[[#This Row],[V. 12 meses]]/Fellowes_Consumiveis9[[#This Row],[Proj. de V. 12 meses]],"")</f>
        <v/>
      </c>
      <c r="AA21" s="22">
        <v>5348505</v>
      </c>
    </row>
    <row r="22" spans="1:27" x14ac:dyDescent="0.25">
      <c r="A22" s="22" t="str">
        <f>VLOOKUP(Fellowes_Consumiveis9[[#This Row],[Código]],BD_Produto[#All],7,FALSE)</f>
        <v>Componente</v>
      </c>
      <c r="B22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2" s="23">
        <v>33062065019</v>
      </c>
      <c r="D22" s="22" t="s">
        <v>1816</v>
      </c>
      <c r="E22" s="22" t="str">
        <f>VLOOKUP(Fellowes_Consumiveis9[[#This Row],[Código]],BD_Produto[],3,FALSE)</f>
        <v>Componentes</v>
      </c>
      <c r="F22" s="22" t="str">
        <f>VLOOKUP(Fellowes_Consumiveis9[[#This Row],[Código]],BD_Produto[],4,FALSE)</f>
        <v>Fragmentadora</v>
      </c>
      <c r="G22" s="24"/>
      <c r="H22" s="25"/>
      <c r="I22" s="22"/>
      <c r="J22" s="24"/>
      <c r="K22" s="24" t="str">
        <f>IFERROR(VLOOKUP(Fellowes_Consumiveis9[[#This Row],[Código]],Importação!P:R,3,FALSE),"")</f>
        <v/>
      </c>
      <c r="L22" s="24">
        <f>IFERROR(VLOOKUP(Fellowes_Consumiveis9[[#This Row],[Código]],Saldo[],3,FALSE),0)</f>
        <v>1</v>
      </c>
      <c r="M22" s="24">
        <f>SUM(Fellowes_Consumiveis9[[#This Row],[Produção]:[Estoque]])</f>
        <v>1</v>
      </c>
      <c r="N22" s="24" t="str">
        <f>IFERROR(Fellowes_Consumiveis9[[#This Row],[Estoque+Importação]]/Fellowes_Consumiveis9[[#This Row],[Proj. de V. No prox. mes]],"Sem Projeção")</f>
        <v>Sem Projeção</v>
      </c>
      <c r="O2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</v>
      </c>
      <c r="Q22" s="75">
        <f>VLOOKUP(Fellowes_Consumiveis9[[#This Row],[Código]],Projeção[#All],15,FALSE)</f>
        <v>0</v>
      </c>
      <c r="R22" s="39">
        <f>VLOOKUP(Fellowes_Consumiveis9[[#This Row],[Código]],Projeção[#All],14,FALSE)</f>
        <v>0</v>
      </c>
      <c r="S22" s="39">
        <f>IFERROR(VLOOKUP(Fellowes_Consumiveis9[[#This Row],[Código]],Venda_mes[],2,FALSE),0)</f>
        <v>0</v>
      </c>
      <c r="T22" s="44" t="str">
        <f>IFERROR(Fellowes_Consumiveis9[[#This Row],[V. No mes]]/Fellowes_Consumiveis9[[#This Row],[Proj. de V. No mes]],"")</f>
        <v/>
      </c>
      <c r="U2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2" s="39">
        <f>IFERROR(VLOOKUP(Fellowes_Consumiveis9[[#This Row],[Código]],Venda_3meses[],2,FALSE),0)</f>
        <v>0</v>
      </c>
      <c r="W22" s="44" t="str">
        <f>IFERROR(Fellowes_Consumiveis9[[#This Row],[V. 3 meses]]/Fellowes_Consumiveis9[[#This Row],[Proj. de V. 3 meses]],"")</f>
        <v/>
      </c>
      <c r="X2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2" s="39">
        <f>IFERROR(VLOOKUP(Fellowes_Consumiveis9[[#This Row],[Código]],Venda_12meses[],2,FALSE),0)</f>
        <v>0</v>
      </c>
      <c r="Z22" s="44" t="str">
        <f>IFERROR(Fellowes_Consumiveis9[[#This Row],[V. 12 meses]]/Fellowes_Consumiveis9[[#This Row],[Proj. de V. 12 meses]],"")</f>
        <v/>
      </c>
      <c r="AA22" s="22">
        <v>5347006</v>
      </c>
    </row>
    <row r="23" spans="1:27" x14ac:dyDescent="0.25">
      <c r="A23" s="22" t="str">
        <f>VLOOKUP(Fellowes_Consumiveis9[[#This Row],[Código]],BD_Produto[#All],7,FALSE)</f>
        <v>Componente</v>
      </c>
      <c r="B23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3" s="23">
        <v>33062064869</v>
      </c>
      <c r="D23" s="22" t="s">
        <v>1818</v>
      </c>
      <c r="E23" s="22" t="str">
        <f>VLOOKUP(Fellowes_Consumiveis9[[#This Row],[Código]],BD_Produto[],3,FALSE)</f>
        <v>Componentes</v>
      </c>
      <c r="F23" s="22" t="str">
        <f>VLOOKUP(Fellowes_Consumiveis9[[#This Row],[Código]],BD_Produto[],4,FALSE)</f>
        <v>Fragmentadora</v>
      </c>
      <c r="G23" s="24"/>
      <c r="H23" s="25"/>
      <c r="I23" s="22"/>
      <c r="J23" s="24"/>
      <c r="K23" s="24" t="str">
        <f>IFERROR(VLOOKUP(Fellowes_Consumiveis9[[#This Row],[Código]],Importação!P:R,3,FALSE),"")</f>
        <v/>
      </c>
      <c r="L23" s="24">
        <f>IFERROR(VLOOKUP(Fellowes_Consumiveis9[[#This Row],[Código]],Saldo[],3,FALSE),0)</f>
        <v>0</v>
      </c>
      <c r="M23" s="24">
        <f>SUM(Fellowes_Consumiveis9[[#This Row],[Produção]:[Estoque]])</f>
        <v>0</v>
      </c>
      <c r="N23" s="24" t="str">
        <f>IFERROR(Fellowes_Consumiveis9[[#This Row],[Estoque+Importação]]/Fellowes_Consumiveis9[[#This Row],[Proj. de V. No prox. mes]],"Sem Projeção")</f>
        <v>Sem Projeção</v>
      </c>
      <c r="O2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23" s="75">
        <f>VLOOKUP(Fellowes_Consumiveis9[[#This Row],[Código]],Projeção[#All],15,FALSE)</f>
        <v>0</v>
      </c>
      <c r="R23" s="39">
        <f>VLOOKUP(Fellowes_Consumiveis9[[#This Row],[Código]],Projeção[#All],14,FALSE)</f>
        <v>0</v>
      </c>
      <c r="S23" s="39">
        <f>IFERROR(VLOOKUP(Fellowes_Consumiveis9[[#This Row],[Código]],Venda_mes[],2,FALSE),0)</f>
        <v>0</v>
      </c>
      <c r="T23" s="44" t="str">
        <f>IFERROR(Fellowes_Consumiveis9[[#This Row],[V. No mes]]/Fellowes_Consumiveis9[[#This Row],[Proj. de V. No mes]],"")</f>
        <v/>
      </c>
      <c r="U2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3" s="39">
        <f>IFERROR(VLOOKUP(Fellowes_Consumiveis9[[#This Row],[Código]],Venda_3meses[],2,FALSE),0)</f>
        <v>0</v>
      </c>
      <c r="W23" s="44" t="str">
        <f>IFERROR(Fellowes_Consumiveis9[[#This Row],[V. 3 meses]]/Fellowes_Consumiveis9[[#This Row],[Proj. de V. 3 meses]],"")</f>
        <v/>
      </c>
      <c r="X2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3" s="39">
        <f>IFERROR(VLOOKUP(Fellowes_Consumiveis9[[#This Row],[Código]],Venda_12meses[],2,FALSE),0)</f>
        <v>0</v>
      </c>
      <c r="Z23" s="44" t="str">
        <f>IFERROR(Fellowes_Consumiveis9[[#This Row],[V. 12 meses]]/Fellowes_Consumiveis9[[#This Row],[Proj. de V. 12 meses]],"")</f>
        <v/>
      </c>
      <c r="AA23" s="22">
        <v>5308804</v>
      </c>
    </row>
    <row r="24" spans="1:27" x14ac:dyDescent="0.25">
      <c r="A24" s="22" t="str">
        <f>VLOOKUP(Fellowes_Consumiveis9[[#This Row],[Código]],BD_Produto[#All],7,FALSE)</f>
        <v>Componente</v>
      </c>
      <c r="B24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4" s="23">
        <v>33062064870</v>
      </c>
      <c r="D24" s="22" t="s">
        <v>1820</v>
      </c>
      <c r="E24" s="22" t="str">
        <f>VLOOKUP(Fellowes_Consumiveis9[[#This Row],[Código]],BD_Produto[],3,FALSE)</f>
        <v>Componentes</v>
      </c>
      <c r="F24" s="22" t="str">
        <f>VLOOKUP(Fellowes_Consumiveis9[[#This Row],[Código]],BD_Produto[],4,FALSE)</f>
        <v>Fragmentadora</v>
      </c>
      <c r="G24" s="24"/>
      <c r="H24" s="25"/>
      <c r="I24" s="22"/>
      <c r="J24" s="24"/>
      <c r="K24" s="24" t="str">
        <f>IFERROR(VLOOKUP(Fellowes_Consumiveis9[[#This Row],[Código]],Importação!P:R,3,FALSE),"")</f>
        <v/>
      </c>
      <c r="L24" s="24">
        <f>IFERROR(VLOOKUP(Fellowes_Consumiveis9[[#This Row],[Código]],Saldo[],3,FALSE),0)</f>
        <v>3</v>
      </c>
      <c r="M24" s="24">
        <f>SUM(Fellowes_Consumiveis9[[#This Row],[Produção]:[Estoque]])</f>
        <v>3</v>
      </c>
      <c r="N24" s="24" t="str">
        <f>IFERROR(Fellowes_Consumiveis9[[#This Row],[Estoque+Importação]]/Fellowes_Consumiveis9[[#This Row],[Proj. de V. No prox. mes]],"Sem Projeção")</f>
        <v>Sem Projeção</v>
      </c>
      <c r="O2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24" s="75">
        <f>VLOOKUP(Fellowes_Consumiveis9[[#This Row],[Código]],Projeção[#All],15,FALSE)</f>
        <v>0</v>
      </c>
      <c r="R24" s="39">
        <f>VLOOKUP(Fellowes_Consumiveis9[[#This Row],[Código]],Projeção[#All],14,FALSE)</f>
        <v>0</v>
      </c>
      <c r="S24" s="39">
        <f>IFERROR(VLOOKUP(Fellowes_Consumiveis9[[#This Row],[Código]],Venda_mes[],2,FALSE),0)</f>
        <v>0</v>
      </c>
      <c r="T24" s="44" t="str">
        <f>IFERROR(Fellowes_Consumiveis9[[#This Row],[V. No mes]]/Fellowes_Consumiveis9[[#This Row],[Proj. de V. No mes]],"")</f>
        <v/>
      </c>
      <c r="U2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4" s="39">
        <f>IFERROR(VLOOKUP(Fellowes_Consumiveis9[[#This Row],[Código]],Venda_3meses[],2,FALSE),0)</f>
        <v>0</v>
      </c>
      <c r="W24" s="44" t="str">
        <f>IFERROR(Fellowes_Consumiveis9[[#This Row],[V. 3 meses]]/Fellowes_Consumiveis9[[#This Row],[Proj. de V. 3 meses]],"")</f>
        <v/>
      </c>
      <c r="X2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4" s="39">
        <f>IFERROR(VLOOKUP(Fellowes_Consumiveis9[[#This Row],[Código]],Venda_12meses[],2,FALSE),0)</f>
        <v>0</v>
      </c>
      <c r="Z24" s="44" t="str">
        <f>IFERROR(Fellowes_Consumiveis9[[#This Row],[V. 12 meses]]/Fellowes_Consumiveis9[[#This Row],[Proj. de V. 12 meses]],"")</f>
        <v/>
      </c>
      <c r="AA24" s="22">
        <v>5351206</v>
      </c>
    </row>
    <row r="25" spans="1:27" x14ac:dyDescent="0.25">
      <c r="A25" s="22" t="str">
        <f>VLOOKUP(Fellowes_Consumiveis9[[#This Row],[Código]],BD_Produto[#All],7,FALSE)</f>
        <v>Componente</v>
      </c>
      <c r="B25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5" s="23">
        <v>33062064871</v>
      </c>
      <c r="D25" s="22" t="s">
        <v>1822</v>
      </c>
      <c r="E25" s="22" t="str">
        <f>VLOOKUP(Fellowes_Consumiveis9[[#This Row],[Código]],BD_Produto[],3,FALSE)</f>
        <v>Componentes</v>
      </c>
      <c r="F25" s="22" t="str">
        <f>VLOOKUP(Fellowes_Consumiveis9[[#This Row],[Código]],BD_Produto[],4,FALSE)</f>
        <v>Fragmentadora</v>
      </c>
      <c r="G25" s="24"/>
      <c r="H25" s="25"/>
      <c r="I25" s="22"/>
      <c r="J25" s="24"/>
      <c r="K25" s="24" t="str">
        <f>IFERROR(VLOOKUP(Fellowes_Consumiveis9[[#This Row],[Código]],Importação!P:R,3,FALSE),"")</f>
        <v/>
      </c>
      <c r="L25" s="24">
        <f>IFERROR(VLOOKUP(Fellowes_Consumiveis9[[#This Row],[Código]],Saldo[],3,FALSE),0)</f>
        <v>2</v>
      </c>
      <c r="M25" s="24">
        <f>SUM(Fellowes_Consumiveis9[[#This Row],[Produção]:[Estoque]])</f>
        <v>2</v>
      </c>
      <c r="N25" s="24" t="str">
        <f>IFERROR(Fellowes_Consumiveis9[[#This Row],[Estoque+Importação]]/Fellowes_Consumiveis9[[#This Row],[Proj. de V. No prox. mes]],"Sem Projeção")</f>
        <v>Sem Projeção</v>
      </c>
      <c r="O2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25" s="75">
        <f>VLOOKUP(Fellowes_Consumiveis9[[#This Row],[Código]],Projeção[#All],15,FALSE)</f>
        <v>0</v>
      </c>
      <c r="R25" s="39">
        <f>VLOOKUP(Fellowes_Consumiveis9[[#This Row],[Código]],Projeção[#All],14,FALSE)</f>
        <v>0</v>
      </c>
      <c r="S25" s="39">
        <f>IFERROR(VLOOKUP(Fellowes_Consumiveis9[[#This Row],[Código]],Venda_mes[],2,FALSE),0)</f>
        <v>0</v>
      </c>
      <c r="T25" s="44" t="str">
        <f>IFERROR(Fellowes_Consumiveis9[[#This Row],[V. No mes]]/Fellowes_Consumiveis9[[#This Row],[Proj. de V. No mes]],"")</f>
        <v/>
      </c>
      <c r="U2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5" s="39">
        <f>IFERROR(VLOOKUP(Fellowes_Consumiveis9[[#This Row],[Código]],Venda_3meses[],2,FALSE),0)</f>
        <v>0</v>
      </c>
      <c r="W25" s="44" t="str">
        <f>IFERROR(Fellowes_Consumiveis9[[#This Row],[V. 3 meses]]/Fellowes_Consumiveis9[[#This Row],[Proj. de V. 3 meses]],"")</f>
        <v/>
      </c>
      <c r="X2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5" s="39">
        <f>IFERROR(VLOOKUP(Fellowes_Consumiveis9[[#This Row],[Código]],Venda_12meses[],2,FALSE),0)</f>
        <v>0</v>
      </c>
      <c r="Z25" s="44" t="str">
        <f>IFERROR(Fellowes_Consumiveis9[[#This Row],[V. 12 meses]]/Fellowes_Consumiveis9[[#This Row],[Proj. de V. 12 meses]],"")</f>
        <v/>
      </c>
      <c r="AA25" s="22">
        <v>5346508</v>
      </c>
    </row>
    <row r="26" spans="1:27" x14ac:dyDescent="0.25">
      <c r="A26" s="22" t="str">
        <f>VLOOKUP(Fellowes_Consumiveis9[[#This Row],[Código]],BD_Produto[#All],7,FALSE)</f>
        <v>Componente</v>
      </c>
      <c r="B26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6" s="23">
        <v>33062064872</v>
      </c>
      <c r="D26" s="22" t="s">
        <v>1824</v>
      </c>
      <c r="E26" s="22" t="str">
        <f>VLOOKUP(Fellowes_Consumiveis9[[#This Row],[Código]],BD_Produto[],3,FALSE)</f>
        <v>Componentes</v>
      </c>
      <c r="F26" s="22" t="str">
        <f>VLOOKUP(Fellowes_Consumiveis9[[#This Row],[Código]],BD_Produto[],4,FALSE)</f>
        <v>Fragmentadora</v>
      </c>
      <c r="G26" s="24"/>
      <c r="H26" s="25"/>
      <c r="I26" s="22"/>
      <c r="J26" s="24"/>
      <c r="K26" s="24" t="str">
        <f>IFERROR(VLOOKUP(Fellowes_Consumiveis9[[#This Row],[Código]],Importação!P:R,3,FALSE),"")</f>
        <v/>
      </c>
      <c r="L26" s="24">
        <f>IFERROR(VLOOKUP(Fellowes_Consumiveis9[[#This Row],[Código]],Saldo[],3,FALSE),0)</f>
        <v>2</v>
      </c>
      <c r="M26" s="24">
        <f>SUM(Fellowes_Consumiveis9[[#This Row],[Produção]:[Estoque]])</f>
        <v>2</v>
      </c>
      <c r="N26" s="24" t="str">
        <f>IFERROR(Fellowes_Consumiveis9[[#This Row],[Estoque+Importação]]/Fellowes_Consumiveis9[[#This Row],[Proj. de V. No prox. mes]],"Sem Projeção")</f>
        <v>Sem Projeção</v>
      </c>
      <c r="O2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26" s="75">
        <f>VLOOKUP(Fellowes_Consumiveis9[[#This Row],[Código]],Projeção[#All],15,FALSE)</f>
        <v>0</v>
      </c>
      <c r="R26" s="39">
        <f>VLOOKUP(Fellowes_Consumiveis9[[#This Row],[Código]],Projeção[#All],14,FALSE)</f>
        <v>0</v>
      </c>
      <c r="S26" s="39">
        <f>IFERROR(VLOOKUP(Fellowes_Consumiveis9[[#This Row],[Código]],Venda_mes[],2,FALSE),0)</f>
        <v>0</v>
      </c>
      <c r="T26" s="44" t="str">
        <f>IFERROR(Fellowes_Consumiveis9[[#This Row],[V. No mes]]/Fellowes_Consumiveis9[[#This Row],[Proj. de V. No mes]],"")</f>
        <v/>
      </c>
      <c r="U2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6" s="39">
        <f>IFERROR(VLOOKUP(Fellowes_Consumiveis9[[#This Row],[Código]],Venda_3meses[],2,FALSE),0)</f>
        <v>0</v>
      </c>
      <c r="W26" s="44" t="str">
        <f>IFERROR(Fellowes_Consumiveis9[[#This Row],[V. 3 meses]]/Fellowes_Consumiveis9[[#This Row],[Proj. de V. 3 meses]],"")</f>
        <v/>
      </c>
      <c r="X2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6" s="39">
        <f>IFERROR(VLOOKUP(Fellowes_Consumiveis9[[#This Row],[Código]],Venda_12meses[],2,FALSE),0)</f>
        <v>0</v>
      </c>
      <c r="Z26" s="44" t="str">
        <f>IFERROR(Fellowes_Consumiveis9[[#This Row],[V. 12 meses]]/Fellowes_Consumiveis9[[#This Row],[Proj. de V. 12 meses]],"")</f>
        <v/>
      </c>
      <c r="AA26" s="22">
        <v>5350503</v>
      </c>
    </row>
    <row r="27" spans="1:27" x14ac:dyDescent="0.25">
      <c r="A27" s="22" t="str">
        <f>VLOOKUP(Fellowes_Consumiveis9[[#This Row],[Código]],BD_Produto[#All],7,FALSE)</f>
        <v>Componente</v>
      </c>
      <c r="B27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7" s="23">
        <v>33062064873</v>
      </c>
      <c r="D27" s="22" t="s">
        <v>1826</v>
      </c>
      <c r="E27" s="22" t="str">
        <f>VLOOKUP(Fellowes_Consumiveis9[[#This Row],[Código]],BD_Produto[],3,FALSE)</f>
        <v>Componentes</v>
      </c>
      <c r="F27" s="22" t="str">
        <f>VLOOKUP(Fellowes_Consumiveis9[[#This Row],[Código]],BD_Produto[],4,FALSE)</f>
        <v>Fragmentadora</v>
      </c>
      <c r="G27" s="24"/>
      <c r="H27" s="25"/>
      <c r="I27" s="22"/>
      <c r="J27" s="24"/>
      <c r="K27" s="24" t="str">
        <f>IFERROR(VLOOKUP(Fellowes_Consumiveis9[[#This Row],[Código]],Importação!P:R,3,FALSE),"")</f>
        <v/>
      </c>
      <c r="L27" s="24">
        <f>IFERROR(VLOOKUP(Fellowes_Consumiveis9[[#This Row],[Código]],Saldo[],3,FALSE),0)</f>
        <v>3</v>
      </c>
      <c r="M27" s="24">
        <f>SUM(Fellowes_Consumiveis9[[#This Row],[Produção]:[Estoque]])</f>
        <v>3</v>
      </c>
      <c r="N27" s="24" t="str">
        <f>IFERROR(Fellowes_Consumiveis9[[#This Row],[Estoque+Importação]]/Fellowes_Consumiveis9[[#This Row],[Proj. de V. No prox. mes]],"Sem Projeção")</f>
        <v>Sem Projeção</v>
      </c>
      <c r="O2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27" s="75">
        <f>VLOOKUP(Fellowes_Consumiveis9[[#This Row],[Código]],Projeção[#All],15,FALSE)</f>
        <v>0</v>
      </c>
      <c r="R27" s="39">
        <f>VLOOKUP(Fellowes_Consumiveis9[[#This Row],[Código]],Projeção[#All],14,FALSE)</f>
        <v>0</v>
      </c>
      <c r="S27" s="39">
        <f>IFERROR(VLOOKUP(Fellowes_Consumiveis9[[#This Row],[Código]],Venda_mes[],2,FALSE),0)</f>
        <v>0</v>
      </c>
      <c r="T27" s="44" t="str">
        <f>IFERROR(Fellowes_Consumiveis9[[#This Row],[V. No mes]]/Fellowes_Consumiveis9[[#This Row],[Proj. de V. No mes]],"")</f>
        <v/>
      </c>
      <c r="U2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7" s="39">
        <f>IFERROR(VLOOKUP(Fellowes_Consumiveis9[[#This Row],[Código]],Venda_3meses[],2,FALSE),0)</f>
        <v>0</v>
      </c>
      <c r="W27" s="44" t="str">
        <f>IFERROR(Fellowes_Consumiveis9[[#This Row],[V. 3 meses]]/Fellowes_Consumiveis9[[#This Row],[Proj. de V. 3 meses]],"")</f>
        <v/>
      </c>
      <c r="X2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7" s="39">
        <f>IFERROR(VLOOKUP(Fellowes_Consumiveis9[[#This Row],[Código]],Venda_12meses[],2,FALSE),0)</f>
        <v>0</v>
      </c>
      <c r="Z27" s="44" t="str">
        <f>IFERROR(Fellowes_Consumiveis9[[#This Row],[V. 12 meses]]/Fellowes_Consumiveis9[[#This Row],[Proj. de V. 12 meses]],"")</f>
        <v/>
      </c>
      <c r="AA27" s="22">
        <v>5308704</v>
      </c>
    </row>
    <row r="28" spans="1:27" x14ac:dyDescent="0.25">
      <c r="A28" s="22" t="str">
        <f>VLOOKUP(Fellowes_Consumiveis9[[#This Row],[Código]],BD_Produto[#All],7,FALSE)</f>
        <v>Componente</v>
      </c>
      <c r="B28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8" s="23">
        <v>33062064874</v>
      </c>
      <c r="D28" s="22" t="s">
        <v>1828</v>
      </c>
      <c r="E28" s="22" t="str">
        <f>VLOOKUP(Fellowes_Consumiveis9[[#This Row],[Código]],BD_Produto[],3,FALSE)</f>
        <v>Componentes</v>
      </c>
      <c r="F28" s="22" t="str">
        <f>VLOOKUP(Fellowes_Consumiveis9[[#This Row],[Código]],BD_Produto[],4,FALSE)</f>
        <v>Fragmentadora</v>
      </c>
      <c r="G28" s="24"/>
      <c r="H28" s="25"/>
      <c r="I28" s="22"/>
      <c r="J28" s="24"/>
      <c r="K28" s="24" t="str">
        <f>IFERROR(VLOOKUP(Fellowes_Consumiveis9[[#This Row],[Código]],Importação!P:R,3,FALSE),"")</f>
        <v/>
      </c>
      <c r="L28" s="24">
        <f>IFERROR(VLOOKUP(Fellowes_Consumiveis9[[#This Row],[Código]],Saldo[],3,FALSE),0)</f>
        <v>0</v>
      </c>
      <c r="M28" s="24">
        <f>SUM(Fellowes_Consumiveis9[[#This Row],[Produção]:[Estoque]])</f>
        <v>0</v>
      </c>
      <c r="N28" s="24" t="str">
        <f>IFERROR(Fellowes_Consumiveis9[[#This Row],[Estoque+Importação]]/Fellowes_Consumiveis9[[#This Row],[Proj. de V. No prox. mes]],"Sem Projeção")</f>
        <v>Sem Projeção</v>
      </c>
      <c r="O2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28" s="75">
        <f>VLOOKUP(Fellowes_Consumiveis9[[#This Row],[Código]],Projeção[#All],15,FALSE)</f>
        <v>0</v>
      </c>
      <c r="R28" s="39">
        <f>VLOOKUP(Fellowes_Consumiveis9[[#This Row],[Código]],Projeção[#All],14,FALSE)</f>
        <v>0</v>
      </c>
      <c r="S28" s="39">
        <f>IFERROR(VLOOKUP(Fellowes_Consumiveis9[[#This Row],[Código]],Venda_mes[],2,FALSE),0)</f>
        <v>0</v>
      </c>
      <c r="T28" s="44" t="str">
        <f>IFERROR(Fellowes_Consumiveis9[[#This Row],[V. No mes]]/Fellowes_Consumiveis9[[#This Row],[Proj. de V. No mes]],"")</f>
        <v/>
      </c>
      <c r="U2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8" s="39">
        <f>IFERROR(VLOOKUP(Fellowes_Consumiveis9[[#This Row],[Código]],Venda_3meses[],2,FALSE),0)</f>
        <v>0</v>
      </c>
      <c r="W28" s="44" t="str">
        <f>IFERROR(Fellowes_Consumiveis9[[#This Row],[V. 3 meses]]/Fellowes_Consumiveis9[[#This Row],[Proj. de V. 3 meses]],"")</f>
        <v/>
      </c>
      <c r="X2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8" s="39">
        <f>IFERROR(VLOOKUP(Fellowes_Consumiveis9[[#This Row],[Código]],Venda_12meses[],2,FALSE),0)</f>
        <v>0</v>
      </c>
      <c r="Z28" s="44" t="str">
        <f>IFERROR(Fellowes_Consumiveis9[[#This Row],[V. 12 meses]]/Fellowes_Consumiveis9[[#This Row],[Proj. de V. 12 meses]],"")</f>
        <v/>
      </c>
      <c r="AA28" s="22">
        <v>5345708</v>
      </c>
    </row>
    <row r="29" spans="1:27" x14ac:dyDescent="0.25">
      <c r="A29" s="22" t="str">
        <f>VLOOKUP(Fellowes_Consumiveis9[[#This Row],[Código]],BD_Produto[#All],7,FALSE)</f>
        <v>Componente</v>
      </c>
      <c r="B29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29" s="23">
        <v>33062064875</v>
      </c>
      <c r="D29" s="22" t="s">
        <v>1830</v>
      </c>
      <c r="E29" s="22" t="str">
        <f>VLOOKUP(Fellowes_Consumiveis9[[#This Row],[Código]],BD_Produto[],3,FALSE)</f>
        <v>Componentes</v>
      </c>
      <c r="F29" s="22" t="str">
        <f>VLOOKUP(Fellowes_Consumiveis9[[#This Row],[Código]],BD_Produto[],4,FALSE)</f>
        <v>Fragmentadora</v>
      </c>
      <c r="G29" s="24"/>
      <c r="H29" s="25"/>
      <c r="I29" s="22"/>
      <c r="J29" s="24"/>
      <c r="K29" s="24" t="str">
        <f>IFERROR(VLOOKUP(Fellowes_Consumiveis9[[#This Row],[Código]],Importação!P:R,3,FALSE),"")</f>
        <v/>
      </c>
      <c r="L29" s="24">
        <f>IFERROR(VLOOKUP(Fellowes_Consumiveis9[[#This Row],[Código]],Saldo[],3,FALSE),0)</f>
        <v>0</v>
      </c>
      <c r="M29" s="24">
        <f>SUM(Fellowes_Consumiveis9[[#This Row],[Produção]:[Estoque]])</f>
        <v>0</v>
      </c>
      <c r="N29" s="24" t="str">
        <f>IFERROR(Fellowes_Consumiveis9[[#This Row],[Estoque+Importação]]/Fellowes_Consumiveis9[[#This Row],[Proj. de V. No prox. mes]],"Sem Projeção")</f>
        <v>Sem Projeção</v>
      </c>
      <c r="O2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2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29" s="75">
        <f>VLOOKUP(Fellowes_Consumiveis9[[#This Row],[Código]],Projeção[#All],15,FALSE)</f>
        <v>0</v>
      </c>
      <c r="R29" s="39">
        <f>VLOOKUP(Fellowes_Consumiveis9[[#This Row],[Código]],Projeção[#All],14,FALSE)</f>
        <v>0</v>
      </c>
      <c r="S29" s="39">
        <f>IFERROR(VLOOKUP(Fellowes_Consumiveis9[[#This Row],[Código]],Venda_mes[],2,FALSE),0)</f>
        <v>0</v>
      </c>
      <c r="T29" s="44" t="str">
        <f>IFERROR(Fellowes_Consumiveis9[[#This Row],[V. No mes]]/Fellowes_Consumiveis9[[#This Row],[Proj. de V. No mes]],"")</f>
        <v/>
      </c>
      <c r="U2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29" s="39">
        <f>IFERROR(VLOOKUP(Fellowes_Consumiveis9[[#This Row],[Código]],Venda_3meses[],2,FALSE),0)</f>
        <v>0</v>
      </c>
      <c r="W29" s="44" t="str">
        <f>IFERROR(Fellowes_Consumiveis9[[#This Row],[V. 3 meses]]/Fellowes_Consumiveis9[[#This Row],[Proj. de V. 3 meses]],"")</f>
        <v/>
      </c>
      <c r="X2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29" s="39">
        <f>IFERROR(VLOOKUP(Fellowes_Consumiveis9[[#This Row],[Código]],Venda_12meses[],2,FALSE),0)</f>
        <v>0</v>
      </c>
      <c r="Z29" s="44" t="str">
        <f>IFERROR(Fellowes_Consumiveis9[[#This Row],[V. 12 meses]]/Fellowes_Consumiveis9[[#This Row],[Proj. de V. 12 meses]],"")</f>
        <v/>
      </c>
      <c r="AA29" s="22">
        <v>5348903</v>
      </c>
    </row>
    <row r="30" spans="1:27" x14ac:dyDescent="0.25">
      <c r="A30" s="22" t="str">
        <f>VLOOKUP(Fellowes_Consumiveis9[[#This Row],[Código]],BD_Produto[#All],7,FALSE)</f>
        <v>Componente</v>
      </c>
      <c r="B30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0" s="23">
        <v>33062065034</v>
      </c>
      <c r="D30" s="22" t="s">
        <v>1832</v>
      </c>
      <c r="E30" s="22" t="str">
        <f>VLOOKUP(Fellowes_Consumiveis9[[#This Row],[Código]],BD_Produto[],3,FALSE)</f>
        <v>Componentes</v>
      </c>
      <c r="F30" s="22" t="str">
        <f>VLOOKUP(Fellowes_Consumiveis9[[#This Row],[Código]],BD_Produto[],4,FALSE)</f>
        <v>Fragmentadora</v>
      </c>
      <c r="G30" s="24"/>
      <c r="H30" s="25"/>
      <c r="I30" s="22"/>
      <c r="J30" s="24"/>
      <c r="K30" s="24" t="str">
        <f>IFERROR(VLOOKUP(Fellowes_Consumiveis9[[#This Row],[Código]],Importação!P:R,3,FALSE),"")</f>
        <v/>
      </c>
      <c r="L30" s="24">
        <f>IFERROR(VLOOKUP(Fellowes_Consumiveis9[[#This Row],[Código]],Saldo[],3,FALSE),0)</f>
        <v>2</v>
      </c>
      <c r="M30" s="24">
        <f>SUM(Fellowes_Consumiveis9[[#This Row],[Produção]:[Estoque]])</f>
        <v>2</v>
      </c>
      <c r="N30" s="24" t="str">
        <f>IFERROR(Fellowes_Consumiveis9[[#This Row],[Estoque+Importação]]/Fellowes_Consumiveis9[[#This Row],[Proj. de V. No prox. mes]],"Sem Projeção")</f>
        <v>Sem Projeção</v>
      </c>
      <c r="O3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30" s="75">
        <f>VLOOKUP(Fellowes_Consumiveis9[[#This Row],[Código]],Projeção[#All],15,FALSE)</f>
        <v>0</v>
      </c>
      <c r="R30" s="39">
        <f>VLOOKUP(Fellowes_Consumiveis9[[#This Row],[Código]],Projeção[#All],14,FALSE)</f>
        <v>0</v>
      </c>
      <c r="S30" s="39">
        <f>IFERROR(VLOOKUP(Fellowes_Consumiveis9[[#This Row],[Código]],Venda_mes[],2,FALSE),0)</f>
        <v>0</v>
      </c>
      <c r="T30" s="44" t="str">
        <f>IFERROR(Fellowes_Consumiveis9[[#This Row],[V. No mes]]/Fellowes_Consumiveis9[[#This Row],[Proj. de V. No mes]],"")</f>
        <v/>
      </c>
      <c r="U3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0" s="39">
        <f>IFERROR(VLOOKUP(Fellowes_Consumiveis9[[#This Row],[Código]],Venda_3meses[],2,FALSE),0)</f>
        <v>0</v>
      </c>
      <c r="W30" s="44" t="str">
        <f>IFERROR(Fellowes_Consumiveis9[[#This Row],[V. 3 meses]]/Fellowes_Consumiveis9[[#This Row],[Proj. de V. 3 meses]],"")</f>
        <v/>
      </c>
      <c r="X3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0" s="39">
        <f>IFERROR(VLOOKUP(Fellowes_Consumiveis9[[#This Row],[Código]],Venda_12meses[],2,FALSE),0)</f>
        <v>0</v>
      </c>
      <c r="Z30" s="44" t="str">
        <f>IFERROR(Fellowes_Consumiveis9[[#This Row],[V. 12 meses]]/Fellowes_Consumiveis9[[#This Row],[Proj. de V. 12 meses]],"")</f>
        <v/>
      </c>
      <c r="AA30" s="22">
        <v>5347706</v>
      </c>
    </row>
    <row r="31" spans="1:27" x14ac:dyDescent="0.25">
      <c r="A31" s="22" t="str">
        <f>VLOOKUP(Fellowes_Consumiveis9[[#This Row],[Código]],BD_Produto[#All],7,FALSE)</f>
        <v>Componente</v>
      </c>
      <c r="B31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1" s="23">
        <v>33062065035</v>
      </c>
      <c r="D31" s="22" t="s">
        <v>1834</v>
      </c>
      <c r="E31" s="22" t="str">
        <f>VLOOKUP(Fellowes_Consumiveis9[[#This Row],[Código]],BD_Produto[],3,FALSE)</f>
        <v>Componentes</v>
      </c>
      <c r="F31" s="22" t="str">
        <f>VLOOKUP(Fellowes_Consumiveis9[[#This Row],[Código]],BD_Produto[],4,FALSE)</f>
        <v>Fragmentadora</v>
      </c>
      <c r="G31" s="24"/>
      <c r="H31" s="25"/>
      <c r="I31" s="22"/>
      <c r="J31" s="24"/>
      <c r="K31" s="24" t="str">
        <f>IFERROR(VLOOKUP(Fellowes_Consumiveis9[[#This Row],[Código]],Importação!P:R,3,FALSE),"")</f>
        <v/>
      </c>
      <c r="L31" s="24">
        <f>IFERROR(VLOOKUP(Fellowes_Consumiveis9[[#This Row],[Código]],Saldo[],3,FALSE),0)</f>
        <v>5</v>
      </c>
      <c r="M31" s="24">
        <f>SUM(Fellowes_Consumiveis9[[#This Row],[Produção]:[Estoque]])</f>
        <v>5</v>
      </c>
      <c r="N31" s="24" t="str">
        <f>IFERROR(Fellowes_Consumiveis9[[#This Row],[Estoque+Importação]]/Fellowes_Consumiveis9[[#This Row],[Proj. de V. No prox. mes]],"Sem Projeção")</f>
        <v>Sem Projeção</v>
      </c>
      <c r="O3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31" s="75">
        <f>VLOOKUP(Fellowes_Consumiveis9[[#This Row],[Código]],Projeção[#All],15,FALSE)</f>
        <v>0</v>
      </c>
      <c r="R31" s="39">
        <f>VLOOKUP(Fellowes_Consumiveis9[[#This Row],[Código]],Projeção[#All],14,FALSE)</f>
        <v>0</v>
      </c>
      <c r="S31" s="39">
        <f>IFERROR(VLOOKUP(Fellowes_Consumiveis9[[#This Row],[Código]],Venda_mes[],2,FALSE),0)</f>
        <v>0</v>
      </c>
      <c r="T31" s="44" t="str">
        <f>IFERROR(Fellowes_Consumiveis9[[#This Row],[V. No mes]]/Fellowes_Consumiveis9[[#This Row],[Proj. de V. No mes]],"")</f>
        <v/>
      </c>
      <c r="U3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1" s="39">
        <f>IFERROR(VLOOKUP(Fellowes_Consumiveis9[[#This Row],[Código]],Venda_3meses[],2,FALSE),0)</f>
        <v>0</v>
      </c>
      <c r="W31" s="44" t="str">
        <f>IFERROR(Fellowes_Consumiveis9[[#This Row],[V. 3 meses]]/Fellowes_Consumiveis9[[#This Row],[Proj. de V. 3 meses]],"")</f>
        <v/>
      </c>
      <c r="X3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1" s="39">
        <f>IFERROR(VLOOKUP(Fellowes_Consumiveis9[[#This Row],[Código]],Venda_12meses[],2,FALSE),0)</f>
        <v>0</v>
      </c>
      <c r="Z31" s="44" t="str">
        <f>IFERROR(Fellowes_Consumiveis9[[#This Row],[V. 12 meses]]/Fellowes_Consumiveis9[[#This Row],[Proj. de V. 12 meses]],"")</f>
        <v/>
      </c>
      <c r="AA31" s="22">
        <v>5349703</v>
      </c>
    </row>
    <row r="32" spans="1:27" x14ac:dyDescent="0.25">
      <c r="A32" s="22" t="str">
        <f>VLOOKUP(Fellowes_Consumiveis9[[#This Row],[Código]],BD_Produto[#All],7,FALSE)</f>
        <v>Componente</v>
      </c>
      <c r="B32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2" s="23">
        <v>33062065028</v>
      </c>
      <c r="D32" s="22" t="s">
        <v>1836</v>
      </c>
      <c r="E32" s="22" t="str">
        <f>VLOOKUP(Fellowes_Consumiveis9[[#This Row],[Código]],BD_Produto[],3,FALSE)</f>
        <v>Componentes</v>
      </c>
      <c r="F32" s="22" t="str">
        <f>VLOOKUP(Fellowes_Consumiveis9[[#This Row],[Código]],BD_Produto[],4,FALSE)</f>
        <v>Fragmentadora</v>
      </c>
      <c r="G32" s="24"/>
      <c r="H32" s="25"/>
      <c r="I32" s="22"/>
      <c r="J32" s="24"/>
      <c r="K32" s="24" t="str">
        <f>IFERROR(VLOOKUP(Fellowes_Consumiveis9[[#This Row],[Código]],Importação!P:R,3,FALSE),"")</f>
        <v/>
      </c>
      <c r="L32" s="24">
        <f>IFERROR(VLOOKUP(Fellowes_Consumiveis9[[#This Row],[Código]],Saldo[],3,FALSE),0)</f>
        <v>6</v>
      </c>
      <c r="M32" s="24">
        <f>SUM(Fellowes_Consumiveis9[[#This Row],[Produção]:[Estoque]])</f>
        <v>6</v>
      </c>
      <c r="N32" s="24" t="str">
        <f>IFERROR(Fellowes_Consumiveis9[[#This Row],[Estoque+Importação]]/Fellowes_Consumiveis9[[#This Row],[Proj. de V. No prox. mes]],"Sem Projeção")</f>
        <v>Sem Projeção</v>
      </c>
      <c r="O3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32" s="75">
        <f>VLOOKUP(Fellowes_Consumiveis9[[#This Row],[Código]],Projeção[#All],15,FALSE)</f>
        <v>0</v>
      </c>
      <c r="R32" s="39">
        <f>VLOOKUP(Fellowes_Consumiveis9[[#This Row],[Código]],Projeção[#All],14,FALSE)</f>
        <v>0</v>
      </c>
      <c r="S32" s="39">
        <f>IFERROR(VLOOKUP(Fellowes_Consumiveis9[[#This Row],[Código]],Venda_mes[],2,FALSE),0)</f>
        <v>0</v>
      </c>
      <c r="T32" s="44" t="str">
        <f>IFERROR(Fellowes_Consumiveis9[[#This Row],[V. No mes]]/Fellowes_Consumiveis9[[#This Row],[Proj. de V. No mes]],"")</f>
        <v/>
      </c>
      <c r="U3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2" s="39">
        <f>IFERROR(VLOOKUP(Fellowes_Consumiveis9[[#This Row],[Código]],Venda_3meses[],2,FALSE),0)</f>
        <v>0</v>
      </c>
      <c r="W32" s="44" t="str">
        <f>IFERROR(Fellowes_Consumiveis9[[#This Row],[V. 3 meses]]/Fellowes_Consumiveis9[[#This Row],[Proj. de V. 3 meses]],"")</f>
        <v/>
      </c>
      <c r="X3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2" s="39">
        <f>IFERROR(VLOOKUP(Fellowes_Consumiveis9[[#This Row],[Código]],Venda_12meses[],2,FALSE),0)</f>
        <v>0</v>
      </c>
      <c r="Z32" s="44" t="str">
        <f>IFERROR(Fellowes_Consumiveis9[[#This Row],[V. 12 meses]]/Fellowes_Consumiveis9[[#This Row],[Proj. de V. 12 meses]],"")</f>
        <v/>
      </c>
      <c r="AA32" s="22">
        <v>5346109</v>
      </c>
    </row>
    <row r="33" spans="1:27" x14ac:dyDescent="0.25">
      <c r="A33" s="22" t="str">
        <f>VLOOKUP(Fellowes_Consumiveis9[[#This Row],[Código]],BD_Produto[#All],7,FALSE)</f>
        <v>Componente</v>
      </c>
      <c r="B33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3" s="23">
        <v>33062065027</v>
      </c>
      <c r="D33" s="22" t="s">
        <v>1838</v>
      </c>
      <c r="E33" s="22" t="str">
        <f>VLOOKUP(Fellowes_Consumiveis9[[#This Row],[Código]],BD_Produto[],3,FALSE)</f>
        <v>Componentes</v>
      </c>
      <c r="F33" s="22" t="str">
        <f>VLOOKUP(Fellowes_Consumiveis9[[#This Row],[Código]],BD_Produto[],4,FALSE)</f>
        <v>Fragmentadora</v>
      </c>
      <c r="G33" s="24"/>
      <c r="H33" s="25"/>
      <c r="I33" s="22"/>
      <c r="J33" s="24"/>
      <c r="K33" s="24" t="str">
        <f>IFERROR(VLOOKUP(Fellowes_Consumiveis9[[#This Row],[Código]],Importação!P:R,3,FALSE),"")</f>
        <v/>
      </c>
      <c r="L33" s="24">
        <f>IFERROR(VLOOKUP(Fellowes_Consumiveis9[[#This Row],[Código]],Saldo[],3,FALSE),0)</f>
        <v>6</v>
      </c>
      <c r="M33" s="24">
        <f>SUM(Fellowes_Consumiveis9[[#This Row],[Produção]:[Estoque]])</f>
        <v>6</v>
      </c>
      <c r="N33" s="24" t="str">
        <f>IFERROR(Fellowes_Consumiveis9[[#This Row],[Estoque+Importação]]/Fellowes_Consumiveis9[[#This Row],[Proj. de V. No prox. mes]],"Sem Projeção")</f>
        <v>Sem Projeção</v>
      </c>
      <c r="O3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33" s="75">
        <f>VLOOKUP(Fellowes_Consumiveis9[[#This Row],[Código]],Projeção[#All],15,FALSE)</f>
        <v>0</v>
      </c>
      <c r="R33" s="39">
        <f>VLOOKUP(Fellowes_Consumiveis9[[#This Row],[Código]],Projeção[#All],14,FALSE)</f>
        <v>0</v>
      </c>
      <c r="S33" s="39">
        <f>IFERROR(VLOOKUP(Fellowes_Consumiveis9[[#This Row],[Código]],Venda_mes[],2,FALSE),0)</f>
        <v>0</v>
      </c>
      <c r="T33" s="44" t="str">
        <f>IFERROR(Fellowes_Consumiveis9[[#This Row],[V. No mes]]/Fellowes_Consumiveis9[[#This Row],[Proj. de V. No mes]],"")</f>
        <v/>
      </c>
      <c r="U3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3" s="39">
        <f>IFERROR(VLOOKUP(Fellowes_Consumiveis9[[#This Row],[Código]],Venda_3meses[],2,FALSE),0)</f>
        <v>0</v>
      </c>
      <c r="W33" s="44" t="str">
        <f>IFERROR(Fellowes_Consumiveis9[[#This Row],[V. 3 meses]]/Fellowes_Consumiveis9[[#This Row],[Proj. de V. 3 meses]],"")</f>
        <v/>
      </c>
      <c r="X3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3" s="39">
        <f>IFERROR(VLOOKUP(Fellowes_Consumiveis9[[#This Row],[Código]],Venda_12meses[],2,FALSE),0)</f>
        <v>0</v>
      </c>
      <c r="Z33" s="44" t="str">
        <f>IFERROR(Fellowes_Consumiveis9[[#This Row],[V. 12 meses]]/Fellowes_Consumiveis9[[#This Row],[Proj. de V. 12 meses]],"")</f>
        <v/>
      </c>
      <c r="AA33" s="22">
        <v>5346908</v>
      </c>
    </row>
    <row r="34" spans="1:27" x14ac:dyDescent="0.25">
      <c r="A34" s="22" t="str">
        <f>VLOOKUP(Fellowes_Consumiveis9[[#This Row],[Código]],BD_Produto[#All],7,FALSE)</f>
        <v>Componente</v>
      </c>
      <c r="B34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4" s="23">
        <v>33062065024</v>
      </c>
      <c r="D34" s="22" t="s">
        <v>1840</v>
      </c>
      <c r="E34" s="22" t="str">
        <f>VLOOKUP(Fellowes_Consumiveis9[[#This Row],[Código]],BD_Produto[],3,FALSE)</f>
        <v>Componentes</v>
      </c>
      <c r="F34" s="22" t="str">
        <f>VLOOKUP(Fellowes_Consumiveis9[[#This Row],[Código]],BD_Produto[],4,FALSE)</f>
        <v>Fragmentadora</v>
      </c>
      <c r="G34" s="24"/>
      <c r="H34" s="25"/>
      <c r="I34" s="22"/>
      <c r="J34" s="24"/>
      <c r="K34" s="24" t="str">
        <f>IFERROR(VLOOKUP(Fellowes_Consumiveis9[[#This Row],[Código]],Importação!P:R,3,FALSE),"")</f>
        <v/>
      </c>
      <c r="L34" s="24">
        <f>IFERROR(VLOOKUP(Fellowes_Consumiveis9[[#This Row],[Código]],Saldo[],3,FALSE),0)</f>
        <v>6</v>
      </c>
      <c r="M34" s="24">
        <f>SUM(Fellowes_Consumiveis9[[#This Row],[Produção]:[Estoque]])</f>
        <v>6</v>
      </c>
      <c r="N34" s="24" t="str">
        <f>IFERROR(Fellowes_Consumiveis9[[#This Row],[Estoque+Importação]]/Fellowes_Consumiveis9[[#This Row],[Proj. de V. No prox. mes]],"Sem Projeção")</f>
        <v>Sem Projeção</v>
      </c>
      <c r="O3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34" s="75">
        <f>VLOOKUP(Fellowes_Consumiveis9[[#This Row],[Código]],Projeção[#All],15,FALSE)</f>
        <v>0</v>
      </c>
      <c r="R34" s="39">
        <f>VLOOKUP(Fellowes_Consumiveis9[[#This Row],[Código]],Projeção[#All],14,FALSE)</f>
        <v>0</v>
      </c>
      <c r="S34" s="39">
        <f>IFERROR(VLOOKUP(Fellowes_Consumiveis9[[#This Row],[Código]],Venda_mes[],2,FALSE),0)</f>
        <v>0</v>
      </c>
      <c r="T34" s="44" t="str">
        <f>IFERROR(Fellowes_Consumiveis9[[#This Row],[V. No mes]]/Fellowes_Consumiveis9[[#This Row],[Proj. de V. No mes]],"")</f>
        <v/>
      </c>
      <c r="U3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4" s="39">
        <f>IFERROR(VLOOKUP(Fellowes_Consumiveis9[[#This Row],[Código]],Venda_3meses[],2,FALSE),0)</f>
        <v>0</v>
      </c>
      <c r="W34" s="44" t="str">
        <f>IFERROR(Fellowes_Consumiveis9[[#This Row],[V. 3 meses]]/Fellowes_Consumiveis9[[#This Row],[Proj. de V. 3 meses]],"")</f>
        <v/>
      </c>
      <c r="X3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4" s="39">
        <f>IFERROR(VLOOKUP(Fellowes_Consumiveis9[[#This Row],[Código]],Venda_12meses[],2,FALSE),0)</f>
        <v>0</v>
      </c>
      <c r="Z34" s="44" t="str">
        <f>IFERROR(Fellowes_Consumiveis9[[#This Row],[V. 12 meses]]/Fellowes_Consumiveis9[[#This Row],[Proj. de V. 12 meses]],"")</f>
        <v/>
      </c>
      <c r="AA34" s="22">
        <v>5346605</v>
      </c>
    </row>
    <row r="35" spans="1:27" x14ac:dyDescent="0.25">
      <c r="A35" s="22" t="str">
        <f>VLOOKUP(Fellowes_Consumiveis9[[#This Row],[Código]],BD_Produto[#All],7,FALSE)</f>
        <v>Componente</v>
      </c>
      <c r="B35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5" s="23">
        <v>33062065025</v>
      </c>
      <c r="D35" s="22" t="s">
        <v>1842</v>
      </c>
      <c r="E35" s="22" t="str">
        <f>VLOOKUP(Fellowes_Consumiveis9[[#This Row],[Código]],BD_Produto[],3,FALSE)</f>
        <v>Componentes</v>
      </c>
      <c r="F35" s="22" t="str">
        <f>VLOOKUP(Fellowes_Consumiveis9[[#This Row],[Código]],BD_Produto[],4,FALSE)</f>
        <v>Fragmentadora</v>
      </c>
      <c r="G35" s="24"/>
      <c r="H35" s="25"/>
      <c r="I35" s="22"/>
      <c r="J35" s="24"/>
      <c r="K35" s="24" t="str">
        <f>IFERROR(VLOOKUP(Fellowes_Consumiveis9[[#This Row],[Código]],Importação!P:R,3,FALSE),"")</f>
        <v/>
      </c>
      <c r="L35" s="24">
        <f>IFERROR(VLOOKUP(Fellowes_Consumiveis9[[#This Row],[Código]],Saldo[],3,FALSE),0)</f>
        <v>6</v>
      </c>
      <c r="M35" s="24">
        <f>SUM(Fellowes_Consumiveis9[[#This Row],[Produção]:[Estoque]])</f>
        <v>6</v>
      </c>
      <c r="N35" s="24" t="str">
        <f>IFERROR(Fellowes_Consumiveis9[[#This Row],[Estoque+Importação]]/Fellowes_Consumiveis9[[#This Row],[Proj. de V. No prox. mes]],"Sem Projeção")</f>
        <v>Sem Projeção</v>
      </c>
      <c r="O3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35" s="75">
        <f>VLOOKUP(Fellowes_Consumiveis9[[#This Row],[Código]],Projeção[#All],15,FALSE)</f>
        <v>0</v>
      </c>
      <c r="R35" s="39">
        <f>VLOOKUP(Fellowes_Consumiveis9[[#This Row],[Código]],Projeção[#All],14,FALSE)</f>
        <v>0</v>
      </c>
      <c r="S35" s="39">
        <f>IFERROR(VLOOKUP(Fellowes_Consumiveis9[[#This Row],[Código]],Venda_mes[],2,FALSE),0)</f>
        <v>0</v>
      </c>
      <c r="T35" s="44" t="str">
        <f>IFERROR(Fellowes_Consumiveis9[[#This Row],[V. No mes]]/Fellowes_Consumiveis9[[#This Row],[Proj. de V. No mes]],"")</f>
        <v/>
      </c>
      <c r="U3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5" s="39">
        <f>IFERROR(VLOOKUP(Fellowes_Consumiveis9[[#This Row],[Código]],Venda_3meses[],2,FALSE),0)</f>
        <v>0</v>
      </c>
      <c r="W35" s="44" t="str">
        <f>IFERROR(Fellowes_Consumiveis9[[#This Row],[V. 3 meses]]/Fellowes_Consumiveis9[[#This Row],[Proj. de V. 3 meses]],"")</f>
        <v/>
      </c>
      <c r="X3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5" s="39">
        <f>IFERROR(VLOOKUP(Fellowes_Consumiveis9[[#This Row],[Código]],Venda_12meses[],2,FALSE),0)</f>
        <v>0</v>
      </c>
      <c r="Z35" s="44" t="str">
        <f>IFERROR(Fellowes_Consumiveis9[[#This Row],[V. 12 meses]]/Fellowes_Consumiveis9[[#This Row],[Proj. de V. 12 meses]],"")</f>
        <v/>
      </c>
      <c r="AA35" s="22">
        <v>5347308</v>
      </c>
    </row>
    <row r="36" spans="1:27" x14ac:dyDescent="0.25">
      <c r="A36" s="22" t="str">
        <f>VLOOKUP(Fellowes_Consumiveis9[[#This Row],[Código]],BD_Produto[#All],7,FALSE)</f>
        <v>Componente</v>
      </c>
      <c r="B36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6" s="23">
        <v>33062065026</v>
      </c>
      <c r="D36" s="22" t="s">
        <v>1844</v>
      </c>
      <c r="E36" s="22" t="str">
        <f>VLOOKUP(Fellowes_Consumiveis9[[#This Row],[Código]],BD_Produto[],3,FALSE)</f>
        <v>Componentes</v>
      </c>
      <c r="F36" s="22" t="str">
        <f>VLOOKUP(Fellowes_Consumiveis9[[#This Row],[Código]],BD_Produto[],4,FALSE)</f>
        <v>Fragmentadora</v>
      </c>
      <c r="G36" s="24"/>
      <c r="H36" s="25"/>
      <c r="I36" s="22"/>
      <c r="J36" s="24"/>
      <c r="K36" s="24" t="str">
        <f>IFERROR(VLOOKUP(Fellowes_Consumiveis9[[#This Row],[Código]],Importação!P:R,3,FALSE),"")</f>
        <v/>
      </c>
      <c r="L36" s="24">
        <f>IFERROR(VLOOKUP(Fellowes_Consumiveis9[[#This Row],[Código]],Saldo[],3,FALSE),0)</f>
        <v>6</v>
      </c>
      <c r="M36" s="24">
        <f>SUM(Fellowes_Consumiveis9[[#This Row],[Produção]:[Estoque]])</f>
        <v>6</v>
      </c>
      <c r="N36" s="24" t="str">
        <f>IFERROR(Fellowes_Consumiveis9[[#This Row],[Estoque+Importação]]/Fellowes_Consumiveis9[[#This Row],[Proj. de V. No prox. mes]],"Sem Projeção")</f>
        <v>Sem Projeção</v>
      </c>
      <c r="O3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36" s="75">
        <f>VLOOKUP(Fellowes_Consumiveis9[[#This Row],[Código]],Projeção[#All],15,FALSE)</f>
        <v>0</v>
      </c>
      <c r="R36" s="39">
        <f>VLOOKUP(Fellowes_Consumiveis9[[#This Row],[Código]],Projeção[#All],14,FALSE)</f>
        <v>0</v>
      </c>
      <c r="S36" s="39">
        <f>IFERROR(VLOOKUP(Fellowes_Consumiveis9[[#This Row],[Código]],Venda_mes[],2,FALSE),0)</f>
        <v>0</v>
      </c>
      <c r="T36" s="44" t="str">
        <f>IFERROR(Fellowes_Consumiveis9[[#This Row],[V. No mes]]/Fellowes_Consumiveis9[[#This Row],[Proj. de V. No mes]],"")</f>
        <v/>
      </c>
      <c r="U3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6" s="39">
        <f>IFERROR(VLOOKUP(Fellowes_Consumiveis9[[#This Row],[Código]],Venda_3meses[],2,FALSE),0)</f>
        <v>0</v>
      </c>
      <c r="W36" s="44" t="str">
        <f>IFERROR(Fellowes_Consumiveis9[[#This Row],[V. 3 meses]]/Fellowes_Consumiveis9[[#This Row],[Proj. de V. 3 meses]],"")</f>
        <v/>
      </c>
      <c r="X3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6" s="39">
        <f>IFERROR(VLOOKUP(Fellowes_Consumiveis9[[#This Row],[Código]],Venda_12meses[],2,FALSE),0)</f>
        <v>0</v>
      </c>
      <c r="Z36" s="44" t="str">
        <f>IFERROR(Fellowes_Consumiveis9[[#This Row],[V. 12 meses]]/Fellowes_Consumiveis9[[#This Row],[Proj. de V. 12 meses]],"")</f>
        <v/>
      </c>
      <c r="AA36" s="22">
        <v>5351003</v>
      </c>
    </row>
    <row r="37" spans="1:27" x14ac:dyDescent="0.25">
      <c r="A37" s="22" t="str">
        <f>VLOOKUP(Fellowes_Consumiveis9[[#This Row],[Código]],BD_Produto[#All],7,FALSE)</f>
        <v>Componente</v>
      </c>
      <c r="B37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7" s="23">
        <v>33062065030</v>
      </c>
      <c r="D37" s="22" t="s">
        <v>1846</v>
      </c>
      <c r="E37" s="22" t="str">
        <f>VLOOKUP(Fellowes_Consumiveis9[[#This Row],[Código]],BD_Produto[],3,FALSE)</f>
        <v>Componentes</v>
      </c>
      <c r="F37" s="22" t="str">
        <f>VLOOKUP(Fellowes_Consumiveis9[[#This Row],[Código]],BD_Produto[],4,FALSE)</f>
        <v>Fragmentadora</v>
      </c>
      <c r="G37" s="24"/>
      <c r="H37" s="25"/>
      <c r="I37" s="22"/>
      <c r="J37" s="24"/>
      <c r="K37" s="24" t="str">
        <f>IFERROR(VLOOKUP(Fellowes_Consumiveis9[[#This Row],[Código]],Importação!P:R,3,FALSE),"")</f>
        <v/>
      </c>
      <c r="L37" s="24">
        <f>IFERROR(VLOOKUP(Fellowes_Consumiveis9[[#This Row],[Código]],Saldo[],3,FALSE),0)</f>
        <v>3</v>
      </c>
      <c r="M37" s="24">
        <f>SUM(Fellowes_Consumiveis9[[#This Row],[Produção]:[Estoque]])</f>
        <v>3</v>
      </c>
      <c r="N37" s="24" t="str">
        <f>IFERROR(Fellowes_Consumiveis9[[#This Row],[Estoque+Importação]]/Fellowes_Consumiveis9[[#This Row],[Proj. de V. No prox. mes]],"Sem Projeção")</f>
        <v>Sem Projeção</v>
      </c>
      <c r="O3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37" s="75">
        <f>VLOOKUP(Fellowes_Consumiveis9[[#This Row],[Código]],Projeção[#All],15,FALSE)</f>
        <v>0</v>
      </c>
      <c r="R37" s="39">
        <f>VLOOKUP(Fellowes_Consumiveis9[[#This Row],[Código]],Projeção[#All],14,FALSE)</f>
        <v>0</v>
      </c>
      <c r="S37" s="39">
        <f>IFERROR(VLOOKUP(Fellowes_Consumiveis9[[#This Row],[Código]],Venda_mes[],2,FALSE),0)</f>
        <v>0</v>
      </c>
      <c r="T37" s="44" t="str">
        <f>IFERROR(Fellowes_Consumiveis9[[#This Row],[V. No mes]]/Fellowes_Consumiveis9[[#This Row],[Proj. de V. No mes]],"")</f>
        <v/>
      </c>
      <c r="U3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7" s="39">
        <f>IFERROR(VLOOKUP(Fellowes_Consumiveis9[[#This Row],[Código]],Venda_3meses[],2,FALSE),0)</f>
        <v>0</v>
      </c>
      <c r="W37" s="44" t="str">
        <f>IFERROR(Fellowes_Consumiveis9[[#This Row],[V. 3 meses]]/Fellowes_Consumiveis9[[#This Row],[Proj. de V. 3 meses]],"")</f>
        <v/>
      </c>
      <c r="X3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7" s="39">
        <f>IFERROR(VLOOKUP(Fellowes_Consumiveis9[[#This Row],[Código]],Venda_12meses[],2,FALSE),0)</f>
        <v>0</v>
      </c>
      <c r="Z37" s="44" t="str">
        <f>IFERROR(Fellowes_Consumiveis9[[#This Row],[V. 12 meses]]/Fellowes_Consumiveis9[[#This Row],[Proj. de V. 12 meses]],"")</f>
        <v/>
      </c>
      <c r="AA37" s="22">
        <v>53218</v>
      </c>
    </row>
    <row r="38" spans="1:27" x14ac:dyDescent="0.25">
      <c r="A38" s="22" t="str">
        <f>VLOOKUP(Fellowes_Consumiveis9[[#This Row],[Código]],BD_Produto[#All],7,FALSE)</f>
        <v>Componente</v>
      </c>
      <c r="B38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8" s="23">
        <v>33062065031</v>
      </c>
      <c r="D38" s="22" t="s">
        <v>1848</v>
      </c>
      <c r="E38" s="22" t="str">
        <f>VLOOKUP(Fellowes_Consumiveis9[[#This Row],[Código]],BD_Produto[],3,FALSE)</f>
        <v>Componentes</v>
      </c>
      <c r="F38" s="22" t="str">
        <f>VLOOKUP(Fellowes_Consumiveis9[[#This Row],[Código]],BD_Produto[],4,FALSE)</f>
        <v>Fragmentadora</v>
      </c>
      <c r="G38" s="24"/>
      <c r="H38" s="25"/>
      <c r="I38" s="22"/>
      <c r="J38" s="24"/>
      <c r="K38" s="24" t="str">
        <f>IFERROR(VLOOKUP(Fellowes_Consumiveis9[[#This Row],[Código]],Importação!P:R,3,FALSE),"")</f>
        <v/>
      </c>
      <c r="L38" s="24">
        <f>IFERROR(VLOOKUP(Fellowes_Consumiveis9[[#This Row],[Código]],Saldo[],3,FALSE),0)</f>
        <v>3</v>
      </c>
      <c r="M38" s="24">
        <f>SUM(Fellowes_Consumiveis9[[#This Row],[Produção]:[Estoque]])</f>
        <v>3</v>
      </c>
      <c r="N38" s="24" t="str">
        <f>IFERROR(Fellowes_Consumiveis9[[#This Row],[Estoque+Importação]]/Fellowes_Consumiveis9[[#This Row],[Proj. de V. No prox. mes]],"Sem Projeção")</f>
        <v>Sem Projeção</v>
      </c>
      <c r="O3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38" s="75">
        <f>VLOOKUP(Fellowes_Consumiveis9[[#This Row],[Código]],Projeção[#All],15,FALSE)</f>
        <v>0</v>
      </c>
      <c r="R38" s="39">
        <f>VLOOKUP(Fellowes_Consumiveis9[[#This Row],[Código]],Projeção[#All],14,FALSE)</f>
        <v>0</v>
      </c>
      <c r="S38" s="39">
        <f>IFERROR(VLOOKUP(Fellowes_Consumiveis9[[#This Row],[Código]],Venda_mes[],2,FALSE),0)</f>
        <v>0</v>
      </c>
      <c r="T38" s="44" t="str">
        <f>IFERROR(Fellowes_Consumiveis9[[#This Row],[V. No mes]]/Fellowes_Consumiveis9[[#This Row],[Proj. de V. No mes]],"")</f>
        <v/>
      </c>
      <c r="U3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8" s="39">
        <f>IFERROR(VLOOKUP(Fellowes_Consumiveis9[[#This Row],[Código]],Venda_3meses[],2,FALSE),0)</f>
        <v>0</v>
      </c>
      <c r="W38" s="44" t="str">
        <f>IFERROR(Fellowes_Consumiveis9[[#This Row],[V. 3 meses]]/Fellowes_Consumiveis9[[#This Row],[Proj. de V. 3 meses]],"")</f>
        <v/>
      </c>
      <c r="X3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8" s="39">
        <f>IFERROR(VLOOKUP(Fellowes_Consumiveis9[[#This Row],[Código]],Venda_12meses[],2,FALSE),0)</f>
        <v>0</v>
      </c>
      <c r="Z38" s="44" t="str">
        <f>IFERROR(Fellowes_Consumiveis9[[#This Row],[V. 12 meses]]/Fellowes_Consumiveis9[[#This Row],[Proj. de V. 12 meses]],"")</f>
        <v/>
      </c>
      <c r="AA38" s="22">
        <v>5345407</v>
      </c>
    </row>
    <row r="39" spans="1:27" x14ac:dyDescent="0.25">
      <c r="A39" s="22" t="str">
        <f>VLOOKUP(Fellowes_Consumiveis9[[#This Row],[Código]],BD_Produto[#All],7,FALSE)</f>
        <v>Componente</v>
      </c>
      <c r="B39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39" s="23">
        <v>33062065032</v>
      </c>
      <c r="D39" s="22" t="s">
        <v>1850</v>
      </c>
      <c r="E39" s="22" t="str">
        <f>VLOOKUP(Fellowes_Consumiveis9[[#This Row],[Código]],BD_Produto[],3,FALSE)</f>
        <v>Componentes</v>
      </c>
      <c r="F39" s="22" t="str">
        <f>VLOOKUP(Fellowes_Consumiveis9[[#This Row],[Código]],BD_Produto[],4,FALSE)</f>
        <v>Fragmentadora</v>
      </c>
      <c r="G39" s="24"/>
      <c r="H39" s="25"/>
      <c r="I39" s="22"/>
      <c r="J39" s="24"/>
      <c r="K39" s="24" t="str">
        <f>IFERROR(VLOOKUP(Fellowes_Consumiveis9[[#This Row],[Código]],Importação!P:R,3,FALSE),"")</f>
        <v/>
      </c>
      <c r="L39" s="24">
        <f>IFERROR(VLOOKUP(Fellowes_Consumiveis9[[#This Row],[Código]],Saldo[],3,FALSE),0)</f>
        <v>3</v>
      </c>
      <c r="M39" s="24">
        <f>SUM(Fellowes_Consumiveis9[[#This Row],[Produção]:[Estoque]])</f>
        <v>3</v>
      </c>
      <c r="N39" s="24" t="str">
        <f>IFERROR(Fellowes_Consumiveis9[[#This Row],[Estoque+Importação]]/Fellowes_Consumiveis9[[#This Row],[Proj. de V. No prox. mes]],"Sem Projeção")</f>
        <v>Sem Projeção</v>
      </c>
      <c r="O3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3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39" s="75">
        <f>VLOOKUP(Fellowes_Consumiveis9[[#This Row],[Código]],Projeção[#All],15,FALSE)</f>
        <v>0</v>
      </c>
      <c r="R39" s="39">
        <f>VLOOKUP(Fellowes_Consumiveis9[[#This Row],[Código]],Projeção[#All],14,FALSE)</f>
        <v>0</v>
      </c>
      <c r="S39" s="39">
        <f>IFERROR(VLOOKUP(Fellowes_Consumiveis9[[#This Row],[Código]],Venda_mes[],2,FALSE),0)</f>
        <v>0</v>
      </c>
      <c r="T39" s="44" t="str">
        <f>IFERROR(Fellowes_Consumiveis9[[#This Row],[V. No mes]]/Fellowes_Consumiveis9[[#This Row],[Proj. de V. No mes]],"")</f>
        <v/>
      </c>
      <c r="U3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39" s="39">
        <f>IFERROR(VLOOKUP(Fellowes_Consumiveis9[[#This Row],[Código]],Venda_3meses[],2,FALSE),0)</f>
        <v>0</v>
      </c>
      <c r="W39" s="44" t="str">
        <f>IFERROR(Fellowes_Consumiveis9[[#This Row],[V. 3 meses]]/Fellowes_Consumiveis9[[#This Row],[Proj. de V. 3 meses]],"")</f>
        <v/>
      </c>
      <c r="X3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39" s="39">
        <f>IFERROR(VLOOKUP(Fellowes_Consumiveis9[[#This Row],[Código]],Venda_12meses[],2,FALSE),0)</f>
        <v>0</v>
      </c>
      <c r="Z39" s="44" t="str">
        <f>IFERROR(Fellowes_Consumiveis9[[#This Row],[V. 12 meses]]/Fellowes_Consumiveis9[[#This Row],[Proj. de V. 12 meses]],"")</f>
        <v/>
      </c>
      <c r="AA39" s="22">
        <v>5345806</v>
      </c>
    </row>
    <row r="40" spans="1:27" x14ac:dyDescent="0.25">
      <c r="A40" s="22" t="str">
        <f>VLOOKUP(Fellowes_Consumiveis9[[#This Row],[Código]],BD_Produto[#All],7,FALSE)</f>
        <v>Componente</v>
      </c>
      <c r="B40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0" s="23">
        <v>33062065033</v>
      </c>
      <c r="D40" s="22" t="s">
        <v>1852</v>
      </c>
      <c r="E40" s="22" t="str">
        <f>VLOOKUP(Fellowes_Consumiveis9[[#This Row],[Código]],BD_Produto[],3,FALSE)</f>
        <v>Componentes</v>
      </c>
      <c r="F40" s="22" t="str">
        <f>VLOOKUP(Fellowes_Consumiveis9[[#This Row],[Código]],BD_Produto[],4,FALSE)</f>
        <v>Fragmentadora</v>
      </c>
      <c r="G40" s="24"/>
      <c r="H40" s="25"/>
      <c r="I40" s="22"/>
      <c r="J40" s="24"/>
      <c r="K40" s="24" t="str">
        <f>IFERROR(VLOOKUP(Fellowes_Consumiveis9[[#This Row],[Código]],Importação!P:R,3,FALSE),"")</f>
        <v/>
      </c>
      <c r="L40" s="24">
        <f>IFERROR(VLOOKUP(Fellowes_Consumiveis9[[#This Row],[Código]],Saldo[],3,FALSE),0)</f>
        <v>3</v>
      </c>
      <c r="M40" s="24">
        <f>SUM(Fellowes_Consumiveis9[[#This Row],[Produção]:[Estoque]])</f>
        <v>3</v>
      </c>
      <c r="N40" s="24" t="str">
        <f>IFERROR(Fellowes_Consumiveis9[[#This Row],[Estoque+Importação]]/Fellowes_Consumiveis9[[#This Row],[Proj. de V. No prox. mes]],"Sem Projeção")</f>
        <v>Sem Projeção</v>
      </c>
      <c r="O4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40" s="75">
        <f>VLOOKUP(Fellowes_Consumiveis9[[#This Row],[Código]],Projeção[#All],15,FALSE)</f>
        <v>0</v>
      </c>
      <c r="R40" s="39">
        <f>VLOOKUP(Fellowes_Consumiveis9[[#This Row],[Código]],Projeção[#All],14,FALSE)</f>
        <v>0</v>
      </c>
      <c r="S40" s="39">
        <f>IFERROR(VLOOKUP(Fellowes_Consumiveis9[[#This Row],[Código]],Venda_mes[],2,FALSE),0)</f>
        <v>0</v>
      </c>
      <c r="T40" s="44" t="str">
        <f>IFERROR(Fellowes_Consumiveis9[[#This Row],[V. No mes]]/Fellowes_Consumiveis9[[#This Row],[Proj. de V. No mes]],"")</f>
        <v/>
      </c>
      <c r="U4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0" s="39">
        <f>IFERROR(VLOOKUP(Fellowes_Consumiveis9[[#This Row],[Código]],Venda_3meses[],2,FALSE),0)</f>
        <v>0</v>
      </c>
      <c r="W40" s="44" t="str">
        <f>IFERROR(Fellowes_Consumiveis9[[#This Row],[V. 3 meses]]/Fellowes_Consumiveis9[[#This Row],[Proj. de V. 3 meses]],"")</f>
        <v/>
      </c>
      <c r="X4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0" s="39">
        <f>IFERROR(VLOOKUP(Fellowes_Consumiveis9[[#This Row],[Código]],Venda_12meses[],2,FALSE),0)</f>
        <v>0</v>
      </c>
      <c r="Z40" s="44" t="str">
        <f>IFERROR(Fellowes_Consumiveis9[[#This Row],[V. 12 meses]]/Fellowes_Consumiveis9[[#This Row],[Proj. de V. 12 meses]],"")</f>
        <v/>
      </c>
      <c r="AA40" s="22">
        <v>5307102</v>
      </c>
    </row>
    <row r="41" spans="1:27" x14ac:dyDescent="0.25">
      <c r="A41" s="22" t="str">
        <f>VLOOKUP(Fellowes_Consumiveis9[[#This Row],[Código]],BD_Produto[#All],7,FALSE)</f>
        <v>Componente</v>
      </c>
      <c r="B41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1" s="23">
        <v>33062065029</v>
      </c>
      <c r="D41" s="22" t="s">
        <v>1854</v>
      </c>
      <c r="E41" s="22" t="str">
        <f>VLOOKUP(Fellowes_Consumiveis9[[#This Row],[Código]],BD_Produto[],3,FALSE)</f>
        <v>Componentes</v>
      </c>
      <c r="F41" s="22" t="str">
        <f>VLOOKUP(Fellowes_Consumiveis9[[#This Row],[Código]],BD_Produto[],4,FALSE)</f>
        <v>Fragmentadora</v>
      </c>
      <c r="G41" s="24"/>
      <c r="H41" s="25"/>
      <c r="I41" s="22"/>
      <c r="J41" s="24"/>
      <c r="K41" s="24" t="str">
        <f>IFERROR(VLOOKUP(Fellowes_Consumiveis9[[#This Row],[Código]],Importação!P:R,3,FALSE),"")</f>
        <v/>
      </c>
      <c r="L41" s="24">
        <f>IFERROR(VLOOKUP(Fellowes_Consumiveis9[[#This Row],[Código]],Saldo[],3,FALSE),0)</f>
        <v>4</v>
      </c>
      <c r="M41" s="24">
        <f>SUM(Fellowes_Consumiveis9[[#This Row],[Produção]:[Estoque]])</f>
        <v>4</v>
      </c>
      <c r="N41" s="24" t="str">
        <f>IFERROR(Fellowes_Consumiveis9[[#This Row],[Estoque+Importação]]/Fellowes_Consumiveis9[[#This Row],[Proj. de V. No prox. mes]],"Sem Projeção")</f>
        <v>Sem Projeção</v>
      </c>
      <c r="O4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41" s="75">
        <f>VLOOKUP(Fellowes_Consumiveis9[[#This Row],[Código]],Projeção[#All],15,FALSE)</f>
        <v>0</v>
      </c>
      <c r="R41" s="39">
        <f>VLOOKUP(Fellowes_Consumiveis9[[#This Row],[Código]],Projeção[#All],14,FALSE)</f>
        <v>0</v>
      </c>
      <c r="S41" s="39">
        <f>IFERROR(VLOOKUP(Fellowes_Consumiveis9[[#This Row],[Código]],Venda_mes[],2,FALSE),0)</f>
        <v>0</v>
      </c>
      <c r="T41" s="44" t="str">
        <f>IFERROR(Fellowes_Consumiveis9[[#This Row],[V. No mes]]/Fellowes_Consumiveis9[[#This Row],[Proj. de V. No mes]],"")</f>
        <v/>
      </c>
      <c r="U4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1" s="39">
        <f>IFERROR(VLOOKUP(Fellowes_Consumiveis9[[#This Row],[Código]],Venda_3meses[],2,FALSE),0)</f>
        <v>0</v>
      </c>
      <c r="W41" s="44" t="str">
        <f>IFERROR(Fellowes_Consumiveis9[[#This Row],[V. 3 meses]]/Fellowes_Consumiveis9[[#This Row],[Proj. de V. 3 meses]],"")</f>
        <v/>
      </c>
      <c r="X4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1" s="39">
        <f>IFERROR(VLOOKUP(Fellowes_Consumiveis9[[#This Row],[Código]],Venda_12meses[],2,FALSE),0)</f>
        <v>0</v>
      </c>
      <c r="Z41" s="44" t="str">
        <f>IFERROR(Fellowes_Consumiveis9[[#This Row],[V. 12 meses]]/Fellowes_Consumiveis9[[#This Row],[Proj. de V. 12 meses]],"")</f>
        <v/>
      </c>
      <c r="AA41" s="22">
        <v>5345006</v>
      </c>
    </row>
    <row r="42" spans="1:27" x14ac:dyDescent="0.25">
      <c r="A42" s="22" t="str">
        <f>VLOOKUP(Fellowes_Consumiveis9[[#This Row],[Código]],BD_Produto[#All],7,FALSE)</f>
        <v>Componente</v>
      </c>
      <c r="B42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2" s="23">
        <v>33062065036</v>
      </c>
      <c r="D42" s="22" t="s">
        <v>383</v>
      </c>
      <c r="E42" s="22" t="str">
        <f>VLOOKUP(Fellowes_Consumiveis9[[#This Row],[Código]],BD_Produto[],3,FALSE)</f>
        <v>Componentes</v>
      </c>
      <c r="F42" s="22" t="str">
        <f>VLOOKUP(Fellowes_Consumiveis9[[#This Row],[Código]],BD_Produto[],4,FALSE)</f>
        <v>Fragmentadora</v>
      </c>
      <c r="G42" s="24"/>
      <c r="H42" s="25"/>
      <c r="I42" s="22"/>
      <c r="J42" s="24"/>
      <c r="K42" s="24" t="str">
        <f>IFERROR(VLOOKUP(Fellowes_Consumiveis9[[#This Row],[Código]],Importação!P:R,3,FALSE),"")</f>
        <v/>
      </c>
      <c r="L42" s="24">
        <f>IFERROR(VLOOKUP(Fellowes_Consumiveis9[[#This Row],[Código]],Saldo[],3,FALSE),0)</f>
        <v>0</v>
      </c>
      <c r="M42" s="24">
        <f>SUM(Fellowes_Consumiveis9[[#This Row],[Produção]:[Estoque]])</f>
        <v>0</v>
      </c>
      <c r="N42" s="24">
        <f>IFERROR(Fellowes_Consumiveis9[[#This Row],[Estoque+Importação]]/Fellowes_Consumiveis9[[#This Row],[Proj. de V. No prox. mes]],"Sem Projeção")</f>
        <v>0</v>
      </c>
      <c r="O4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3.9999999999999996</v>
      </c>
      <c r="P4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3.9999999999999996</v>
      </c>
      <c r="Q42" s="75">
        <f>VLOOKUP(Fellowes_Consumiveis9[[#This Row],[Código]],Projeção[#All],15,FALSE)</f>
        <v>0.39999999999999997</v>
      </c>
      <c r="R42" s="39">
        <f>VLOOKUP(Fellowes_Consumiveis9[[#This Row],[Código]],Projeção[#All],14,FALSE)</f>
        <v>0</v>
      </c>
      <c r="S42" s="39">
        <f>IFERROR(VLOOKUP(Fellowes_Consumiveis9[[#This Row],[Código]],Venda_mes[],2,FALSE),0)</f>
        <v>0</v>
      </c>
      <c r="T42" s="44" t="str">
        <f>IFERROR(Fellowes_Consumiveis9[[#This Row],[V. No mes]]/Fellowes_Consumiveis9[[#This Row],[Proj. de V. No mes]],"")</f>
        <v/>
      </c>
      <c r="U4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2" s="39">
        <f>IFERROR(VLOOKUP(Fellowes_Consumiveis9[[#This Row],[Código]],Venda_3meses[],2,FALSE),0)</f>
        <v>0</v>
      </c>
      <c r="W42" s="44" t="str">
        <f>IFERROR(Fellowes_Consumiveis9[[#This Row],[V. 3 meses]]/Fellowes_Consumiveis9[[#This Row],[Proj. de V. 3 meses]],"")</f>
        <v/>
      </c>
      <c r="X4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2" s="39">
        <f>IFERROR(VLOOKUP(Fellowes_Consumiveis9[[#This Row],[Código]],Venda_12meses[],2,FALSE),0)</f>
        <v>4</v>
      </c>
      <c r="Z42" s="44" t="str">
        <f>IFERROR(Fellowes_Consumiveis9[[#This Row],[V. 12 meses]]/Fellowes_Consumiveis9[[#This Row],[Proj. de V. 12 meses]],"")</f>
        <v/>
      </c>
      <c r="AA42" s="22">
        <v>5345308</v>
      </c>
    </row>
    <row r="43" spans="1:27" x14ac:dyDescent="0.25">
      <c r="A43" s="22" t="str">
        <f>VLOOKUP(Fellowes_Consumiveis9[[#This Row],[Código]],BD_Produto[#All],7,FALSE)</f>
        <v>Componente</v>
      </c>
      <c r="B43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3" s="23">
        <v>33062065037</v>
      </c>
      <c r="D43" s="22" t="s">
        <v>384</v>
      </c>
      <c r="E43" s="22" t="str">
        <f>VLOOKUP(Fellowes_Consumiveis9[[#This Row],[Código]],BD_Produto[],3,FALSE)</f>
        <v>Componentes</v>
      </c>
      <c r="F43" s="22" t="str">
        <f>VLOOKUP(Fellowes_Consumiveis9[[#This Row],[Código]],BD_Produto[],4,FALSE)</f>
        <v>Fragmentadora</v>
      </c>
      <c r="G43" s="24"/>
      <c r="H43" s="25"/>
      <c r="I43" s="22"/>
      <c r="J43" s="24"/>
      <c r="K43" s="24" t="str">
        <f>IFERROR(VLOOKUP(Fellowes_Consumiveis9[[#This Row],[Código]],Importação!P:R,3,FALSE),"")</f>
        <v/>
      </c>
      <c r="L43" s="24">
        <f>IFERROR(VLOOKUP(Fellowes_Consumiveis9[[#This Row],[Código]],Saldo[],3,FALSE),0)</f>
        <v>3</v>
      </c>
      <c r="M43" s="24">
        <f>SUM(Fellowes_Consumiveis9[[#This Row],[Produção]:[Estoque]])</f>
        <v>3</v>
      </c>
      <c r="N43" s="24">
        <f>IFERROR(Fellowes_Consumiveis9[[#This Row],[Estoque+Importação]]/Fellowes_Consumiveis9[[#This Row],[Proj. de V. No prox. mes]],"Sem Projeção")</f>
        <v>15.000000000000002</v>
      </c>
      <c r="O4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1.9999999999999998</v>
      </c>
      <c r="P4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-1.0000000000000002</v>
      </c>
      <c r="Q43" s="75">
        <f>VLOOKUP(Fellowes_Consumiveis9[[#This Row],[Código]],Projeção[#All],15,FALSE)</f>
        <v>0.19999999999999998</v>
      </c>
      <c r="R43" s="39">
        <f>VLOOKUP(Fellowes_Consumiveis9[[#This Row],[Código]],Projeção[#All],14,FALSE)</f>
        <v>0</v>
      </c>
      <c r="S43" s="39">
        <f>IFERROR(VLOOKUP(Fellowes_Consumiveis9[[#This Row],[Código]],Venda_mes[],2,FALSE),0)</f>
        <v>0</v>
      </c>
      <c r="T43" s="44" t="str">
        <f>IFERROR(Fellowes_Consumiveis9[[#This Row],[V. No mes]]/Fellowes_Consumiveis9[[#This Row],[Proj. de V. No mes]],"")</f>
        <v/>
      </c>
      <c r="U4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3" s="39">
        <f>IFERROR(VLOOKUP(Fellowes_Consumiveis9[[#This Row],[Código]],Venda_3meses[],2,FALSE),0)</f>
        <v>0</v>
      </c>
      <c r="W43" s="44" t="str">
        <f>IFERROR(Fellowes_Consumiveis9[[#This Row],[V. 3 meses]]/Fellowes_Consumiveis9[[#This Row],[Proj. de V. 3 meses]],"")</f>
        <v/>
      </c>
      <c r="X4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3" s="39">
        <f>IFERROR(VLOOKUP(Fellowes_Consumiveis9[[#This Row],[Código]],Venda_12meses[],2,FALSE),0)</f>
        <v>2</v>
      </c>
      <c r="Z43" s="44" t="str">
        <f>IFERROR(Fellowes_Consumiveis9[[#This Row],[V. 12 meses]]/Fellowes_Consumiveis9[[#This Row],[Proj. de V. 12 meses]],"")</f>
        <v/>
      </c>
      <c r="AA43" s="22"/>
    </row>
    <row r="44" spans="1:27" x14ac:dyDescent="0.25">
      <c r="A44" s="22" t="str">
        <f>VLOOKUP(Fellowes_Consumiveis9[[#This Row],[Código]],BD_Produto[#All],7,FALSE)</f>
        <v>Componente</v>
      </c>
      <c r="B44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4" s="23">
        <v>33062065038</v>
      </c>
      <c r="D44" s="22" t="s">
        <v>1858</v>
      </c>
      <c r="E44" s="22" t="str">
        <f>VLOOKUP(Fellowes_Consumiveis9[[#This Row],[Código]],BD_Produto[],3,FALSE)</f>
        <v>Componentes</v>
      </c>
      <c r="F44" s="22" t="str">
        <f>VLOOKUP(Fellowes_Consumiveis9[[#This Row],[Código]],BD_Produto[],4,FALSE)</f>
        <v>Fragmentadora</v>
      </c>
      <c r="G44" s="24"/>
      <c r="H44" s="25"/>
      <c r="I44" s="22"/>
      <c r="J44" s="24"/>
      <c r="K44" s="24" t="str">
        <f>IFERROR(VLOOKUP(Fellowes_Consumiveis9[[#This Row],[Código]],Importação!P:R,3,FALSE),"")</f>
        <v/>
      </c>
      <c r="L44" s="24">
        <f>IFERROR(VLOOKUP(Fellowes_Consumiveis9[[#This Row],[Código]],Saldo[],3,FALSE),0)</f>
        <v>9</v>
      </c>
      <c r="M44" s="24">
        <f>SUM(Fellowes_Consumiveis9[[#This Row],[Produção]:[Estoque]])</f>
        <v>9</v>
      </c>
      <c r="N44" s="24">
        <f>IFERROR(Fellowes_Consumiveis9[[#This Row],[Estoque+Importação]]/Fellowes_Consumiveis9[[#This Row],[Proj. de V. No prox. mes]],"Sem Projeção")</f>
        <v>45.000000000000007</v>
      </c>
      <c r="O4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1.9999999999999998</v>
      </c>
      <c r="P4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-7</v>
      </c>
      <c r="Q44" s="75">
        <f>VLOOKUP(Fellowes_Consumiveis9[[#This Row],[Código]],Projeção[#All],15,FALSE)</f>
        <v>0.19999999999999998</v>
      </c>
      <c r="R44" s="39">
        <f>VLOOKUP(Fellowes_Consumiveis9[[#This Row],[Código]],Projeção[#All],14,FALSE)</f>
        <v>0</v>
      </c>
      <c r="S44" s="39">
        <f>IFERROR(VLOOKUP(Fellowes_Consumiveis9[[#This Row],[Código]],Venda_mes[],2,FALSE),0)</f>
        <v>0</v>
      </c>
      <c r="T44" s="44" t="str">
        <f>IFERROR(Fellowes_Consumiveis9[[#This Row],[V. No mes]]/Fellowes_Consumiveis9[[#This Row],[Proj. de V. No mes]],"")</f>
        <v/>
      </c>
      <c r="U4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4" s="39">
        <f>IFERROR(VLOOKUP(Fellowes_Consumiveis9[[#This Row],[Código]],Venda_3meses[],2,FALSE),0)</f>
        <v>0</v>
      </c>
      <c r="W44" s="44" t="str">
        <f>IFERROR(Fellowes_Consumiveis9[[#This Row],[V. 3 meses]]/Fellowes_Consumiveis9[[#This Row],[Proj. de V. 3 meses]],"")</f>
        <v/>
      </c>
      <c r="X4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4" s="39">
        <f>IFERROR(VLOOKUP(Fellowes_Consumiveis9[[#This Row],[Código]],Venda_12meses[],2,FALSE),0)</f>
        <v>2</v>
      </c>
      <c r="Z44" s="44" t="str">
        <f>IFERROR(Fellowes_Consumiveis9[[#This Row],[V. 12 meses]]/Fellowes_Consumiveis9[[#This Row],[Proj. de V. 12 meses]],"")</f>
        <v/>
      </c>
      <c r="AA44" s="22">
        <v>53764</v>
      </c>
    </row>
    <row r="45" spans="1:27" x14ac:dyDescent="0.25">
      <c r="A45" s="22" t="str">
        <f>VLOOKUP(Fellowes_Consumiveis9[[#This Row],[Código]],BD_Produto[#All],7,FALSE)</f>
        <v>Componente</v>
      </c>
      <c r="B45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5" s="23">
        <v>33062065041</v>
      </c>
      <c r="D45" s="22" t="s">
        <v>1860</v>
      </c>
      <c r="E45" s="22" t="str">
        <f>VLOOKUP(Fellowes_Consumiveis9[[#This Row],[Código]],BD_Produto[],3,FALSE)</f>
        <v>Componentes</v>
      </c>
      <c r="F45" s="22" t="str">
        <f>VLOOKUP(Fellowes_Consumiveis9[[#This Row],[Código]],BD_Produto[],4,FALSE)</f>
        <v>Fragmentadora</v>
      </c>
      <c r="G45" s="24"/>
      <c r="H45" s="25"/>
      <c r="I45" s="22"/>
      <c r="J45" s="24"/>
      <c r="K45" s="24" t="str">
        <f>IFERROR(VLOOKUP(Fellowes_Consumiveis9[[#This Row],[Código]],Importação!P:R,3,FALSE),"")</f>
        <v/>
      </c>
      <c r="L45" s="24">
        <f>IFERROR(VLOOKUP(Fellowes_Consumiveis9[[#This Row],[Código]],Saldo[],3,FALSE),0)</f>
        <v>0</v>
      </c>
      <c r="M45" s="24">
        <f>SUM(Fellowes_Consumiveis9[[#This Row],[Produção]:[Estoque]])</f>
        <v>0</v>
      </c>
      <c r="N45" s="24" t="str">
        <f>IFERROR(Fellowes_Consumiveis9[[#This Row],[Estoque+Importação]]/Fellowes_Consumiveis9[[#This Row],[Proj. de V. No prox. mes]],"Sem Projeção")</f>
        <v>Sem Projeção</v>
      </c>
      <c r="O4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45" s="75">
        <f>VLOOKUP(Fellowes_Consumiveis9[[#This Row],[Código]],Projeção[#All],15,FALSE)</f>
        <v>0</v>
      </c>
      <c r="R45" s="39">
        <f>VLOOKUP(Fellowes_Consumiveis9[[#This Row],[Código]],Projeção[#All],14,FALSE)</f>
        <v>0</v>
      </c>
      <c r="S45" s="39">
        <f>IFERROR(VLOOKUP(Fellowes_Consumiveis9[[#This Row],[Código]],Venda_mes[],2,FALSE),0)</f>
        <v>0</v>
      </c>
      <c r="T45" s="44" t="str">
        <f>IFERROR(Fellowes_Consumiveis9[[#This Row],[V. No mes]]/Fellowes_Consumiveis9[[#This Row],[Proj. de V. No mes]],"")</f>
        <v/>
      </c>
      <c r="U4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5" s="39">
        <f>IFERROR(VLOOKUP(Fellowes_Consumiveis9[[#This Row],[Código]],Venda_3meses[],2,FALSE),0)</f>
        <v>0</v>
      </c>
      <c r="W45" s="44" t="str">
        <f>IFERROR(Fellowes_Consumiveis9[[#This Row],[V. 3 meses]]/Fellowes_Consumiveis9[[#This Row],[Proj. de V. 3 meses]],"")</f>
        <v/>
      </c>
      <c r="X4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5" s="39">
        <f>IFERROR(VLOOKUP(Fellowes_Consumiveis9[[#This Row],[Código]],Venda_12meses[],2,FALSE),0)</f>
        <v>0</v>
      </c>
      <c r="Z45" s="44" t="str">
        <f>IFERROR(Fellowes_Consumiveis9[[#This Row],[V. 12 meses]]/Fellowes_Consumiveis9[[#This Row],[Proj. de V. 12 meses]],"")</f>
        <v/>
      </c>
      <c r="AA45" s="22">
        <v>5377001</v>
      </c>
    </row>
    <row r="46" spans="1:27" x14ac:dyDescent="0.25">
      <c r="A46" s="22" t="str">
        <f>VLOOKUP(Fellowes_Consumiveis9[[#This Row],[Código]],BD_Produto[#All],7,FALSE)</f>
        <v>Componente</v>
      </c>
      <c r="B46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6" s="23">
        <v>33062065047</v>
      </c>
      <c r="D46" s="22" t="s">
        <v>387</v>
      </c>
      <c r="E46" s="22" t="str">
        <f>VLOOKUP(Fellowes_Consumiveis9[[#This Row],[Código]],BD_Produto[],3,FALSE)</f>
        <v>Componentes</v>
      </c>
      <c r="F46" s="22" t="str">
        <f>VLOOKUP(Fellowes_Consumiveis9[[#This Row],[Código]],BD_Produto[],4,FALSE)</f>
        <v>Fragmentadora</v>
      </c>
      <c r="G46" s="24"/>
      <c r="H46" s="25"/>
      <c r="I46" s="22"/>
      <c r="J46" s="24"/>
      <c r="K46" s="24" t="str">
        <f>IFERROR(VLOOKUP(Fellowes_Consumiveis9[[#This Row],[Código]],Importação!P:R,3,FALSE),"")</f>
        <v/>
      </c>
      <c r="L46" s="24">
        <f>IFERROR(VLOOKUP(Fellowes_Consumiveis9[[#This Row],[Código]],Saldo[],3,FALSE),0)</f>
        <v>3</v>
      </c>
      <c r="M46" s="24">
        <f>SUM(Fellowes_Consumiveis9[[#This Row],[Produção]:[Estoque]])</f>
        <v>3</v>
      </c>
      <c r="N46" s="24" t="str">
        <f>IFERROR(Fellowes_Consumiveis9[[#This Row],[Estoque+Importação]]/Fellowes_Consumiveis9[[#This Row],[Proj. de V. No prox. mes]],"Sem Projeção")</f>
        <v>Sem Projeção</v>
      </c>
      <c r="O4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46" s="75">
        <f>VLOOKUP(Fellowes_Consumiveis9[[#This Row],[Código]],Projeção[#All],15,FALSE)</f>
        <v>0</v>
      </c>
      <c r="R46" s="39">
        <f>VLOOKUP(Fellowes_Consumiveis9[[#This Row],[Código]],Projeção[#All],14,FALSE)</f>
        <v>0</v>
      </c>
      <c r="S46" s="39">
        <f>IFERROR(VLOOKUP(Fellowes_Consumiveis9[[#This Row],[Código]],Venda_mes[],2,FALSE),0)</f>
        <v>0</v>
      </c>
      <c r="T46" s="44" t="str">
        <f>IFERROR(Fellowes_Consumiveis9[[#This Row],[V. No mes]]/Fellowes_Consumiveis9[[#This Row],[Proj. de V. No mes]],"")</f>
        <v/>
      </c>
      <c r="U4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6" s="39">
        <f>IFERROR(VLOOKUP(Fellowes_Consumiveis9[[#This Row],[Código]],Venda_3meses[],2,FALSE),0)</f>
        <v>0</v>
      </c>
      <c r="W46" s="44" t="str">
        <f>IFERROR(Fellowes_Consumiveis9[[#This Row],[V. 3 meses]]/Fellowes_Consumiveis9[[#This Row],[Proj. de V. 3 meses]],"")</f>
        <v/>
      </c>
      <c r="X4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6" s="39">
        <f>IFERROR(VLOOKUP(Fellowes_Consumiveis9[[#This Row],[Código]],Venda_12meses[],2,FALSE),0)</f>
        <v>0</v>
      </c>
      <c r="Z46" s="44" t="str">
        <f>IFERROR(Fellowes_Consumiveis9[[#This Row],[V. 12 meses]]/Fellowes_Consumiveis9[[#This Row],[Proj. de V. 12 meses]],"")</f>
        <v/>
      </c>
      <c r="AA46" s="22">
        <v>5377101</v>
      </c>
    </row>
    <row r="47" spans="1:27" x14ac:dyDescent="0.25">
      <c r="A47" s="22" t="str">
        <f>VLOOKUP(Fellowes_Consumiveis9[[#This Row],[Código]],BD_Produto[#All],7,FALSE)</f>
        <v>Componente</v>
      </c>
      <c r="B47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7" s="23">
        <v>33062065049</v>
      </c>
      <c r="D47" s="22" t="s">
        <v>1863</v>
      </c>
      <c r="E47" s="22" t="str">
        <f>VLOOKUP(Fellowes_Consumiveis9[[#This Row],[Código]],BD_Produto[],3,FALSE)</f>
        <v>Componentes</v>
      </c>
      <c r="F47" s="22" t="str">
        <f>VLOOKUP(Fellowes_Consumiveis9[[#This Row],[Código]],BD_Produto[],4,FALSE)</f>
        <v>Fragmentadora</v>
      </c>
      <c r="G47" s="24"/>
      <c r="H47" s="25"/>
      <c r="I47" s="22"/>
      <c r="J47" s="24"/>
      <c r="K47" s="24" t="str">
        <f>IFERROR(VLOOKUP(Fellowes_Consumiveis9[[#This Row],[Código]],Importação!P:R,3,FALSE),"")</f>
        <v/>
      </c>
      <c r="L47" s="24">
        <f>IFERROR(VLOOKUP(Fellowes_Consumiveis9[[#This Row],[Código]],Saldo[],3,FALSE),0)</f>
        <v>8</v>
      </c>
      <c r="M47" s="24">
        <f>SUM(Fellowes_Consumiveis9[[#This Row],[Produção]:[Estoque]])</f>
        <v>8</v>
      </c>
      <c r="N47" s="24" t="str">
        <f>IFERROR(Fellowes_Consumiveis9[[#This Row],[Estoque+Importação]]/Fellowes_Consumiveis9[[#This Row],[Proj. de V. No prox. mes]],"Sem Projeção")</f>
        <v>Sem Projeção</v>
      </c>
      <c r="O4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47" s="75">
        <f>VLOOKUP(Fellowes_Consumiveis9[[#This Row],[Código]],Projeção[#All],15,FALSE)</f>
        <v>0</v>
      </c>
      <c r="R47" s="39">
        <f>VLOOKUP(Fellowes_Consumiveis9[[#This Row],[Código]],Projeção[#All],14,FALSE)</f>
        <v>0</v>
      </c>
      <c r="S47" s="39">
        <f>IFERROR(VLOOKUP(Fellowes_Consumiveis9[[#This Row],[Código]],Venda_mes[],2,FALSE),0)</f>
        <v>0</v>
      </c>
      <c r="T47" s="44" t="str">
        <f>IFERROR(Fellowes_Consumiveis9[[#This Row],[V. No mes]]/Fellowes_Consumiveis9[[#This Row],[Proj. de V. No mes]],"")</f>
        <v/>
      </c>
      <c r="U4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7" s="39">
        <f>IFERROR(VLOOKUP(Fellowes_Consumiveis9[[#This Row],[Código]],Venda_3meses[],2,FALSE),0)</f>
        <v>0</v>
      </c>
      <c r="W47" s="44" t="str">
        <f>IFERROR(Fellowes_Consumiveis9[[#This Row],[V. 3 meses]]/Fellowes_Consumiveis9[[#This Row],[Proj. de V. 3 meses]],"")</f>
        <v/>
      </c>
      <c r="X4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7" s="39">
        <f>IFERROR(VLOOKUP(Fellowes_Consumiveis9[[#This Row],[Código]],Venda_12meses[],2,FALSE),0)</f>
        <v>0</v>
      </c>
      <c r="Z47" s="44" t="str">
        <f>IFERROR(Fellowes_Consumiveis9[[#This Row],[V. 12 meses]]/Fellowes_Consumiveis9[[#This Row],[Proj. de V. 12 meses]],"")</f>
        <v/>
      </c>
      <c r="AA47" s="22">
        <v>5377401</v>
      </c>
    </row>
    <row r="48" spans="1:27" x14ac:dyDescent="0.25">
      <c r="A48" s="22" t="str">
        <f>VLOOKUP(Fellowes_Consumiveis9[[#This Row],[Código]],BD_Produto[#All],7,FALSE)</f>
        <v>Componente</v>
      </c>
      <c r="B48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8" s="23">
        <v>33062065048</v>
      </c>
      <c r="D48" s="22" t="s">
        <v>1865</v>
      </c>
      <c r="E48" s="22" t="str">
        <f>VLOOKUP(Fellowes_Consumiveis9[[#This Row],[Código]],BD_Produto[],3,FALSE)</f>
        <v>Componentes</v>
      </c>
      <c r="F48" s="22" t="str">
        <f>VLOOKUP(Fellowes_Consumiveis9[[#This Row],[Código]],BD_Produto[],4,FALSE)</f>
        <v>Fragmentadora</v>
      </c>
      <c r="G48" s="24"/>
      <c r="H48" s="25"/>
      <c r="I48" s="22"/>
      <c r="J48" s="24"/>
      <c r="K48" s="24" t="str">
        <f>IFERROR(VLOOKUP(Fellowes_Consumiveis9[[#This Row],[Código]],Importação!P:R,3,FALSE),"")</f>
        <v/>
      </c>
      <c r="L48" s="24">
        <f>IFERROR(VLOOKUP(Fellowes_Consumiveis9[[#This Row],[Código]],Saldo[],3,FALSE),0)</f>
        <v>8</v>
      </c>
      <c r="M48" s="24">
        <f>SUM(Fellowes_Consumiveis9[[#This Row],[Produção]:[Estoque]])</f>
        <v>8</v>
      </c>
      <c r="N48" s="24" t="str">
        <f>IFERROR(Fellowes_Consumiveis9[[#This Row],[Estoque+Importação]]/Fellowes_Consumiveis9[[#This Row],[Proj. de V. No prox. mes]],"Sem Projeção")</f>
        <v>Sem Projeção</v>
      </c>
      <c r="O4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48" s="75">
        <f>VLOOKUP(Fellowes_Consumiveis9[[#This Row],[Código]],Projeção[#All],15,FALSE)</f>
        <v>0</v>
      </c>
      <c r="R48" s="39">
        <f>VLOOKUP(Fellowes_Consumiveis9[[#This Row],[Código]],Projeção[#All],14,FALSE)</f>
        <v>0</v>
      </c>
      <c r="S48" s="39">
        <f>IFERROR(VLOOKUP(Fellowes_Consumiveis9[[#This Row],[Código]],Venda_mes[],2,FALSE),0)</f>
        <v>0</v>
      </c>
      <c r="T48" s="44" t="str">
        <f>IFERROR(Fellowes_Consumiveis9[[#This Row],[V. No mes]]/Fellowes_Consumiveis9[[#This Row],[Proj. de V. No mes]],"")</f>
        <v/>
      </c>
      <c r="U4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8" s="39">
        <f>IFERROR(VLOOKUP(Fellowes_Consumiveis9[[#This Row],[Código]],Venda_3meses[],2,FALSE),0)</f>
        <v>0</v>
      </c>
      <c r="W48" s="44" t="str">
        <f>IFERROR(Fellowes_Consumiveis9[[#This Row],[V. 3 meses]]/Fellowes_Consumiveis9[[#This Row],[Proj. de V. 3 meses]],"")</f>
        <v/>
      </c>
      <c r="X4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8" s="39">
        <f>IFERROR(VLOOKUP(Fellowes_Consumiveis9[[#This Row],[Código]],Venda_12meses[],2,FALSE),0)</f>
        <v>0</v>
      </c>
      <c r="Z48" s="44" t="str">
        <f>IFERROR(Fellowes_Consumiveis9[[#This Row],[V. 12 meses]]/Fellowes_Consumiveis9[[#This Row],[Proj. de V. 12 meses]],"")</f>
        <v/>
      </c>
      <c r="AA48" s="22">
        <v>5377301</v>
      </c>
    </row>
    <row r="49" spans="1:27" x14ac:dyDescent="0.25">
      <c r="A49" s="22" t="str">
        <f>VLOOKUP(Fellowes_Consumiveis9[[#This Row],[Código]],BD_Produto[#All],7,FALSE)</f>
        <v>Componente</v>
      </c>
      <c r="B49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49" s="23">
        <v>33062065042</v>
      </c>
      <c r="D49" s="22" t="s">
        <v>386</v>
      </c>
      <c r="E49" s="22" t="str">
        <f>VLOOKUP(Fellowes_Consumiveis9[[#This Row],[Código]],BD_Produto[],3,FALSE)</f>
        <v>Componentes</v>
      </c>
      <c r="F49" s="22" t="str">
        <f>VLOOKUP(Fellowes_Consumiveis9[[#This Row],[Código]],BD_Produto[],4,FALSE)</f>
        <v>Fragmentadora</v>
      </c>
      <c r="G49" s="24"/>
      <c r="H49" s="25"/>
      <c r="I49" s="22"/>
      <c r="J49" s="24"/>
      <c r="K49" s="24" t="str">
        <f>IFERROR(VLOOKUP(Fellowes_Consumiveis9[[#This Row],[Código]],Importação!P:R,3,FALSE),"")</f>
        <v/>
      </c>
      <c r="L49" s="24">
        <f>IFERROR(VLOOKUP(Fellowes_Consumiveis9[[#This Row],[Código]],Saldo[],3,FALSE),0)</f>
        <v>3</v>
      </c>
      <c r="M49" s="24">
        <f>SUM(Fellowes_Consumiveis9[[#This Row],[Produção]:[Estoque]])</f>
        <v>3</v>
      </c>
      <c r="N49" s="24" t="str">
        <f>IFERROR(Fellowes_Consumiveis9[[#This Row],[Estoque+Importação]]/Fellowes_Consumiveis9[[#This Row],[Proj. de V. No prox. mes]],"Sem Projeção")</f>
        <v>Sem Projeção</v>
      </c>
      <c r="O4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4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49" s="75">
        <f>VLOOKUP(Fellowes_Consumiveis9[[#This Row],[Código]],Projeção[#All],15,FALSE)</f>
        <v>0</v>
      </c>
      <c r="R49" s="39">
        <f>VLOOKUP(Fellowes_Consumiveis9[[#This Row],[Código]],Projeção[#All],14,FALSE)</f>
        <v>0</v>
      </c>
      <c r="S49" s="39">
        <f>IFERROR(VLOOKUP(Fellowes_Consumiveis9[[#This Row],[Código]],Venda_mes[],2,FALSE),0)</f>
        <v>0</v>
      </c>
      <c r="T49" s="44" t="str">
        <f>IFERROR(Fellowes_Consumiveis9[[#This Row],[V. No mes]]/Fellowes_Consumiveis9[[#This Row],[Proj. de V. No mes]],"")</f>
        <v/>
      </c>
      <c r="U4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49" s="39">
        <f>IFERROR(VLOOKUP(Fellowes_Consumiveis9[[#This Row],[Código]],Venda_3meses[],2,FALSE),0)</f>
        <v>0</v>
      </c>
      <c r="W49" s="44" t="str">
        <f>IFERROR(Fellowes_Consumiveis9[[#This Row],[V. 3 meses]]/Fellowes_Consumiveis9[[#This Row],[Proj. de V. 3 meses]],"")</f>
        <v/>
      </c>
      <c r="X4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49" s="39">
        <f>IFERROR(VLOOKUP(Fellowes_Consumiveis9[[#This Row],[Código]],Venda_12meses[],2,FALSE),0)</f>
        <v>0</v>
      </c>
      <c r="Z49" s="44" t="str">
        <f>IFERROR(Fellowes_Consumiveis9[[#This Row],[V. 12 meses]]/Fellowes_Consumiveis9[[#This Row],[Proj. de V. 12 meses]],"")</f>
        <v/>
      </c>
      <c r="AA49" s="22">
        <v>5377201</v>
      </c>
    </row>
    <row r="50" spans="1:27" x14ac:dyDescent="0.25">
      <c r="A50" s="22" t="str">
        <f>VLOOKUP(Fellowes_Consumiveis9[[#This Row],[Código]],BD_Produto[#All],7,FALSE)</f>
        <v>Componente</v>
      </c>
      <c r="B50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0" s="23">
        <v>33062065043</v>
      </c>
      <c r="D50" s="22" t="s">
        <v>1868</v>
      </c>
      <c r="E50" s="22" t="str">
        <f>VLOOKUP(Fellowes_Consumiveis9[[#This Row],[Código]],BD_Produto[],3,FALSE)</f>
        <v>Componentes</v>
      </c>
      <c r="F50" s="22" t="str">
        <f>VLOOKUP(Fellowes_Consumiveis9[[#This Row],[Código]],BD_Produto[],4,FALSE)</f>
        <v>Fragmentadora</v>
      </c>
      <c r="G50" s="24"/>
      <c r="H50" s="25"/>
      <c r="I50" s="22"/>
      <c r="J50" s="24"/>
      <c r="K50" s="24" t="str">
        <f>IFERROR(VLOOKUP(Fellowes_Consumiveis9[[#This Row],[Código]],Importação!P:R,3,FALSE),"")</f>
        <v/>
      </c>
      <c r="L50" s="24">
        <f>IFERROR(VLOOKUP(Fellowes_Consumiveis9[[#This Row],[Código]],Saldo[],3,FALSE),0)</f>
        <v>2</v>
      </c>
      <c r="M50" s="24">
        <f>SUM(Fellowes_Consumiveis9[[#This Row],[Produção]:[Estoque]])</f>
        <v>2</v>
      </c>
      <c r="N50" s="24" t="str">
        <f>IFERROR(Fellowes_Consumiveis9[[#This Row],[Estoque+Importação]]/Fellowes_Consumiveis9[[#This Row],[Proj. de V. No prox. mes]],"Sem Projeção")</f>
        <v>Sem Projeção</v>
      </c>
      <c r="O5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50" s="75">
        <f>VLOOKUP(Fellowes_Consumiveis9[[#This Row],[Código]],Projeção[#All],15,FALSE)</f>
        <v>0</v>
      </c>
      <c r="R50" s="39">
        <f>VLOOKUP(Fellowes_Consumiveis9[[#This Row],[Código]],Projeção[#All],14,FALSE)</f>
        <v>0</v>
      </c>
      <c r="S50" s="39">
        <f>IFERROR(VLOOKUP(Fellowes_Consumiveis9[[#This Row],[Código]],Venda_mes[],2,FALSE),0)</f>
        <v>0</v>
      </c>
      <c r="T50" s="44" t="str">
        <f>IFERROR(Fellowes_Consumiveis9[[#This Row],[V. No mes]]/Fellowes_Consumiveis9[[#This Row],[Proj. de V. No mes]],"")</f>
        <v/>
      </c>
      <c r="U5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0" s="39">
        <f>IFERROR(VLOOKUP(Fellowes_Consumiveis9[[#This Row],[Código]],Venda_3meses[],2,FALSE),0)</f>
        <v>0</v>
      </c>
      <c r="W50" s="44" t="str">
        <f>IFERROR(Fellowes_Consumiveis9[[#This Row],[V. 3 meses]]/Fellowes_Consumiveis9[[#This Row],[Proj. de V. 3 meses]],"")</f>
        <v/>
      </c>
      <c r="X5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0" s="39">
        <f>IFERROR(VLOOKUP(Fellowes_Consumiveis9[[#This Row],[Código]],Venda_12meses[],2,FALSE),0)</f>
        <v>0</v>
      </c>
      <c r="Z50" s="44" t="str">
        <f>IFERROR(Fellowes_Consumiveis9[[#This Row],[V. 12 meses]]/Fellowes_Consumiveis9[[#This Row],[Proj. de V. 12 meses]],"")</f>
        <v/>
      </c>
      <c r="AA50" s="22">
        <v>5346207</v>
      </c>
    </row>
    <row r="51" spans="1:27" x14ac:dyDescent="0.25">
      <c r="A51" s="22" t="str">
        <f>VLOOKUP(Fellowes_Consumiveis9[[#This Row],[Código]],BD_Produto[#All],7,FALSE)</f>
        <v>Componente</v>
      </c>
      <c r="B51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1" s="23">
        <v>33062065044</v>
      </c>
      <c r="D51" s="22" t="s">
        <v>1870</v>
      </c>
      <c r="E51" s="22" t="str">
        <f>VLOOKUP(Fellowes_Consumiveis9[[#This Row],[Código]],BD_Produto[],3,FALSE)</f>
        <v>Componentes</v>
      </c>
      <c r="F51" s="22" t="str">
        <f>VLOOKUP(Fellowes_Consumiveis9[[#This Row],[Código]],BD_Produto[],4,FALSE)</f>
        <v>Fragmentadora</v>
      </c>
      <c r="G51" s="24"/>
      <c r="H51" s="25"/>
      <c r="I51" s="22"/>
      <c r="J51" s="24"/>
      <c r="K51" s="24" t="str">
        <f>IFERROR(VLOOKUP(Fellowes_Consumiveis9[[#This Row],[Código]],Importação!P:R,3,FALSE),"")</f>
        <v/>
      </c>
      <c r="L51" s="24">
        <f>IFERROR(VLOOKUP(Fellowes_Consumiveis9[[#This Row],[Código]],Saldo[],3,FALSE),0)</f>
        <v>3</v>
      </c>
      <c r="M51" s="24">
        <f>SUM(Fellowes_Consumiveis9[[#This Row],[Produção]:[Estoque]])</f>
        <v>3</v>
      </c>
      <c r="N51" s="24" t="str">
        <f>IFERROR(Fellowes_Consumiveis9[[#This Row],[Estoque+Importação]]/Fellowes_Consumiveis9[[#This Row],[Proj. de V. No prox. mes]],"Sem Projeção")</f>
        <v>Sem Projeção</v>
      </c>
      <c r="O5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51" s="75">
        <f>VLOOKUP(Fellowes_Consumiveis9[[#This Row],[Código]],Projeção[#All],15,FALSE)</f>
        <v>0</v>
      </c>
      <c r="R51" s="39">
        <f>VLOOKUP(Fellowes_Consumiveis9[[#This Row],[Código]],Projeção[#All],14,FALSE)</f>
        <v>0</v>
      </c>
      <c r="S51" s="39">
        <f>IFERROR(VLOOKUP(Fellowes_Consumiveis9[[#This Row],[Código]],Venda_mes[],2,FALSE),0)</f>
        <v>0</v>
      </c>
      <c r="T51" s="44" t="str">
        <f>IFERROR(Fellowes_Consumiveis9[[#This Row],[V. No mes]]/Fellowes_Consumiveis9[[#This Row],[Proj. de V. No mes]],"")</f>
        <v/>
      </c>
      <c r="U5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1" s="39">
        <f>IFERROR(VLOOKUP(Fellowes_Consumiveis9[[#This Row],[Código]],Venda_3meses[],2,FALSE),0)</f>
        <v>0</v>
      </c>
      <c r="W51" s="44" t="str">
        <f>IFERROR(Fellowes_Consumiveis9[[#This Row],[V. 3 meses]]/Fellowes_Consumiveis9[[#This Row],[Proj. de V. 3 meses]],"")</f>
        <v/>
      </c>
      <c r="X5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1" s="39">
        <f>IFERROR(VLOOKUP(Fellowes_Consumiveis9[[#This Row],[Código]],Venda_12meses[],2,FALSE),0)</f>
        <v>0</v>
      </c>
      <c r="Z51" s="44" t="str">
        <f>IFERROR(Fellowes_Consumiveis9[[#This Row],[V. 12 meses]]/Fellowes_Consumiveis9[[#This Row],[Proj. de V. 12 meses]],"")</f>
        <v/>
      </c>
      <c r="AA51" s="22">
        <v>5347406</v>
      </c>
    </row>
    <row r="52" spans="1:27" x14ac:dyDescent="0.25">
      <c r="A52" s="22" t="str">
        <f>VLOOKUP(Fellowes_Consumiveis9[[#This Row],[Código]],BD_Produto[#All],7,FALSE)</f>
        <v>Componente</v>
      </c>
      <c r="B52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2" s="23">
        <v>33062065046</v>
      </c>
      <c r="D52" s="22" t="s">
        <v>1872</v>
      </c>
      <c r="E52" s="22" t="str">
        <f>VLOOKUP(Fellowes_Consumiveis9[[#This Row],[Código]],BD_Produto[],3,FALSE)</f>
        <v>Componentes</v>
      </c>
      <c r="F52" s="22" t="str">
        <f>VLOOKUP(Fellowes_Consumiveis9[[#This Row],[Código]],BD_Produto[],4,FALSE)</f>
        <v>Fragmentadora</v>
      </c>
      <c r="G52" s="24"/>
      <c r="H52" s="25"/>
      <c r="I52" s="22"/>
      <c r="J52" s="24"/>
      <c r="K52" s="24" t="str">
        <f>IFERROR(VLOOKUP(Fellowes_Consumiveis9[[#This Row],[Código]],Importação!P:R,3,FALSE),"")</f>
        <v/>
      </c>
      <c r="L52" s="24">
        <f>IFERROR(VLOOKUP(Fellowes_Consumiveis9[[#This Row],[Código]],Saldo[],3,FALSE),0)</f>
        <v>8</v>
      </c>
      <c r="M52" s="24">
        <f>SUM(Fellowes_Consumiveis9[[#This Row],[Produção]:[Estoque]])</f>
        <v>8</v>
      </c>
      <c r="N52" s="24" t="str">
        <f>IFERROR(Fellowes_Consumiveis9[[#This Row],[Estoque+Importação]]/Fellowes_Consumiveis9[[#This Row],[Proj. de V. No prox. mes]],"Sem Projeção")</f>
        <v>Sem Projeção</v>
      </c>
      <c r="O5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52" s="75">
        <f>VLOOKUP(Fellowes_Consumiveis9[[#This Row],[Código]],Projeção[#All],15,FALSE)</f>
        <v>0</v>
      </c>
      <c r="R52" s="39">
        <f>VLOOKUP(Fellowes_Consumiveis9[[#This Row],[Código]],Projeção[#All],14,FALSE)</f>
        <v>0</v>
      </c>
      <c r="S52" s="39">
        <f>IFERROR(VLOOKUP(Fellowes_Consumiveis9[[#This Row],[Código]],Venda_mes[],2,FALSE),0)</f>
        <v>0</v>
      </c>
      <c r="T52" s="44" t="str">
        <f>IFERROR(Fellowes_Consumiveis9[[#This Row],[V. No mes]]/Fellowes_Consumiveis9[[#This Row],[Proj. de V. No mes]],"")</f>
        <v/>
      </c>
      <c r="U5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2" s="39">
        <f>IFERROR(VLOOKUP(Fellowes_Consumiveis9[[#This Row],[Código]],Venda_3meses[],2,FALSE),0)</f>
        <v>0</v>
      </c>
      <c r="W52" s="44" t="str">
        <f>IFERROR(Fellowes_Consumiveis9[[#This Row],[V. 3 meses]]/Fellowes_Consumiveis9[[#This Row],[Proj. de V. 3 meses]],"")</f>
        <v/>
      </c>
      <c r="X5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2" s="39">
        <f>IFERROR(VLOOKUP(Fellowes_Consumiveis9[[#This Row],[Código]],Venda_12meses[],2,FALSE),0)</f>
        <v>0</v>
      </c>
      <c r="Z52" s="44" t="str">
        <f>IFERROR(Fellowes_Consumiveis9[[#This Row],[V. 12 meses]]/Fellowes_Consumiveis9[[#This Row],[Proj. de V. 12 meses]],"")</f>
        <v/>
      </c>
      <c r="AA52" s="22">
        <v>5347804</v>
      </c>
    </row>
    <row r="53" spans="1:27" x14ac:dyDescent="0.25">
      <c r="A53" s="22" t="str">
        <f>VLOOKUP(Fellowes_Consumiveis9[[#This Row],[Código]],BD_Produto[#All],7,FALSE)</f>
        <v>Componente</v>
      </c>
      <c r="B53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3" s="23">
        <v>33062065054</v>
      </c>
      <c r="D53" s="22" t="s">
        <v>1874</v>
      </c>
      <c r="E53" s="22" t="str">
        <f>VLOOKUP(Fellowes_Consumiveis9[[#This Row],[Código]],BD_Produto[],3,FALSE)</f>
        <v>Componentes</v>
      </c>
      <c r="F53" s="22" t="str">
        <f>VLOOKUP(Fellowes_Consumiveis9[[#This Row],[Código]],BD_Produto[],4,FALSE)</f>
        <v>Fragmentadora</v>
      </c>
      <c r="G53" s="24"/>
      <c r="H53" s="25"/>
      <c r="I53" s="22"/>
      <c r="J53" s="24"/>
      <c r="K53" s="24" t="str">
        <f>IFERROR(VLOOKUP(Fellowes_Consumiveis9[[#This Row],[Código]],Importação!P:R,3,FALSE),"")</f>
        <v/>
      </c>
      <c r="L53" s="24">
        <f>IFERROR(VLOOKUP(Fellowes_Consumiveis9[[#This Row],[Código]],Saldo[],3,FALSE),0)</f>
        <v>3</v>
      </c>
      <c r="M53" s="24">
        <f>SUM(Fellowes_Consumiveis9[[#This Row],[Produção]:[Estoque]])</f>
        <v>3</v>
      </c>
      <c r="N53" s="24" t="str">
        <f>IFERROR(Fellowes_Consumiveis9[[#This Row],[Estoque+Importação]]/Fellowes_Consumiveis9[[#This Row],[Proj. de V. No prox. mes]],"Sem Projeção")</f>
        <v>Sem Projeção</v>
      </c>
      <c r="O5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53" s="75">
        <f>VLOOKUP(Fellowes_Consumiveis9[[#This Row],[Código]],Projeção[#All],15,FALSE)</f>
        <v>0</v>
      </c>
      <c r="R53" s="39">
        <f>VLOOKUP(Fellowes_Consumiveis9[[#This Row],[Código]],Projeção[#All],14,FALSE)</f>
        <v>0</v>
      </c>
      <c r="S53" s="39">
        <f>IFERROR(VLOOKUP(Fellowes_Consumiveis9[[#This Row],[Código]],Venda_mes[],2,FALSE),0)</f>
        <v>0</v>
      </c>
      <c r="T53" s="44" t="str">
        <f>IFERROR(Fellowes_Consumiveis9[[#This Row],[V. No mes]]/Fellowes_Consumiveis9[[#This Row],[Proj. de V. No mes]],"")</f>
        <v/>
      </c>
      <c r="U5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3" s="39">
        <f>IFERROR(VLOOKUP(Fellowes_Consumiveis9[[#This Row],[Código]],Venda_3meses[],2,FALSE),0)</f>
        <v>0</v>
      </c>
      <c r="W53" s="44" t="str">
        <f>IFERROR(Fellowes_Consumiveis9[[#This Row],[V. 3 meses]]/Fellowes_Consumiveis9[[#This Row],[Proj. de V. 3 meses]],"")</f>
        <v/>
      </c>
      <c r="X5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3" s="39">
        <f>IFERROR(VLOOKUP(Fellowes_Consumiveis9[[#This Row],[Código]],Venda_12meses[],2,FALSE),0)</f>
        <v>0</v>
      </c>
      <c r="Z53" s="44" t="str">
        <f>IFERROR(Fellowes_Consumiveis9[[#This Row],[V. 12 meses]]/Fellowes_Consumiveis9[[#This Row],[Proj. de V. 12 meses]],"")</f>
        <v/>
      </c>
      <c r="AA53" s="22">
        <v>5348205</v>
      </c>
    </row>
    <row r="54" spans="1:27" x14ac:dyDescent="0.25">
      <c r="A54" s="22" t="str">
        <f>VLOOKUP(Fellowes_Consumiveis9[[#This Row],[Código]],BD_Produto[#All],7,FALSE)</f>
        <v>Componente</v>
      </c>
      <c r="B54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4" s="23">
        <v>33062065055</v>
      </c>
      <c r="D54" s="22" t="s">
        <v>1876</v>
      </c>
      <c r="E54" s="22" t="str">
        <f>VLOOKUP(Fellowes_Consumiveis9[[#This Row],[Código]],BD_Produto[],3,FALSE)</f>
        <v>Componentes</v>
      </c>
      <c r="F54" s="22" t="str">
        <f>VLOOKUP(Fellowes_Consumiveis9[[#This Row],[Código]],BD_Produto[],4,FALSE)</f>
        <v>Fragmentadora</v>
      </c>
      <c r="G54" s="24"/>
      <c r="H54" s="25"/>
      <c r="I54" s="22"/>
      <c r="J54" s="24"/>
      <c r="K54" s="24" t="str">
        <f>IFERROR(VLOOKUP(Fellowes_Consumiveis9[[#This Row],[Código]],Importação!P:R,3,FALSE),"")</f>
        <v/>
      </c>
      <c r="L54" s="24">
        <f>IFERROR(VLOOKUP(Fellowes_Consumiveis9[[#This Row],[Código]],Saldo[],3,FALSE),0)</f>
        <v>5</v>
      </c>
      <c r="M54" s="24">
        <f>SUM(Fellowes_Consumiveis9[[#This Row],[Produção]:[Estoque]])</f>
        <v>5</v>
      </c>
      <c r="N54" s="24" t="str">
        <f>IFERROR(Fellowes_Consumiveis9[[#This Row],[Estoque+Importação]]/Fellowes_Consumiveis9[[#This Row],[Proj. de V. No prox. mes]],"Sem Projeção")</f>
        <v>Sem Projeção</v>
      </c>
      <c r="O5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54" s="75">
        <f>VLOOKUP(Fellowes_Consumiveis9[[#This Row],[Código]],Projeção[#All],15,FALSE)</f>
        <v>0</v>
      </c>
      <c r="R54" s="39">
        <f>VLOOKUP(Fellowes_Consumiveis9[[#This Row],[Código]],Projeção[#All],14,FALSE)</f>
        <v>0</v>
      </c>
      <c r="S54" s="39">
        <f>IFERROR(VLOOKUP(Fellowes_Consumiveis9[[#This Row],[Código]],Venda_mes[],2,FALSE),0)</f>
        <v>0</v>
      </c>
      <c r="T54" s="44" t="str">
        <f>IFERROR(Fellowes_Consumiveis9[[#This Row],[V. No mes]]/Fellowes_Consumiveis9[[#This Row],[Proj. de V. No mes]],"")</f>
        <v/>
      </c>
      <c r="U5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4" s="39">
        <f>IFERROR(VLOOKUP(Fellowes_Consumiveis9[[#This Row],[Código]],Venda_3meses[],2,FALSE),0)</f>
        <v>0</v>
      </c>
      <c r="W54" s="44" t="str">
        <f>IFERROR(Fellowes_Consumiveis9[[#This Row],[V. 3 meses]]/Fellowes_Consumiveis9[[#This Row],[Proj. de V. 3 meses]],"")</f>
        <v/>
      </c>
      <c r="X5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4" s="39">
        <f>IFERROR(VLOOKUP(Fellowes_Consumiveis9[[#This Row],[Código]],Venda_12meses[],2,FALSE),0)</f>
        <v>0</v>
      </c>
      <c r="Z54" s="44" t="str">
        <f>IFERROR(Fellowes_Consumiveis9[[#This Row],[V. 12 meses]]/Fellowes_Consumiveis9[[#This Row],[Proj. de V. 12 meses]],"")</f>
        <v/>
      </c>
      <c r="AA54" s="22">
        <v>5349303</v>
      </c>
    </row>
    <row r="55" spans="1:27" x14ac:dyDescent="0.25">
      <c r="A55" s="22" t="str">
        <f>VLOOKUP(Fellowes_Consumiveis9[[#This Row],[Código]],BD_Produto[#All],7,FALSE)</f>
        <v>Componente</v>
      </c>
      <c r="B55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5" s="23">
        <v>33062065089</v>
      </c>
      <c r="D55" s="22" t="s">
        <v>1878</v>
      </c>
      <c r="E55" s="22" t="str">
        <f>VLOOKUP(Fellowes_Consumiveis9[[#This Row],[Código]],BD_Produto[],3,FALSE)</f>
        <v>Componentes</v>
      </c>
      <c r="F55" s="22" t="str">
        <f>VLOOKUP(Fellowes_Consumiveis9[[#This Row],[Código]],BD_Produto[],4,FALSE)</f>
        <v>Fragmentadora</v>
      </c>
      <c r="G55" s="24"/>
      <c r="H55" s="25"/>
      <c r="I55" s="22"/>
      <c r="J55" s="24"/>
      <c r="K55" s="24" t="str">
        <f>IFERROR(VLOOKUP(Fellowes_Consumiveis9[[#This Row],[Código]],Importação!P:R,3,FALSE),"")</f>
        <v/>
      </c>
      <c r="L55" s="24">
        <f>IFERROR(VLOOKUP(Fellowes_Consumiveis9[[#This Row],[Código]],Saldo[],3,FALSE),0)</f>
        <v>6</v>
      </c>
      <c r="M55" s="24">
        <f>SUM(Fellowes_Consumiveis9[[#This Row],[Produção]:[Estoque]])</f>
        <v>6</v>
      </c>
      <c r="N55" s="24" t="str">
        <f>IFERROR(Fellowes_Consumiveis9[[#This Row],[Estoque+Importação]]/Fellowes_Consumiveis9[[#This Row],[Proj. de V. No prox. mes]],"Sem Projeção")</f>
        <v>Sem Projeção</v>
      </c>
      <c r="O5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55" s="75">
        <f>VLOOKUP(Fellowes_Consumiveis9[[#This Row],[Código]],Projeção[#All],15,FALSE)</f>
        <v>0</v>
      </c>
      <c r="R55" s="39">
        <f>VLOOKUP(Fellowes_Consumiveis9[[#This Row],[Código]],Projeção[#All],14,FALSE)</f>
        <v>0</v>
      </c>
      <c r="S55" s="39">
        <f>IFERROR(VLOOKUP(Fellowes_Consumiveis9[[#This Row],[Código]],Venda_mes[],2,FALSE),0)</f>
        <v>0</v>
      </c>
      <c r="T55" s="44" t="str">
        <f>IFERROR(Fellowes_Consumiveis9[[#This Row],[V. No mes]]/Fellowes_Consumiveis9[[#This Row],[Proj. de V. No mes]],"")</f>
        <v/>
      </c>
      <c r="U5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5" s="39">
        <f>IFERROR(VLOOKUP(Fellowes_Consumiveis9[[#This Row],[Código]],Venda_3meses[],2,FALSE),0)</f>
        <v>0</v>
      </c>
      <c r="W55" s="44" t="str">
        <f>IFERROR(Fellowes_Consumiveis9[[#This Row],[V. 3 meses]]/Fellowes_Consumiveis9[[#This Row],[Proj. de V. 3 meses]],"")</f>
        <v/>
      </c>
      <c r="X5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5" s="39">
        <f>IFERROR(VLOOKUP(Fellowes_Consumiveis9[[#This Row],[Código]],Venda_12meses[],2,FALSE),0)</f>
        <v>0</v>
      </c>
      <c r="Z55" s="44" t="str">
        <f>IFERROR(Fellowes_Consumiveis9[[#This Row],[V. 12 meses]]/Fellowes_Consumiveis9[[#This Row],[Proj. de V. 12 meses]],"")</f>
        <v/>
      </c>
      <c r="AA55" s="22">
        <v>5350103</v>
      </c>
    </row>
    <row r="56" spans="1:27" x14ac:dyDescent="0.25">
      <c r="A56" s="22" t="str">
        <f>VLOOKUP(Fellowes_Consumiveis9[[#This Row],[Código]],BD_Produto[#All],7,FALSE)</f>
        <v>Componente</v>
      </c>
      <c r="B56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6" s="23">
        <v>33062065088</v>
      </c>
      <c r="D56" s="22" t="s">
        <v>1880</v>
      </c>
      <c r="E56" s="22" t="str">
        <f>VLOOKUP(Fellowes_Consumiveis9[[#This Row],[Código]],BD_Produto[],3,FALSE)</f>
        <v>Componentes</v>
      </c>
      <c r="F56" s="22" t="str">
        <f>VLOOKUP(Fellowes_Consumiveis9[[#This Row],[Código]],BD_Produto[],4,FALSE)</f>
        <v>Fragmentadora</v>
      </c>
      <c r="G56" s="24"/>
      <c r="H56" s="25"/>
      <c r="I56" s="22"/>
      <c r="J56" s="24"/>
      <c r="K56" s="24" t="str">
        <f>IFERROR(VLOOKUP(Fellowes_Consumiveis9[[#This Row],[Código]],Importação!P:R,3,FALSE),"")</f>
        <v/>
      </c>
      <c r="L56" s="24">
        <f>IFERROR(VLOOKUP(Fellowes_Consumiveis9[[#This Row],[Código]],Saldo[],3,FALSE),0)</f>
        <v>6</v>
      </c>
      <c r="M56" s="24">
        <f>SUM(Fellowes_Consumiveis9[[#This Row],[Produção]:[Estoque]])</f>
        <v>6</v>
      </c>
      <c r="N56" s="24" t="str">
        <f>IFERROR(Fellowes_Consumiveis9[[#This Row],[Estoque+Importação]]/Fellowes_Consumiveis9[[#This Row],[Proj. de V. No prox. mes]],"Sem Projeção")</f>
        <v>Sem Projeção</v>
      </c>
      <c r="O5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56" s="75">
        <f>VLOOKUP(Fellowes_Consumiveis9[[#This Row],[Código]],Projeção[#All],15,FALSE)</f>
        <v>0</v>
      </c>
      <c r="R56" s="39">
        <f>VLOOKUP(Fellowes_Consumiveis9[[#This Row],[Código]],Projeção[#All],14,FALSE)</f>
        <v>0</v>
      </c>
      <c r="S56" s="39">
        <f>IFERROR(VLOOKUP(Fellowes_Consumiveis9[[#This Row],[Código]],Venda_mes[],2,FALSE),0)</f>
        <v>0</v>
      </c>
      <c r="T56" s="44" t="str">
        <f>IFERROR(Fellowes_Consumiveis9[[#This Row],[V. No mes]]/Fellowes_Consumiveis9[[#This Row],[Proj. de V. No mes]],"")</f>
        <v/>
      </c>
      <c r="U5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6" s="39">
        <f>IFERROR(VLOOKUP(Fellowes_Consumiveis9[[#This Row],[Código]],Venda_3meses[],2,FALSE),0)</f>
        <v>0</v>
      </c>
      <c r="W56" s="44" t="str">
        <f>IFERROR(Fellowes_Consumiveis9[[#This Row],[V. 3 meses]]/Fellowes_Consumiveis9[[#This Row],[Proj. de V. 3 meses]],"")</f>
        <v/>
      </c>
      <c r="X5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6" s="39">
        <f>IFERROR(VLOOKUP(Fellowes_Consumiveis9[[#This Row],[Código]],Venda_12meses[],2,FALSE),0)</f>
        <v>0</v>
      </c>
      <c r="Z56" s="44" t="str">
        <f>IFERROR(Fellowes_Consumiveis9[[#This Row],[V. 12 meses]]/Fellowes_Consumiveis9[[#This Row],[Proj. de V. 12 meses]],"")</f>
        <v/>
      </c>
      <c r="AA56" s="22">
        <v>5306303</v>
      </c>
    </row>
    <row r="57" spans="1:27" x14ac:dyDescent="0.25">
      <c r="A57" s="22" t="str">
        <f>VLOOKUP(Fellowes_Consumiveis9[[#This Row],[Código]],BD_Produto[#All],7,FALSE)</f>
        <v>Componente</v>
      </c>
      <c r="B57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7" s="23">
        <v>33062065085</v>
      </c>
      <c r="D57" s="22" t="s">
        <v>1882</v>
      </c>
      <c r="E57" s="22" t="str">
        <f>VLOOKUP(Fellowes_Consumiveis9[[#This Row],[Código]],BD_Produto[],3,FALSE)</f>
        <v>Componentes</v>
      </c>
      <c r="F57" s="22" t="str">
        <f>VLOOKUP(Fellowes_Consumiveis9[[#This Row],[Código]],BD_Produto[],4,FALSE)</f>
        <v>Fragmentadora</v>
      </c>
      <c r="G57" s="24"/>
      <c r="H57" s="25"/>
      <c r="I57" s="22"/>
      <c r="J57" s="24"/>
      <c r="K57" s="24" t="str">
        <f>IFERROR(VLOOKUP(Fellowes_Consumiveis9[[#This Row],[Código]],Importação!P:R,3,FALSE),"")</f>
        <v/>
      </c>
      <c r="L57" s="24">
        <f>IFERROR(VLOOKUP(Fellowes_Consumiveis9[[#This Row],[Código]],Saldo[],3,FALSE),0)</f>
        <v>9</v>
      </c>
      <c r="M57" s="24">
        <f>SUM(Fellowes_Consumiveis9[[#This Row],[Produção]:[Estoque]])</f>
        <v>9</v>
      </c>
      <c r="N57" s="24" t="str">
        <f>IFERROR(Fellowes_Consumiveis9[[#This Row],[Estoque+Importação]]/Fellowes_Consumiveis9[[#This Row],[Proj. de V. No prox. mes]],"Sem Projeção")</f>
        <v>Sem Projeção</v>
      </c>
      <c r="O5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-9</v>
      </c>
      <c r="Q57" s="75">
        <f>VLOOKUP(Fellowes_Consumiveis9[[#This Row],[Código]],Projeção[#All],15,FALSE)</f>
        <v>0</v>
      </c>
      <c r="R57" s="39">
        <f>VLOOKUP(Fellowes_Consumiveis9[[#This Row],[Código]],Projeção[#All],14,FALSE)</f>
        <v>0</v>
      </c>
      <c r="S57" s="39">
        <f>IFERROR(VLOOKUP(Fellowes_Consumiveis9[[#This Row],[Código]],Venda_mes[],2,FALSE),0)</f>
        <v>0</v>
      </c>
      <c r="T57" s="44" t="str">
        <f>IFERROR(Fellowes_Consumiveis9[[#This Row],[V. No mes]]/Fellowes_Consumiveis9[[#This Row],[Proj. de V. No mes]],"")</f>
        <v/>
      </c>
      <c r="U5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7" s="39">
        <f>IFERROR(VLOOKUP(Fellowes_Consumiveis9[[#This Row],[Código]],Venda_3meses[],2,FALSE),0)</f>
        <v>0</v>
      </c>
      <c r="W57" s="44" t="str">
        <f>IFERROR(Fellowes_Consumiveis9[[#This Row],[V. 3 meses]]/Fellowes_Consumiveis9[[#This Row],[Proj. de V. 3 meses]],"")</f>
        <v/>
      </c>
      <c r="X5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7" s="39">
        <f>IFERROR(VLOOKUP(Fellowes_Consumiveis9[[#This Row],[Código]],Venda_12meses[],2,FALSE),0)</f>
        <v>0</v>
      </c>
      <c r="Z57" s="44" t="str">
        <f>IFERROR(Fellowes_Consumiveis9[[#This Row],[V. 12 meses]]/Fellowes_Consumiveis9[[#This Row],[Proj. de V. 12 meses]],"")</f>
        <v/>
      </c>
      <c r="AA57" s="22">
        <v>5306703</v>
      </c>
    </row>
    <row r="58" spans="1:27" x14ac:dyDescent="0.25">
      <c r="A58" s="22" t="str">
        <f>VLOOKUP(Fellowes_Consumiveis9[[#This Row],[Código]],BD_Produto[#All],7,FALSE)</f>
        <v>Componente</v>
      </c>
      <c r="B58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8" s="23">
        <v>33062065086</v>
      </c>
      <c r="D58" s="22" t="s">
        <v>1884</v>
      </c>
      <c r="E58" s="22" t="str">
        <f>VLOOKUP(Fellowes_Consumiveis9[[#This Row],[Código]],BD_Produto[],3,FALSE)</f>
        <v>Componentes</v>
      </c>
      <c r="F58" s="22" t="str">
        <f>VLOOKUP(Fellowes_Consumiveis9[[#This Row],[Código]],BD_Produto[],4,FALSE)</f>
        <v>Fragmentadora</v>
      </c>
      <c r="G58" s="24"/>
      <c r="H58" s="25"/>
      <c r="I58" s="22"/>
      <c r="J58" s="24"/>
      <c r="K58" s="24" t="str">
        <f>IFERROR(VLOOKUP(Fellowes_Consumiveis9[[#This Row],[Código]],Importação!P:R,3,FALSE),"")</f>
        <v/>
      </c>
      <c r="L58" s="24">
        <f>IFERROR(VLOOKUP(Fellowes_Consumiveis9[[#This Row],[Código]],Saldo[],3,FALSE),0)</f>
        <v>9</v>
      </c>
      <c r="M58" s="24">
        <f>SUM(Fellowes_Consumiveis9[[#This Row],[Produção]:[Estoque]])</f>
        <v>9</v>
      </c>
      <c r="N58" s="24" t="str">
        <f>IFERROR(Fellowes_Consumiveis9[[#This Row],[Estoque+Importação]]/Fellowes_Consumiveis9[[#This Row],[Proj. de V. No prox. mes]],"Sem Projeção")</f>
        <v>Sem Projeção</v>
      </c>
      <c r="O5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-9</v>
      </c>
      <c r="Q58" s="75">
        <f>VLOOKUP(Fellowes_Consumiveis9[[#This Row],[Código]],Projeção[#All],15,FALSE)</f>
        <v>0</v>
      </c>
      <c r="R58" s="39">
        <f>VLOOKUP(Fellowes_Consumiveis9[[#This Row],[Código]],Projeção[#All],14,FALSE)</f>
        <v>0</v>
      </c>
      <c r="S58" s="39">
        <f>IFERROR(VLOOKUP(Fellowes_Consumiveis9[[#This Row],[Código]],Venda_mes[],2,FALSE),0)</f>
        <v>0</v>
      </c>
      <c r="T58" s="44" t="str">
        <f>IFERROR(Fellowes_Consumiveis9[[#This Row],[V. No mes]]/Fellowes_Consumiveis9[[#This Row],[Proj. de V. No mes]],"")</f>
        <v/>
      </c>
      <c r="U5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8" s="39">
        <f>IFERROR(VLOOKUP(Fellowes_Consumiveis9[[#This Row],[Código]],Venda_3meses[],2,FALSE),0)</f>
        <v>0</v>
      </c>
      <c r="W58" s="44" t="str">
        <f>IFERROR(Fellowes_Consumiveis9[[#This Row],[V. 3 meses]]/Fellowes_Consumiveis9[[#This Row],[Proj. de V. 3 meses]],"")</f>
        <v/>
      </c>
      <c r="X5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8" s="39">
        <f>IFERROR(VLOOKUP(Fellowes_Consumiveis9[[#This Row],[Código]],Venda_12meses[],2,FALSE),0)</f>
        <v>0</v>
      </c>
      <c r="Z58" s="44" t="str">
        <f>IFERROR(Fellowes_Consumiveis9[[#This Row],[V. 12 meses]]/Fellowes_Consumiveis9[[#This Row],[Proj. de V. 12 meses]],"")</f>
        <v/>
      </c>
      <c r="AA58" s="22">
        <v>5306902</v>
      </c>
    </row>
    <row r="59" spans="1:27" x14ac:dyDescent="0.25">
      <c r="A59" s="22" t="str">
        <f>VLOOKUP(Fellowes_Consumiveis9[[#This Row],[Código]],BD_Produto[#All],7,FALSE)</f>
        <v>Componente</v>
      </c>
      <c r="B59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59" s="23">
        <v>33062065087</v>
      </c>
      <c r="D59" s="22" t="s">
        <v>1886</v>
      </c>
      <c r="E59" s="22" t="str">
        <f>VLOOKUP(Fellowes_Consumiveis9[[#This Row],[Código]],BD_Produto[],3,FALSE)</f>
        <v>Componentes</v>
      </c>
      <c r="F59" s="22" t="str">
        <f>VLOOKUP(Fellowes_Consumiveis9[[#This Row],[Código]],BD_Produto[],4,FALSE)</f>
        <v>Fragmentadora</v>
      </c>
      <c r="G59" s="24"/>
      <c r="H59" s="25"/>
      <c r="I59" s="22"/>
      <c r="J59" s="24"/>
      <c r="K59" s="24" t="str">
        <f>IFERROR(VLOOKUP(Fellowes_Consumiveis9[[#This Row],[Código]],Importação!P:R,3,FALSE),"")</f>
        <v/>
      </c>
      <c r="L59" s="24">
        <f>IFERROR(VLOOKUP(Fellowes_Consumiveis9[[#This Row],[Código]],Saldo[],3,FALSE),0)</f>
        <v>9</v>
      </c>
      <c r="M59" s="24">
        <f>SUM(Fellowes_Consumiveis9[[#This Row],[Produção]:[Estoque]])</f>
        <v>9</v>
      </c>
      <c r="N59" s="24" t="str">
        <f>IFERROR(Fellowes_Consumiveis9[[#This Row],[Estoque+Importação]]/Fellowes_Consumiveis9[[#This Row],[Proj. de V. No prox. mes]],"Sem Projeção")</f>
        <v>Sem Projeção</v>
      </c>
      <c r="O5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5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-9</v>
      </c>
      <c r="Q59" s="75">
        <f>VLOOKUP(Fellowes_Consumiveis9[[#This Row],[Código]],Projeção[#All],15,FALSE)</f>
        <v>0</v>
      </c>
      <c r="R59" s="39">
        <f>VLOOKUP(Fellowes_Consumiveis9[[#This Row],[Código]],Projeção[#All],14,FALSE)</f>
        <v>0</v>
      </c>
      <c r="S59" s="39">
        <f>IFERROR(VLOOKUP(Fellowes_Consumiveis9[[#This Row],[Código]],Venda_mes[],2,FALSE),0)</f>
        <v>0</v>
      </c>
      <c r="T59" s="44" t="str">
        <f>IFERROR(Fellowes_Consumiveis9[[#This Row],[V. No mes]]/Fellowes_Consumiveis9[[#This Row],[Proj. de V. No mes]],"")</f>
        <v/>
      </c>
      <c r="U5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59" s="39">
        <f>IFERROR(VLOOKUP(Fellowes_Consumiveis9[[#This Row],[Código]],Venda_3meses[],2,FALSE),0)</f>
        <v>0</v>
      </c>
      <c r="W59" s="44" t="str">
        <f>IFERROR(Fellowes_Consumiveis9[[#This Row],[V. 3 meses]]/Fellowes_Consumiveis9[[#This Row],[Proj. de V. 3 meses]],"")</f>
        <v/>
      </c>
      <c r="X5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59" s="39">
        <f>IFERROR(VLOOKUP(Fellowes_Consumiveis9[[#This Row],[Código]],Venda_12meses[],2,FALSE),0)</f>
        <v>0</v>
      </c>
      <c r="Z59" s="44" t="str">
        <f>IFERROR(Fellowes_Consumiveis9[[#This Row],[V. 12 meses]]/Fellowes_Consumiveis9[[#This Row],[Proj. de V. 12 meses]],"")</f>
        <v/>
      </c>
      <c r="AA59" s="22">
        <v>5307507</v>
      </c>
    </row>
    <row r="60" spans="1:27" x14ac:dyDescent="0.25">
      <c r="A60" s="22" t="str">
        <f>VLOOKUP(Fellowes_Consumiveis9[[#This Row],[Código]],BD_Produto[#All],7,FALSE)</f>
        <v>Componente</v>
      </c>
      <c r="B60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0" s="23">
        <v>33062065050</v>
      </c>
      <c r="D60" s="22" t="s">
        <v>1888</v>
      </c>
      <c r="E60" s="22" t="str">
        <f>VLOOKUP(Fellowes_Consumiveis9[[#This Row],[Código]],BD_Produto[],3,FALSE)</f>
        <v>Componentes</v>
      </c>
      <c r="F60" s="22" t="str">
        <f>VLOOKUP(Fellowes_Consumiveis9[[#This Row],[Código]],BD_Produto[],4,FALSE)</f>
        <v>Fragmentadora</v>
      </c>
      <c r="G60" s="24"/>
      <c r="H60" s="25"/>
      <c r="I60" s="22"/>
      <c r="J60" s="24"/>
      <c r="K60" s="24" t="str">
        <f>IFERROR(VLOOKUP(Fellowes_Consumiveis9[[#This Row],[Código]],Importação!P:R,3,FALSE),"")</f>
        <v/>
      </c>
      <c r="L60" s="24">
        <f>IFERROR(VLOOKUP(Fellowes_Consumiveis9[[#This Row],[Código]],Saldo[],3,FALSE),0)</f>
        <v>3</v>
      </c>
      <c r="M60" s="24">
        <f>SUM(Fellowes_Consumiveis9[[#This Row],[Produção]:[Estoque]])</f>
        <v>3</v>
      </c>
      <c r="N60" s="24" t="str">
        <f>IFERROR(Fellowes_Consumiveis9[[#This Row],[Estoque+Importação]]/Fellowes_Consumiveis9[[#This Row],[Proj. de V. No prox. mes]],"Sem Projeção")</f>
        <v>Sem Projeção</v>
      </c>
      <c r="O6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60" s="75">
        <f>VLOOKUP(Fellowes_Consumiveis9[[#This Row],[Código]],Projeção[#All],15,FALSE)</f>
        <v>0</v>
      </c>
      <c r="R60" s="39">
        <f>VLOOKUP(Fellowes_Consumiveis9[[#This Row],[Código]],Projeção[#All],14,FALSE)</f>
        <v>0</v>
      </c>
      <c r="S60" s="39">
        <f>IFERROR(VLOOKUP(Fellowes_Consumiveis9[[#This Row],[Código]],Venda_mes[],2,FALSE),0)</f>
        <v>0</v>
      </c>
      <c r="T60" s="44" t="str">
        <f>IFERROR(Fellowes_Consumiveis9[[#This Row],[V. No mes]]/Fellowes_Consumiveis9[[#This Row],[Proj. de V. No mes]],"")</f>
        <v/>
      </c>
      <c r="U6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0" s="39">
        <f>IFERROR(VLOOKUP(Fellowes_Consumiveis9[[#This Row],[Código]],Venda_3meses[],2,FALSE),0)</f>
        <v>0</v>
      </c>
      <c r="W60" s="44" t="str">
        <f>IFERROR(Fellowes_Consumiveis9[[#This Row],[V. 3 meses]]/Fellowes_Consumiveis9[[#This Row],[Proj. de V. 3 meses]],"")</f>
        <v/>
      </c>
      <c r="X6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0" s="39">
        <f>IFERROR(VLOOKUP(Fellowes_Consumiveis9[[#This Row],[Código]],Venda_12meses[],2,FALSE),0)</f>
        <v>0</v>
      </c>
      <c r="Z60" s="44" t="str">
        <f>IFERROR(Fellowes_Consumiveis9[[#This Row],[V. 12 meses]]/Fellowes_Consumiveis9[[#This Row],[Proj. de V. 12 meses]],"")</f>
        <v/>
      </c>
      <c r="AA60" s="22">
        <v>5307303</v>
      </c>
    </row>
    <row r="61" spans="1:27" x14ac:dyDescent="0.25">
      <c r="A61" s="22" t="str">
        <f>VLOOKUP(Fellowes_Consumiveis9[[#This Row],[Código]],BD_Produto[#All],7,FALSE)</f>
        <v>Componente</v>
      </c>
      <c r="B61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1" s="23">
        <v>33062065051</v>
      </c>
      <c r="D61" s="22" t="s">
        <v>1890</v>
      </c>
      <c r="E61" s="22" t="str">
        <f>VLOOKUP(Fellowes_Consumiveis9[[#This Row],[Código]],BD_Produto[],3,FALSE)</f>
        <v>Componentes</v>
      </c>
      <c r="F61" s="22" t="str">
        <f>VLOOKUP(Fellowes_Consumiveis9[[#This Row],[Código]],BD_Produto[],4,FALSE)</f>
        <v>Fragmentadora</v>
      </c>
      <c r="G61" s="24"/>
      <c r="H61" s="25"/>
      <c r="I61" s="22"/>
      <c r="J61" s="24"/>
      <c r="K61" s="24" t="str">
        <f>IFERROR(VLOOKUP(Fellowes_Consumiveis9[[#This Row],[Código]],Importação!P:R,3,FALSE),"")</f>
        <v/>
      </c>
      <c r="L61" s="24">
        <f>IFERROR(VLOOKUP(Fellowes_Consumiveis9[[#This Row],[Código]],Saldo[],3,FALSE),0)</f>
        <v>3</v>
      </c>
      <c r="M61" s="24">
        <f>SUM(Fellowes_Consumiveis9[[#This Row],[Produção]:[Estoque]])</f>
        <v>3</v>
      </c>
      <c r="N61" s="24" t="str">
        <f>IFERROR(Fellowes_Consumiveis9[[#This Row],[Estoque+Importação]]/Fellowes_Consumiveis9[[#This Row],[Proj. de V. No prox. mes]],"Sem Projeção")</f>
        <v>Sem Projeção</v>
      </c>
      <c r="O6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61" s="75">
        <f>VLOOKUP(Fellowes_Consumiveis9[[#This Row],[Código]],Projeção[#All],15,FALSE)</f>
        <v>0</v>
      </c>
      <c r="R61" s="39">
        <f>VLOOKUP(Fellowes_Consumiveis9[[#This Row],[Código]],Projeção[#All],14,FALSE)</f>
        <v>0</v>
      </c>
      <c r="S61" s="39">
        <f>IFERROR(VLOOKUP(Fellowes_Consumiveis9[[#This Row],[Código]],Venda_mes[],2,FALSE),0)</f>
        <v>0</v>
      </c>
      <c r="T61" s="44" t="str">
        <f>IFERROR(Fellowes_Consumiveis9[[#This Row],[V. No mes]]/Fellowes_Consumiveis9[[#This Row],[Proj. de V. No mes]],"")</f>
        <v/>
      </c>
      <c r="U6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1" s="39">
        <f>IFERROR(VLOOKUP(Fellowes_Consumiveis9[[#This Row],[Código]],Venda_3meses[],2,FALSE),0)</f>
        <v>0</v>
      </c>
      <c r="W61" s="44" t="str">
        <f>IFERROR(Fellowes_Consumiveis9[[#This Row],[V. 3 meses]]/Fellowes_Consumiveis9[[#This Row],[Proj. de V. 3 meses]],"")</f>
        <v/>
      </c>
      <c r="X6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1" s="39">
        <f>IFERROR(VLOOKUP(Fellowes_Consumiveis9[[#This Row],[Código]],Venda_12meses[],2,FALSE),0)</f>
        <v>0</v>
      </c>
      <c r="Z61" s="44" t="str">
        <f>IFERROR(Fellowes_Consumiveis9[[#This Row],[V. 12 meses]]/Fellowes_Consumiveis9[[#This Row],[Proj. de V. 12 meses]],"")</f>
        <v/>
      </c>
      <c r="AA61" s="22">
        <v>5307202</v>
      </c>
    </row>
    <row r="62" spans="1:27" x14ac:dyDescent="0.25">
      <c r="A62" s="22" t="str">
        <f>VLOOKUP(Fellowes_Consumiveis9[[#This Row],[Código]],BD_Produto[#All],7,FALSE)</f>
        <v>Componente</v>
      </c>
      <c r="B62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2" s="23">
        <v>33062065052</v>
      </c>
      <c r="D62" s="22" t="s">
        <v>388</v>
      </c>
      <c r="E62" s="22" t="str">
        <f>VLOOKUP(Fellowes_Consumiveis9[[#This Row],[Código]],BD_Produto[],3,FALSE)</f>
        <v>Componentes</v>
      </c>
      <c r="F62" s="22" t="str">
        <f>VLOOKUP(Fellowes_Consumiveis9[[#This Row],[Código]],BD_Produto[],4,FALSE)</f>
        <v>Fragmentadora</v>
      </c>
      <c r="G62" s="24"/>
      <c r="H62" s="25"/>
      <c r="I62" s="22"/>
      <c r="J62" s="24"/>
      <c r="K62" s="24" t="str">
        <f>IFERROR(VLOOKUP(Fellowes_Consumiveis9[[#This Row],[Código]],Importação!P:R,3,FALSE),"")</f>
        <v/>
      </c>
      <c r="L62" s="24">
        <f>IFERROR(VLOOKUP(Fellowes_Consumiveis9[[#This Row],[Código]],Saldo[],3,FALSE),0)</f>
        <v>3</v>
      </c>
      <c r="M62" s="24">
        <f>SUM(Fellowes_Consumiveis9[[#This Row],[Produção]:[Estoque]])</f>
        <v>3</v>
      </c>
      <c r="N62" s="24" t="str">
        <f>IFERROR(Fellowes_Consumiveis9[[#This Row],[Estoque+Importação]]/Fellowes_Consumiveis9[[#This Row],[Proj. de V. No prox. mes]],"Sem Projeção")</f>
        <v>Sem Projeção</v>
      </c>
      <c r="O6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62" s="75">
        <f>VLOOKUP(Fellowes_Consumiveis9[[#This Row],[Código]],Projeção[#All],15,FALSE)</f>
        <v>0</v>
      </c>
      <c r="R62" s="39">
        <f>VLOOKUP(Fellowes_Consumiveis9[[#This Row],[Código]],Projeção[#All],14,FALSE)</f>
        <v>0</v>
      </c>
      <c r="S62" s="39">
        <f>IFERROR(VLOOKUP(Fellowes_Consumiveis9[[#This Row],[Código]],Venda_mes[],2,FALSE),0)</f>
        <v>0</v>
      </c>
      <c r="T62" s="44" t="str">
        <f>IFERROR(Fellowes_Consumiveis9[[#This Row],[V. No mes]]/Fellowes_Consumiveis9[[#This Row],[Proj. de V. No mes]],"")</f>
        <v/>
      </c>
      <c r="U6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2" s="39">
        <f>IFERROR(VLOOKUP(Fellowes_Consumiveis9[[#This Row],[Código]],Venda_3meses[],2,FALSE),0)</f>
        <v>0</v>
      </c>
      <c r="W62" s="44" t="str">
        <f>IFERROR(Fellowes_Consumiveis9[[#This Row],[V. 3 meses]]/Fellowes_Consumiveis9[[#This Row],[Proj. de V. 3 meses]],"")</f>
        <v/>
      </c>
      <c r="X6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2" s="39">
        <f>IFERROR(VLOOKUP(Fellowes_Consumiveis9[[#This Row],[Código]],Venda_12meses[],2,FALSE),0)</f>
        <v>0</v>
      </c>
      <c r="Z62" s="44" t="str">
        <f>IFERROR(Fellowes_Consumiveis9[[#This Row],[V. 12 meses]]/Fellowes_Consumiveis9[[#This Row],[Proj. de V. 12 meses]],"")</f>
        <v/>
      </c>
      <c r="AA62" s="22">
        <v>53262</v>
      </c>
    </row>
    <row r="63" spans="1:27" x14ac:dyDescent="0.25">
      <c r="A63" s="22" t="str">
        <f>VLOOKUP(Fellowes_Consumiveis9[[#This Row],[Código]],BD_Produto[#All],7,FALSE)</f>
        <v>Componente</v>
      </c>
      <c r="B63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3" s="23">
        <v>33062065053</v>
      </c>
      <c r="D63" s="22" t="s">
        <v>1893</v>
      </c>
      <c r="E63" s="22" t="str">
        <f>VLOOKUP(Fellowes_Consumiveis9[[#This Row],[Código]],BD_Produto[],3,FALSE)</f>
        <v>Componentes</v>
      </c>
      <c r="F63" s="22" t="str">
        <f>VLOOKUP(Fellowes_Consumiveis9[[#This Row],[Código]],BD_Produto[],4,FALSE)</f>
        <v>Fragmentadora</v>
      </c>
      <c r="G63" s="24"/>
      <c r="H63" s="25"/>
      <c r="I63" s="22"/>
      <c r="J63" s="24"/>
      <c r="K63" s="24" t="str">
        <f>IFERROR(VLOOKUP(Fellowes_Consumiveis9[[#This Row],[Código]],Importação!P:R,3,FALSE),"")</f>
        <v/>
      </c>
      <c r="L63" s="24">
        <f>IFERROR(VLOOKUP(Fellowes_Consumiveis9[[#This Row],[Código]],Saldo[],3,FALSE),0)</f>
        <v>0</v>
      </c>
      <c r="M63" s="24">
        <f>SUM(Fellowes_Consumiveis9[[#This Row],[Produção]:[Estoque]])</f>
        <v>0</v>
      </c>
      <c r="N63" s="24" t="str">
        <f>IFERROR(Fellowes_Consumiveis9[[#This Row],[Estoque+Importação]]/Fellowes_Consumiveis9[[#This Row],[Proj. de V. No prox. mes]],"Sem Projeção")</f>
        <v>Sem Projeção</v>
      </c>
      <c r="O6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63" s="75">
        <f>VLOOKUP(Fellowes_Consumiveis9[[#This Row],[Código]],Projeção[#All],15,FALSE)</f>
        <v>0</v>
      </c>
      <c r="R63" s="39">
        <f>VLOOKUP(Fellowes_Consumiveis9[[#This Row],[Código]],Projeção[#All],14,FALSE)</f>
        <v>0</v>
      </c>
      <c r="S63" s="39">
        <f>IFERROR(VLOOKUP(Fellowes_Consumiveis9[[#This Row],[Código]],Venda_mes[],2,FALSE),0)</f>
        <v>0</v>
      </c>
      <c r="T63" s="44" t="str">
        <f>IFERROR(Fellowes_Consumiveis9[[#This Row],[V. No mes]]/Fellowes_Consumiveis9[[#This Row],[Proj. de V. No mes]],"")</f>
        <v/>
      </c>
      <c r="U6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3" s="39">
        <f>IFERROR(VLOOKUP(Fellowes_Consumiveis9[[#This Row],[Código]],Venda_3meses[],2,FALSE),0)</f>
        <v>0</v>
      </c>
      <c r="W63" s="44" t="str">
        <f>IFERROR(Fellowes_Consumiveis9[[#This Row],[V. 3 meses]]/Fellowes_Consumiveis9[[#This Row],[Proj. de V. 3 meses]],"")</f>
        <v/>
      </c>
      <c r="X6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3" s="39">
        <f>IFERROR(VLOOKUP(Fellowes_Consumiveis9[[#This Row],[Código]],Venda_12meses[],2,FALSE),0)</f>
        <v>0</v>
      </c>
      <c r="Z63" s="44" t="str">
        <f>IFERROR(Fellowes_Consumiveis9[[#This Row],[V. 12 meses]]/Fellowes_Consumiveis9[[#This Row],[Proj. de V. 12 meses]],"")</f>
        <v/>
      </c>
      <c r="AA63" s="22">
        <v>53265</v>
      </c>
    </row>
    <row r="64" spans="1:27" x14ac:dyDescent="0.25">
      <c r="A64" s="22" t="str">
        <f>VLOOKUP(Fellowes_Consumiveis9[[#This Row],[Código]],BD_Produto[#All],7,FALSE)</f>
        <v>Componente</v>
      </c>
      <c r="B64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4" s="23">
        <v>33062065090</v>
      </c>
      <c r="D64" s="22" t="s">
        <v>1895</v>
      </c>
      <c r="E64" s="22" t="str">
        <f>VLOOKUP(Fellowes_Consumiveis9[[#This Row],[Código]],BD_Produto[],3,FALSE)</f>
        <v>Componentes</v>
      </c>
      <c r="F64" s="22" t="str">
        <f>VLOOKUP(Fellowes_Consumiveis9[[#This Row],[Código]],BD_Produto[],4,FALSE)</f>
        <v>Fragmentadora</v>
      </c>
      <c r="G64" s="24"/>
      <c r="H64" s="25"/>
      <c r="I64" s="22"/>
      <c r="J64" s="24"/>
      <c r="K64" s="24" t="str">
        <f>IFERROR(VLOOKUP(Fellowes_Consumiveis9[[#This Row],[Código]],Importação!P:R,3,FALSE),"")</f>
        <v/>
      </c>
      <c r="L64" s="24">
        <f>IFERROR(VLOOKUP(Fellowes_Consumiveis9[[#This Row],[Código]],Saldo[],3,FALSE),0)</f>
        <v>6</v>
      </c>
      <c r="M64" s="24">
        <f>SUM(Fellowes_Consumiveis9[[#This Row],[Produção]:[Estoque]])</f>
        <v>6</v>
      </c>
      <c r="N64" s="24" t="str">
        <f>IFERROR(Fellowes_Consumiveis9[[#This Row],[Estoque+Importação]]/Fellowes_Consumiveis9[[#This Row],[Proj. de V. No prox. mes]],"Sem Projeção")</f>
        <v>Sem Projeção</v>
      </c>
      <c r="O6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64" s="75">
        <f>VLOOKUP(Fellowes_Consumiveis9[[#This Row],[Código]],Projeção[#All],15,FALSE)</f>
        <v>0</v>
      </c>
      <c r="R64" s="39">
        <f>VLOOKUP(Fellowes_Consumiveis9[[#This Row],[Código]],Projeção[#All],14,FALSE)</f>
        <v>0</v>
      </c>
      <c r="S64" s="39">
        <f>IFERROR(VLOOKUP(Fellowes_Consumiveis9[[#This Row],[Código]],Venda_mes[],2,FALSE),0)</f>
        <v>0</v>
      </c>
      <c r="T64" s="44" t="str">
        <f>IFERROR(Fellowes_Consumiveis9[[#This Row],[V. No mes]]/Fellowes_Consumiveis9[[#This Row],[Proj. de V. No mes]],"")</f>
        <v/>
      </c>
      <c r="U6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4" s="39">
        <f>IFERROR(VLOOKUP(Fellowes_Consumiveis9[[#This Row],[Código]],Venda_3meses[],2,FALSE),0)</f>
        <v>0</v>
      </c>
      <c r="W64" s="44" t="str">
        <f>IFERROR(Fellowes_Consumiveis9[[#This Row],[V. 3 meses]]/Fellowes_Consumiveis9[[#This Row],[Proj. de V. 3 meses]],"")</f>
        <v/>
      </c>
      <c r="X6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4" s="39">
        <f>IFERROR(VLOOKUP(Fellowes_Consumiveis9[[#This Row],[Código]],Venda_12meses[],2,FALSE),0)</f>
        <v>0</v>
      </c>
      <c r="Z64" s="44" t="str">
        <f>IFERROR(Fellowes_Consumiveis9[[#This Row],[V. 12 meses]]/Fellowes_Consumiveis9[[#This Row],[Proj. de V. 12 meses]],"")</f>
        <v/>
      </c>
      <c r="AA64" s="22">
        <v>53270</v>
      </c>
    </row>
    <row r="65" spans="1:27" x14ac:dyDescent="0.25">
      <c r="A65" s="22" t="str">
        <f>VLOOKUP(Fellowes_Consumiveis9[[#This Row],[Código]],BD_Produto[#All],7,FALSE)</f>
        <v>Componente</v>
      </c>
      <c r="B65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5" s="23">
        <v>33062065040</v>
      </c>
      <c r="D65" s="22" t="s">
        <v>1897</v>
      </c>
      <c r="E65" s="22" t="str">
        <f>VLOOKUP(Fellowes_Consumiveis9[[#This Row],[Código]],BD_Produto[],3,FALSE)</f>
        <v>Componentes</v>
      </c>
      <c r="F65" s="22" t="str">
        <f>VLOOKUP(Fellowes_Consumiveis9[[#This Row],[Código]],BD_Produto[],4,FALSE)</f>
        <v>Fragmentadora</v>
      </c>
      <c r="G65" s="24"/>
      <c r="H65" s="25"/>
      <c r="I65" s="22"/>
      <c r="J65" s="24"/>
      <c r="K65" s="24" t="str">
        <f>IFERROR(VLOOKUP(Fellowes_Consumiveis9[[#This Row],[Código]],Importação!P:R,3,FALSE),"")</f>
        <v/>
      </c>
      <c r="L65" s="24">
        <f>IFERROR(VLOOKUP(Fellowes_Consumiveis9[[#This Row],[Código]],Saldo[],3,FALSE),0)</f>
        <v>8</v>
      </c>
      <c r="M65" s="24">
        <f>SUM(Fellowes_Consumiveis9[[#This Row],[Produção]:[Estoque]])</f>
        <v>8</v>
      </c>
      <c r="N65" s="24" t="str">
        <f>IFERROR(Fellowes_Consumiveis9[[#This Row],[Estoque+Importação]]/Fellowes_Consumiveis9[[#This Row],[Proj. de V. No prox. mes]],"Sem Projeção")</f>
        <v>Sem Projeção</v>
      </c>
      <c r="O6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65" s="75">
        <f>VLOOKUP(Fellowes_Consumiveis9[[#This Row],[Código]],Projeção[#All],15,FALSE)</f>
        <v>0</v>
      </c>
      <c r="R65" s="39">
        <f>VLOOKUP(Fellowes_Consumiveis9[[#This Row],[Código]],Projeção[#All],14,FALSE)</f>
        <v>0</v>
      </c>
      <c r="S65" s="39">
        <f>IFERROR(VLOOKUP(Fellowes_Consumiveis9[[#This Row],[Código]],Venda_mes[],2,FALSE),0)</f>
        <v>0</v>
      </c>
      <c r="T65" s="44" t="str">
        <f>IFERROR(Fellowes_Consumiveis9[[#This Row],[V. No mes]]/Fellowes_Consumiveis9[[#This Row],[Proj. de V. No mes]],"")</f>
        <v/>
      </c>
      <c r="U6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5" s="39">
        <f>IFERROR(VLOOKUP(Fellowes_Consumiveis9[[#This Row],[Código]],Venda_3meses[],2,FALSE),0)</f>
        <v>0</v>
      </c>
      <c r="W65" s="44" t="str">
        <f>IFERROR(Fellowes_Consumiveis9[[#This Row],[V. 3 meses]]/Fellowes_Consumiveis9[[#This Row],[Proj. de V. 3 meses]],"")</f>
        <v/>
      </c>
      <c r="X6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5" s="39">
        <f>IFERROR(VLOOKUP(Fellowes_Consumiveis9[[#This Row],[Código]],Venda_12meses[],2,FALSE),0)</f>
        <v>0</v>
      </c>
      <c r="Z65" s="44" t="str">
        <f>IFERROR(Fellowes_Consumiveis9[[#This Row],[V. 12 meses]]/Fellowes_Consumiveis9[[#This Row],[Proj. de V. 12 meses]],"")</f>
        <v/>
      </c>
      <c r="AA65" s="22">
        <v>53273</v>
      </c>
    </row>
    <row r="66" spans="1:27" x14ac:dyDescent="0.25">
      <c r="A66" s="22" t="str">
        <f>VLOOKUP(Fellowes_Consumiveis9[[#This Row],[Código]],BD_Produto[#All],7,FALSE)</f>
        <v>Componente</v>
      </c>
      <c r="B66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6" s="23">
        <v>33062065039</v>
      </c>
      <c r="D66" s="22" t="s">
        <v>1899</v>
      </c>
      <c r="E66" s="22" t="str">
        <f>VLOOKUP(Fellowes_Consumiveis9[[#This Row],[Código]],BD_Produto[],3,FALSE)</f>
        <v>Componentes</v>
      </c>
      <c r="F66" s="22" t="str">
        <f>VLOOKUP(Fellowes_Consumiveis9[[#This Row],[Código]],BD_Produto[],4,FALSE)</f>
        <v>Fragmentadora</v>
      </c>
      <c r="G66" s="24"/>
      <c r="H66" s="25"/>
      <c r="I66" s="22"/>
      <c r="J66" s="24"/>
      <c r="K66" s="24" t="str">
        <f>IFERROR(VLOOKUP(Fellowes_Consumiveis9[[#This Row],[Código]],Importação!P:R,3,FALSE),"")</f>
        <v/>
      </c>
      <c r="L66" s="24">
        <f>IFERROR(VLOOKUP(Fellowes_Consumiveis9[[#This Row],[Código]],Saldo[],3,FALSE),0)</f>
        <v>8</v>
      </c>
      <c r="M66" s="24">
        <f>SUM(Fellowes_Consumiveis9[[#This Row],[Produção]:[Estoque]])</f>
        <v>8</v>
      </c>
      <c r="N66" s="24" t="str">
        <f>IFERROR(Fellowes_Consumiveis9[[#This Row],[Estoque+Importação]]/Fellowes_Consumiveis9[[#This Row],[Proj. de V. No prox. mes]],"Sem Projeção")</f>
        <v>Sem Projeção</v>
      </c>
      <c r="O6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66" s="75">
        <f>VLOOKUP(Fellowes_Consumiveis9[[#This Row],[Código]],Projeção[#All],15,FALSE)</f>
        <v>0</v>
      </c>
      <c r="R66" s="39">
        <f>VLOOKUP(Fellowes_Consumiveis9[[#This Row],[Código]],Projeção[#All],14,FALSE)</f>
        <v>0</v>
      </c>
      <c r="S66" s="39">
        <f>IFERROR(VLOOKUP(Fellowes_Consumiveis9[[#This Row],[Código]],Venda_mes[],2,FALSE),0)</f>
        <v>0</v>
      </c>
      <c r="T66" s="44" t="str">
        <f>IFERROR(Fellowes_Consumiveis9[[#This Row],[V. No mes]]/Fellowes_Consumiveis9[[#This Row],[Proj. de V. No mes]],"")</f>
        <v/>
      </c>
      <c r="U6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6" s="39">
        <f>IFERROR(VLOOKUP(Fellowes_Consumiveis9[[#This Row],[Código]],Venda_3meses[],2,FALSE),0)</f>
        <v>0</v>
      </c>
      <c r="W66" s="44" t="str">
        <f>IFERROR(Fellowes_Consumiveis9[[#This Row],[V. 3 meses]]/Fellowes_Consumiveis9[[#This Row],[Proj. de V. 3 meses]],"")</f>
        <v/>
      </c>
      <c r="X6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6" s="39">
        <f>IFERROR(VLOOKUP(Fellowes_Consumiveis9[[#This Row],[Código]],Venda_12meses[],2,FALSE),0)</f>
        <v>0</v>
      </c>
      <c r="Z66" s="44" t="str">
        <f>IFERROR(Fellowes_Consumiveis9[[#This Row],[V. 12 meses]]/Fellowes_Consumiveis9[[#This Row],[Proj. de V. 12 meses]],"")</f>
        <v/>
      </c>
      <c r="AA66" s="22">
        <v>53274</v>
      </c>
    </row>
    <row r="67" spans="1:27" x14ac:dyDescent="0.25">
      <c r="A67" s="22" t="str">
        <f>VLOOKUP(Fellowes_Consumiveis9[[#This Row],[Código]],BD_Produto[#All],7,FALSE)</f>
        <v>Componente</v>
      </c>
      <c r="B67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7" s="23">
        <v>33062065045</v>
      </c>
      <c r="D67" s="22" t="s">
        <v>1901</v>
      </c>
      <c r="E67" s="22" t="str">
        <f>VLOOKUP(Fellowes_Consumiveis9[[#This Row],[Código]],BD_Produto[],3,FALSE)</f>
        <v>Componentes</v>
      </c>
      <c r="F67" s="22" t="str">
        <f>VLOOKUP(Fellowes_Consumiveis9[[#This Row],[Código]],BD_Produto[],4,FALSE)</f>
        <v>Fragmentadora</v>
      </c>
      <c r="G67" s="24"/>
      <c r="H67" s="25"/>
      <c r="I67" s="22"/>
      <c r="J67" s="24"/>
      <c r="K67" s="24" t="str">
        <f>IFERROR(VLOOKUP(Fellowes_Consumiveis9[[#This Row],[Código]],Importação!P:R,3,FALSE),"")</f>
        <v/>
      </c>
      <c r="L67" s="24">
        <f>IFERROR(VLOOKUP(Fellowes_Consumiveis9[[#This Row],[Código]],Saldo[],3,FALSE),0)</f>
        <v>8</v>
      </c>
      <c r="M67" s="24">
        <f>SUM(Fellowes_Consumiveis9[[#This Row],[Produção]:[Estoque]])</f>
        <v>8</v>
      </c>
      <c r="N67" s="24" t="str">
        <f>IFERROR(Fellowes_Consumiveis9[[#This Row],[Estoque+Importação]]/Fellowes_Consumiveis9[[#This Row],[Proj. de V. No prox. mes]],"Sem Projeção")</f>
        <v>Sem Projeção</v>
      </c>
      <c r="O6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-8</v>
      </c>
      <c r="Q67" s="75">
        <f>VLOOKUP(Fellowes_Consumiveis9[[#This Row],[Código]],Projeção[#All],15,FALSE)</f>
        <v>0</v>
      </c>
      <c r="R67" s="39">
        <f>VLOOKUP(Fellowes_Consumiveis9[[#This Row],[Código]],Projeção[#All],14,FALSE)</f>
        <v>0</v>
      </c>
      <c r="S67" s="39">
        <f>IFERROR(VLOOKUP(Fellowes_Consumiveis9[[#This Row],[Código]],Venda_mes[],2,FALSE),0)</f>
        <v>0</v>
      </c>
      <c r="T67" s="44" t="str">
        <f>IFERROR(Fellowes_Consumiveis9[[#This Row],[V. No mes]]/Fellowes_Consumiveis9[[#This Row],[Proj. de V. No mes]],"")</f>
        <v/>
      </c>
      <c r="U6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7" s="39">
        <f>IFERROR(VLOOKUP(Fellowes_Consumiveis9[[#This Row],[Código]],Venda_3meses[],2,FALSE),0)</f>
        <v>0</v>
      </c>
      <c r="W67" s="44" t="str">
        <f>IFERROR(Fellowes_Consumiveis9[[#This Row],[V. 3 meses]]/Fellowes_Consumiveis9[[#This Row],[Proj. de V. 3 meses]],"")</f>
        <v/>
      </c>
      <c r="X6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7" s="39">
        <f>IFERROR(VLOOKUP(Fellowes_Consumiveis9[[#This Row],[Código]],Venda_12meses[],2,FALSE),0)</f>
        <v>0</v>
      </c>
      <c r="Z67" s="44" t="str">
        <f>IFERROR(Fellowes_Consumiveis9[[#This Row],[V. 12 meses]]/Fellowes_Consumiveis9[[#This Row],[Proj. de V. 12 meses]],"")</f>
        <v/>
      </c>
      <c r="AA67" s="22">
        <v>53277</v>
      </c>
    </row>
    <row r="68" spans="1:27" x14ac:dyDescent="0.25">
      <c r="A68" s="22" t="str">
        <f>VLOOKUP(Fellowes_Consumiveis9[[#This Row],[Código]],BD_Produto[#All],7,FALSE)</f>
        <v>Componente</v>
      </c>
      <c r="B68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8" s="23">
        <v>33062065021</v>
      </c>
      <c r="D68" s="22" t="s">
        <v>1903</v>
      </c>
      <c r="E68" s="22" t="str">
        <f>VLOOKUP(Fellowes_Consumiveis9[[#This Row],[Código]],BD_Produto[],3,FALSE)</f>
        <v>Componentes</v>
      </c>
      <c r="F68" s="22" t="str">
        <f>VLOOKUP(Fellowes_Consumiveis9[[#This Row],[Código]],BD_Produto[],4,FALSE)</f>
        <v>Fragmentadora</v>
      </c>
      <c r="G68" s="24"/>
      <c r="H68" s="25"/>
      <c r="I68" s="22"/>
      <c r="J68" s="24"/>
      <c r="K68" s="24" t="str">
        <f>IFERROR(VLOOKUP(Fellowes_Consumiveis9[[#This Row],[Código]],Importação!P:R,3,FALSE),"")</f>
        <v/>
      </c>
      <c r="L68" s="24">
        <f>IFERROR(VLOOKUP(Fellowes_Consumiveis9[[#This Row],[Código]],Saldo[],3,FALSE),0)</f>
        <v>4</v>
      </c>
      <c r="M68" s="24">
        <f>SUM(Fellowes_Consumiveis9[[#This Row],[Produção]:[Estoque]])</f>
        <v>4</v>
      </c>
      <c r="N68" s="24" t="str">
        <f>IFERROR(Fellowes_Consumiveis9[[#This Row],[Estoque+Importação]]/Fellowes_Consumiveis9[[#This Row],[Proj. de V. No prox. mes]],"Sem Projeção")</f>
        <v>Sem Projeção</v>
      </c>
      <c r="O6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68" s="75">
        <f>VLOOKUP(Fellowes_Consumiveis9[[#This Row],[Código]],Projeção[#All],15,FALSE)</f>
        <v>0</v>
      </c>
      <c r="R68" s="39">
        <f>VLOOKUP(Fellowes_Consumiveis9[[#This Row],[Código]],Projeção[#All],14,FALSE)</f>
        <v>0</v>
      </c>
      <c r="S68" s="39">
        <f>IFERROR(VLOOKUP(Fellowes_Consumiveis9[[#This Row],[Código]],Venda_mes[],2,FALSE),0)</f>
        <v>0</v>
      </c>
      <c r="T68" s="44" t="str">
        <f>IFERROR(Fellowes_Consumiveis9[[#This Row],[V. No mes]]/Fellowes_Consumiveis9[[#This Row],[Proj. de V. No mes]],"")</f>
        <v/>
      </c>
      <c r="U6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8" s="39">
        <f>IFERROR(VLOOKUP(Fellowes_Consumiveis9[[#This Row],[Código]],Venda_3meses[],2,FALSE),0)</f>
        <v>0</v>
      </c>
      <c r="W68" s="44" t="str">
        <f>IFERROR(Fellowes_Consumiveis9[[#This Row],[V. 3 meses]]/Fellowes_Consumiveis9[[#This Row],[Proj. de V. 3 meses]],"")</f>
        <v/>
      </c>
      <c r="X6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8" s="39">
        <f>IFERROR(VLOOKUP(Fellowes_Consumiveis9[[#This Row],[Código]],Venda_12meses[],2,FALSE),0)</f>
        <v>0</v>
      </c>
      <c r="Z68" s="44" t="str">
        <f>IFERROR(Fellowes_Consumiveis9[[#This Row],[V. 12 meses]]/Fellowes_Consumiveis9[[#This Row],[Proj. de V. 12 meses]],"")</f>
        <v/>
      </c>
      <c r="AA68" s="22">
        <v>53215</v>
      </c>
    </row>
    <row r="69" spans="1:27" x14ac:dyDescent="0.25">
      <c r="A69" s="22" t="str">
        <f>VLOOKUP(Fellowes_Consumiveis9[[#This Row],[Código]],BD_Produto[#All],7,FALSE)</f>
        <v>Componente</v>
      </c>
      <c r="B69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69" s="23">
        <v>33062065023</v>
      </c>
      <c r="D69" s="22" t="s">
        <v>1905</v>
      </c>
      <c r="E69" s="22" t="str">
        <f>VLOOKUP(Fellowes_Consumiveis9[[#This Row],[Código]],BD_Produto[],3,FALSE)</f>
        <v>Componentes</v>
      </c>
      <c r="F69" s="22" t="str">
        <f>VLOOKUP(Fellowes_Consumiveis9[[#This Row],[Código]],BD_Produto[],4,FALSE)</f>
        <v>Fragmentadora</v>
      </c>
      <c r="G69" s="24"/>
      <c r="H69" s="25"/>
      <c r="I69" s="22"/>
      <c r="J69" s="24"/>
      <c r="K69" s="24" t="str">
        <f>IFERROR(VLOOKUP(Fellowes_Consumiveis9[[#This Row],[Código]],Importação!P:R,3,FALSE),"")</f>
        <v/>
      </c>
      <c r="L69" s="24">
        <f>IFERROR(VLOOKUP(Fellowes_Consumiveis9[[#This Row],[Código]],Saldo[],3,FALSE),0)</f>
        <v>5</v>
      </c>
      <c r="M69" s="24">
        <f>SUM(Fellowes_Consumiveis9[[#This Row],[Produção]:[Estoque]])</f>
        <v>5</v>
      </c>
      <c r="N69" s="24" t="str">
        <f>IFERROR(Fellowes_Consumiveis9[[#This Row],[Estoque+Importação]]/Fellowes_Consumiveis9[[#This Row],[Proj. de V. No prox. mes]],"Sem Projeção")</f>
        <v>Sem Projeção</v>
      </c>
      <c r="O6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6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69" s="75">
        <f>VLOOKUP(Fellowes_Consumiveis9[[#This Row],[Código]],Projeção[#All],15,FALSE)</f>
        <v>0</v>
      </c>
      <c r="R69" s="39">
        <f>VLOOKUP(Fellowes_Consumiveis9[[#This Row],[Código]],Projeção[#All],14,FALSE)</f>
        <v>0</v>
      </c>
      <c r="S69" s="39">
        <f>IFERROR(VLOOKUP(Fellowes_Consumiveis9[[#This Row],[Código]],Venda_mes[],2,FALSE),0)</f>
        <v>0</v>
      </c>
      <c r="T69" s="44" t="str">
        <f>IFERROR(Fellowes_Consumiveis9[[#This Row],[V. No mes]]/Fellowes_Consumiveis9[[#This Row],[Proj. de V. No mes]],"")</f>
        <v/>
      </c>
      <c r="U6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69" s="39">
        <f>IFERROR(VLOOKUP(Fellowes_Consumiveis9[[#This Row],[Código]],Venda_3meses[],2,FALSE),0)</f>
        <v>0</v>
      </c>
      <c r="W69" s="44" t="str">
        <f>IFERROR(Fellowes_Consumiveis9[[#This Row],[V. 3 meses]]/Fellowes_Consumiveis9[[#This Row],[Proj. de V. 3 meses]],"")</f>
        <v/>
      </c>
      <c r="X6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69" s="39">
        <f>IFERROR(VLOOKUP(Fellowes_Consumiveis9[[#This Row],[Código]],Venda_12meses[],2,FALSE),0)</f>
        <v>0</v>
      </c>
      <c r="Z69" s="44" t="str">
        <f>IFERROR(Fellowes_Consumiveis9[[#This Row],[V. 12 meses]]/Fellowes_Consumiveis9[[#This Row],[Proj. de V. 12 meses]],"")</f>
        <v/>
      </c>
      <c r="AA69" s="22">
        <v>53258</v>
      </c>
    </row>
    <row r="70" spans="1:27" x14ac:dyDescent="0.25">
      <c r="A70" s="22" t="str">
        <f>VLOOKUP(Fellowes_Consumiveis9[[#This Row],[Código]],BD_Produto[#All],7,FALSE)</f>
        <v>Componente</v>
      </c>
      <c r="B70" s="22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0" s="23">
        <v>33062065022</v>
      </c>
      <c r="D70" s="22" t="s">
        <v>1907</v>
      </c>
      <c r="E70" s="22" t="str">
        <f>VLOOKUP(Fellowes_Consumiveis9[[#This Row],[Código]],BD_Produto[],3,FALSE)</f>
        <v>Componentes</v>
      </c>
      <c r="F70" s="22" t="str">
        <f>VLOOKUP(Fellowes_Consumiveis9[[#This Row],[Código]],BD_Produto[],4,FALSE)</f>
        <v>Fragmentadora</v>
      </c>
      <c r="G70" s="24"/>
      <c r="H70" s="25"/>
      <c r="I70" s="22"/>
      <c r="J70" s="24"/>
      <c r="K70" s="24" t="str">
        <f>IFERROR(VLOOKUP(Fellowes_Consumiveis9[[#This Row],[Código]],Importação!P:R,3,FALSE),"")</f>
        <v/>
      </c>
      <c r="L70" s="24">
        <f>IFERROR(VLOOKUP(Fellowes_Consumiveis9[[#This Row],[Código]],Saldo[],3,FALSE),0)</f>
        <v>3</v>
      </c>
      <c r="M70" s="24">
        <f>SUM(Fellowes_Consumiveis9[[#This Row],[Produção]:[Estoque]])</f>
        <v>3</v>
      </c>
      <c r="N70" s="24" t="str">
        <f>IFERROR(Fellowes_Consumiveis9[[#This Row],[Estoque+Importação]]/Fellowes_Consumiveis9[[#This Row],[Proj. de V. No prox. mes]],"Sem Projeção")</f>
        <v>Sem Projeção</v>
      </c>
      <c r="O7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70" s="75">
        <f>VLOOKUP(Fellowes_Consumiveis9[[#This Row],[Código]],Projeção[#All],15,FALSE)</f>
        <v>0</v>
      </c>
      <c r="R70" s="39">
        <f>VLOOKUP(Fellowes_Consumiveis9[[#This Row],[Código]],Projeção[#All],14,FALSE)</f>
        <v>0</v>
      </c>
      <c r="S70" s="39">
        <f>IFERROR(VLOOKUP(Fellowes_Consumiveis9[[#This Row],[Código]],Venda_mes[],2,FALSE),0)</f>
        <v>0</v>
      </c>
      <c r="T70" s="44" t="str">
        <f>IFERROR(Fellowes_Consumiveis9[[#This Row],[V. No mes]]/Fellowes_Consumiveis9[[#This Row],[Proj. de V. No mes]],"")</f>
        <v/>
      </c>
      <c r="U7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0" s="39">
        <f>IFERROR(VLOOKUP(Fellowes_Consumiveis9[[#This Row],[Código]],Venda_3meses[],2,FALSE),0)</f>
        <v>0</v>
      </c>
      <c r="W70" s="44" t="str">
        <f>IFERROR(Fellowes_Consumiveis9[[#This Row],[V. 3 meses]]/Fellowes_Consumiveis9[[#This Row],[Proj. de V. 3 meses]],"")</f>
        <v/>
      </c>
      <c r="X7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0" s="39">
        <f>IFERROR(VLOOKUP(Fellowes_Consumiveis9[[#This Row],[Código]],Venda_12meses[],2,FALSE),0)</f>
        <v>0</v>
      </c>
      <c r="Z70" s="44" t="str">
        <f>IFERROR(Fellowes_Consumiveis9[[#This Row],[V. 12 meses]]/Fellowes_Consumiveis9[[#This Row],[Proj. de V. 12 meses]],"")</f>
        <v/>
      </c>
      <c r="AA70" s="22">
        <v>53261</v>
      </c>
    </row>
    <row r="71" spans="1:27" x14ac:dyDescent="0.25">
      <c r="A71" s="66" t="str">
        <f>VLOOKUP(Fellowes_Consumiveis9[[#This Row],[Código]],BD_Produto[#All],7,FALSE)</f>
        <v>Componente</v>
      </c>
      <c r="B71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1" s="23">
        <v>33062064876</v>
      </c>
      <c r="D71" s="66" t="s">
        <v>1912</v>
      </c>
      <c r="E71" s="66" t="str">
        <f>VLOOKUP(Fellowes_Consumiveis9[[#This Row],[Código]],BD_Produto[],3,FALSE)</f>
        <v>Componentes</v>
      </c>
      <c r="F71" s="66" t="str">
        <f>VLOOKUP(Fellowes_Consumiveis9[[#This Row],[Código]],BD_Produto[],4,FALSE)</f>
        <v>Fragmentadora</v>
      </c>
      <c r="G71" s="24"/>
      <c r="H71" s="25"/>
      <c r="I71" s="22"/>
      <c r="J71" s="24"/>
      <c r="K71" s="24" t="str">
        <f>IFERROR(VLOOKUP(Fellowes_Consumiveis9[[#This Row],[Código]],Importação!P:R,3,FALSE),"")</f>
        <v/>
      </c>
      <c r="L71" s="24">
        <f>IFERROR(VLOOKUP(Fellowes_Consumiveis9[[#This Row],[Código]],Saldo[],3,FALSE),0)</f>
        <v>3</v>
      </c>
      <c r="M71" s="24">
        <f>SUM(Fellowes_Consumiveis9[[#This Row],[Produção]:[Estoque]])</f>
        <v>3</v>
      </c>
      <c r="N71" s="24" t="str">
        <f>IFERROR(Fellowes_Consumiveis9[[#This Row],[Estoque+Importação]]/Fellowes_Consumiveis9[[#This Row],[Proj. de V. No prox. mes]],"Sem Projeção")</f>
        <v>Sem Projeção</v>
      </c>
      <c r="O7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71" s="75">
        <f>VLOOKUP(Fellowes_Consumiveis9[[#This Row],[Código]],Projeção[#All],15,FALSE)</f>
        <v>0</v>
      </c>
      <c r="R71" s="39">
        <f>VLOOKUP(Fellowes_Consumiveis9[[#This Row],[Código]],Projeção[#All],14,FALSE)</f>
        <v>0</v>
      </c>
      <c r="S71" s="24">
        <f>IFERROR(VLOOKUP(Fellowes_Consumiveis9[[#This Row],[Código]],Venda_mes[],2,FALSE),0)</f>
        <v>0</v>
      </c>
      <c r="T71" s="44" t="str">
        <f>IFERROR(Fellowes_Consumiveis9[[#This Row],[V. No mes]]/Fellowes_Consumiveis9[[#This Row],[Proj. de V. No mes]],"")</f>
        <v/>
      </c>
      <c r="U7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1" s="24">
        <f>IFERROR(VLOOKUP(Fellowes_Consumiveis9[[#This Row],[Código]],Venda_3meses[],2,FALSE),0)</f>
        <v>0</v>
      </c>
      <c r="W71" s="44" t="str">
        <f>IFERROR(Fellowes_Consumiveis9[[#This Row],[V. 3 meses]]/Fellowes_Consumiveis9[[#This Row],[Proj. de V. 3 meses]],"")</f>
        <v/>
      </c>
      <c r="X7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1" s="24">
        <f>IFERROR(VLOOKUP(Fellowes_Consumiveis9[[#This Row],[Código]],Venda_12meses[],2,FALSE),0)</f>
        <v>0</v>
      </c>
      <c r="Z71" s="44" t="str">
        <f>IFERROR(Fellowes_Consumiveis9[[#This Row],[V. 12 meses]]/Fellowes_Consumiveis9[[#This Row],[Proj. de V. 12 meses]],"")</f>
        <v/>
      </c>
      <c r="AA71" s="22"/>
    </row>
    <row r="72" spans="1:27" x14ac:dyDescent="0.25">
      <c r="A72" s="66" t="str">
        <f>VLOOKUP(Fellowes_Consumiveis9[[#This Row],[Código]],BD_Produto[#All],7,FALSE)</f>
        <v>Componente</v>
      </c>
      <c r="B72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2" s="23">
        <v>33062064877</v>
      </c>
      <c r="D72" s="66" t="s">
        <v>1914</v>
      </c>
      <c r="E72" s="66" t="str">
        <f>VLOOKUP(Fellowes_Consumiveis9[[#This Row],[Código]],BD_Produto[],3,FALSE)</f>
        <v>Componentes</v>
      </c>
      <c r="F72" s="66" t="str">
        <f>VLOOKUP(Fellowes_Consumiveis9[[#This Row],[Código]],BD_Produto[],4,FALSE)</f>
        <v>Fragmentadora</v>
      </c>
      <c r="G72" s="24"/>
      <c r="H72" s="25"/>
      <c r="I72" s="22"/>
      <c r="J72" s="24"/>
      <c r="K72" s="24" t="str">
        <f>IFERROR(VLOOKUP(Fellowes_Consumiveis9[[#This Row],[Código]],Importação!P:R,3,FALSE),"")</f>
        <v/>
      </c>
      <c r="L72" s="24">
        <f>IFERROR(VLOOKUP(Fellowes_Consumiveis9[[#This Row],[Código]],Saldo[],3,FALSE),0)</f>
        <v>3</v>
      </c>
      <c r="M72" s="24">
        <f>SUM(Fellowes_Consumiveis9[[#This Row],[Produção]:[Estoque]])</f>
        <v>3</v>
      </c>
      <c r="N72" s="24" t="str">
        <f>IFERROR(Fellowes_Consumiveis9[[#This Row],[Estoque+Importação]]/Fellowes_Consumiveis9[[#This Row],[Proj. de V. No prox. mes]],"Sem Projeção")</f>
        <v>Sem Projeção</v>
      </c>
      <c r="O7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72" s="75">
        <f>VLOOKUP(Fellowes_Consumiveis9[[#This Row],[Código]],Projeção[#All],15,FALSE)</f>
        <v>0</v>
      </c>
      <c r="R72" s="39">
        <f>VLOOKUP(Fellowes_Consumiveis9[[#This Row],[Código]],Projeção[#All],14,FALSE)</f>
        <v>0</v>
      </c>
      <c r="S72" s="24">
        <f>IFERROR(VLOOKUP(Fellowes_Consumiveis9[[#This Row],[Código]],Venda_mes[],2,FALSE),0)</f>
        <v>0</v>
      </c>
      <c r="T72" s="44" t="str">
        <f>IFERROR(Fellowes_Consumiveis9[[#This Row],[V. No mes]]/Fellowes_Consumiveis9[[#This Row],[Proj. de V. No mes]],"")</f>
        <v/>
      </c>
      <c r="U7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2" s="24">
        <f>IFERROR(VLOOKUP(Fellowes_Consumiveis9[[#This Row],[Código]],Venda_3meses[],2,FALSE),0)</f>
        <v>0</v>
      </c>
      <c r="W72" s="44" t="str">
        <f>IFERROR(Fellowes_Consumiveis9[[#This Row],[V. 3 meses]]/Fellowes_Consumiveis9[[#This Row],[Proj. de V. 3 meses]],"")</f>
        <v/>
      </c>
      <c r="X7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2" s="24">
        <f>IFERROR(VLOOKUP(Fellowes_Consumiveis9[[#This Row],[Código]],Venda_12meses[],2,FALSE),0)</f>
        <v>0</v>
      </c>
      <c r="Z72" s="44" t="str">
        <f>IFERROR(Fellowes_Consumiveis9[[#This Row],[V. 12 meses]]/Fellowes_Consumiveis9[[#This Row],[Proj. de V. 12 meses]],"")</f>
        <v/>
      </c>
      <c r="AA72" s="22"/>
    </row>
    <row r="73" spans="1:27" x14ac:dyDescent="0.25">
      <c r="A73" s="66" t="str">
        <f>VLOOKUP(Fellowes_Consumiveis9[[#This Row],[Código]],BD_Produto[#All],7,FALSE)</f>
        <v>Componente</v>
      </c>
      <c r="B73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3" s="23">
        <v>33062064878</v>
      </c>
      <c r="D73" s="66" t="s">
        <v>1916</v>
      </c>
      <c r="E73" s="66" t="str">
        <f>VLOOKUP(Fellowes_Consumiveis9[[#This Row],[Código]],BD_Produto[],3,FALSE)</f>
        <v>Componentes</v>
      </c>
      <c r="F73" s="66" t="str">
        <f>VLOOKUP(Fellowes_Consumiveis9[[#This Row],[Código]],BD_Produto[],4,FALSE)</f>
        <v>Fragmentadora</v>
      </c>
      <c r="G73" s="24"/>
      <c r="H73" s="25"/>
      <c r="I73" s="22"/>
      <c r="J73" s="24"/>
      <c r="K73" s="24" t="str">
        <f>IFERROR(VLOOKUP(Fellowes_Consumiveis9[[#This Row],[Código]],Importação!P:R,3,FALSE),"")</f>
        <v/>
      </c>
      <c r="L73" s="24">
        <f>IFERROR(VLOOKUP(Fellowes_Consumiveis9[[#This Row],[Código]],Saldo[],3,FALSE),0)</f>
        <v>3</v>
      </c>
      <c r="M73" s="24">
        <f>SUM(Fellowes_Consumiveis9[[#This Row],[Produção]:[Estoque]])</f>
        <v>3</v>
      </c>
      <c r="N73" s="24" t="str">
        <f>IFERROR(Fellowes_Consumiveis9[[#This Row],[Estoque+Importação]]/Fellowes_Consumiveis9[[#This Row],[Proj. de V. No prox. mes]],"Sem Projeção")</f>
        <v>Sem Projeção</v>
      </c>
      <c r="O7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73" s="75">
        <f>VLOOKUP(Fellowes_Consumiveis9[[#This Row],[Código]],Projeção[#All],15,FALSE)</f>
        <v>0</v>
      </c>
      <c r="R73" s="39">
        <f>VLOOKUP(Fellowes_Consumiveis9[[#This Row],[Código]],Projeção[#All],14,FALSE)</f>
        <v>0</v>
      </c>
      <c r="S73" s="24">
        <f>IFERROR(VLOOKUP(Fellowes_Consumiveis9[[#This Row],[Código]],Venda_mes[],2,FALSE),0)</f>
        <v>0</v>
      </c>
      <c r="T73" s="44" t="str">
        <f>IFERROR(Fellowes_Consumiveis9[[#This Row],[V. No mes]]/Fellowes_Consumiveis9[[#This Row],[Proj. de V. No mes]],"")</f>
        <v/>
      </c>
      <c r="U7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3" s="24">
        <f>IFERROR(VLOOKUP(Fellowes_Consumiveis9[[#This Row],[Código]],Venda_3meses[],2,FALSE),0)</f>
        <v>0</v>
      </c>
      <c r="W73" s="44" t="str">
        <f>IFERROR(Fellowes_Consumiveis9[[#This Row],[V. 3 meses]]/Fellowes_Consumiveis9[[#This Row],[Proj. de V. 3 meses]],"")</f>
        <v/>
      </c>
      <c r="X7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3" s="24">
        <f>IFERROR(VLOOKUP(Fellowes_Consumiveis9[[#This Row],[Código]],Venda_12meses[],2,FALSE),0)</f>
        <v>0</v>
      </c>
      <c r="Z73" s="44" t="str">
        <f>IFERROR(Fellowes_Consumiveis9[[#This Row],[V. 12 meses]]/Fellowes_Consumiveis9[[#This Row],[Proj. de V. 12 meses]],"")</f>
        <v/>
      </c>
      <c r="AA73" s="22"/>
    </row>
    <row r="74" spans="1:27" x14ac:dyDescent="0.25">
      <c r="A74" s="66" t="str">
        <f>VLOOKUP(Fellowes_Consumiveis9[[#This Row],[Código]],BD_Produto[#All],7,FALSE)</f>
        <v>Componente</v>
      </c>
      <c r="B74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4" s="23">
        <v>33062064879</v>
      </c>
      <c r="D74" s="66" t="s">
        <v>1918</v>
      </c>
      <c r="E74" s="66" t="str">
        <f>VLOOKUP(Fellowes_Consumiveis9[[#This Row],[Código]],BD_Produto[],3,FALSE)</f>
        <v>Componentes</v>
      </c>
      <c r="F74" s="66" t="str">
        <f>VLOOKUP(Fellowes_Consumiveis9[[#This Row],[Código]],BD_Produto[],4,FALSE)</f>
        <v>Fragmentadora</v>
      </c>
      <c r="G74" s="24"/>
      <c r="H74" s="25"/>
      <c r="I74" s="22"/>
      <c r="J74" s="24"/>
      <c r="K74" s="24" t="str">
        <f>IFERROR(VLOOKUP(Fellowes_Consumiveis9[[#This Row],[Código]],Importação!P:R,3,FALSE),"")</f>
        <v/>
      </c>
      <c r="L74" s="24">
        <f>IFERROR(VLOOKUP(Fellowes_Consumiveis9[[#This Row],[Código]],Saldo[],3,FALSE),0)</f>
        <v>3</v>
      </c>
      <c r="M74" s="24">
        <f>SUM(Fellowes_Consumiveis9[[#This Row],[Produção]:[Estoque]])</f>
        <v>3</v>
      </c>
      <c r="N74" s="24" t="str">
        <f>IFERROR(Fellowes_Consumiveis9[[#This Row],[Estoque+Importação]]/Fellowes_Consumiveis9[[#This Row],[Proj. de V. No prox. mes]],"Sem Projeção")</f>
        <v>Sem Projeção</v>
      </c>
      <c r="O7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74" s="75">
        <f>VLOOKUP(Fellowes_Consumiveis9[[#This Row],[Código]],Projeção[#All],15,FALSE)</f>
        <v>0</v>
      </c>
      <c r="R74" s="39">
        <f>VLOOKUP(Fellowes_Consumiveis9[[#This Row],[Código]],Projeção[#All],14,FALSE)</f>
        <v>0</v>
      </c>
      <c r="S74" s="24">
        <f>IFERROR(VLOOKUP(Fellowes_Consumiveis9[[#This Row],[Código]],Venda_mes[],2,FALSE),0)</f>
        <v>0</v>
      </c>
      <c r="T74" s="44" t="str">
        <f>IFERROR(Fellowes_Consumiveis9[[#This Row],[V. No mes]]/Fellowes_Consumiveis9[[#This Row],[Proj. de V. No mes]],"")</f>
        <v/>
      </c>
      <c r="U7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4" s="24">
        <f>IFERROR(VLOOKUP(Fellowes_Consumiveis9[[#This Row],[Código]],Venda_3meses[],2,FALSE),0)</f>
        <v>0</v>
      </c>
      <c r="W74" s="44" t="str">
        <f>IFERROR(Fellowes_Consumiveis9[[#This Row],[V. 3 meses]]/Fellowes_Consumiveis9[[#This Row],[Proj. de V. 3 meses]],"")</f>
        <v/>
      </c>
      <c r="X7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4" s="24">
        <f>IFERROR(VLOOKUP(Fellowes_Consumiveis9[[#This Row],[Código]],Venda_12meses[],2,FALSE),0)</f>
        <v>0</v>
      </c>
      <c r="Z74" s="44" t="str">
        <f>IFERROR(Fellowes_Consumiveis9[[#This Row],[V. 12 meses]]/Fellowes_Consumiveis9[[#This Row],[Proj. de V. 12 meses]],"")</f>
        <v/>
      </c>
      <c r="AA74" s="22"/>
    </row>
    <row r="75" spans="1:27" x14ac:dyDescent="0.25">
      <c r="A75" s="66" t="str">
        <f>VLOOKUP(Fellowes_Consumiveis9[[#This Row],[Código]],BD_Produto[#All],7,FALSE)</f>
        <v>Componente</v>
      </c>
      <c r="B75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5" s="23">
        <v>33062064881</v>
      </c>
      <c r="D75" s="66" t="s">
        <v>1922</v>
      </c>
      <c r="E75" s="66" t="str">
        <f>VLOOKUP(Fellowes_Consumiveis9[[#This Row],[Código]],BD_Produto[],3,FALSE)</f>
        <v>Componentes</v>
      </c>
      <c r="F75" s="66" t="str">
        <f>VLOOKUP(Fellowes_Consumiveis9[[#This Row],[Código]],BD_Produto[],4,FALSE)</f>
        <v>Fragmentadora</v>
      </c>
      <c r="G75" s="24"/>
      <c r="H75" s="25"/>
      <c r="I75" s="22"/>
      <c r="J75" s="24"/>
      <c r="K75" s="24" t="str">
        <f>IFERROR(VLOOKUP(Fellowes_Consumiveis9[[#This Row],[Código]],Importação!P:R,3,FALSE),"")</f>
        <v/>
      </c>
      <c r="L75" s="24">
        <f>IFERROR(VLOOKUP(Fellowes_Consumiveis9[[#This Row],[Código]],Saldo[],3,FALSE),0)</f>
        <v>5</v>
      </c>
      <c r="M75" s="24">
        <f>SUM(Fellowes_Consumiveis9[[#This Row],[Produção]:[Estoque]])</f>
        <v>5</v>
      </c>
      <c r="N75" s="24" t="str">
        <f>IFERROR(Fellowes_Consumiveis9[[#This Row],[Estoque+Importação]]/Fellowes_Consumiveis9[[#This Row],[Proj. de V. No prox. mes]],"Sem Projeção")</f>
        <v>Sem Projeção</v>
      </c>
      <c r="O7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75" s="75">
        <f>VLOOKUP(Fellowes_Consumiveis9[[#This Row],[Código]],Projeção[#All],15,FALSE)</f>
        <v>0</v>
      </c>
      <c r="R75" s="39">
        <f>VLOOKUP(Fellowes_Consumiveis9[[#This Row],[Código]],Projeção[#All],14,FALSE)</f>
        <v>0</v>
      </c>
      <c r="S75" s="24">
        <f>IFERROR(VLOOKUP(Fellowes_Consumiveis9[[#This Row],[Código]],Venda_mes[],2,FALSE),0)</f>
        <v>0</v>
      </c>
      <c r="T75" s="44" t="str">
        <f>IFERROR(Fellowes_Consumiveis9[[#This Row],[V. No mes]]/Fellowes_Consumiveis9[[#This Row],[Proj. de V. No mes]],"")</f>
        <v/>
      </c>
      <c r="U7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5" s="24">
        <f>IFERROR(VLOOKUP(Fellowes_Consumiveis9[[#This Row],[Código]],Venda_3meses[],2,FALSE),0)</f>
        <v>0</v>
      </c>
      <c r="W75" s="44" t="str">
        <f>IFERROR(Fellowes_Consumiveis9[[#This Row],[V. 3 meses]]/Fellowes_Consumiveis9[[#This Row],[Proj. de V. 3 meses]],"")</f>
        <v/>
      </c>
      <c r="X7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5" s="24">
        <f>IFERROR(VLOOKUP(Fellowes_Consumiveis9[[#This Row],[Código]],Venda_12meses[],2,FALSE),0)</f>
        <v>0</v>
      </c>
      <c r="Z75" s="44" t="str">
        <f>IFERROR(Fellowes_Consumiveis9[[#This Row],[V. 12 meses]]/Fellowes_Consumiveis9[[#This Row],[Proj. de V. 12 meses]],"")</f>
        <v/>
      </c>
      <c r="AA75" s="22"/>
    </row>
    <row r="76" spans="1:27" x14ac:dyDescent="0.25">
      <c r="A76" s="66" t="str">
        <f>VLOOKUP(Fellowes_Consumiveis9[[#This Row],[Código]],BD_Produto[#All],7,FALSE)</f>
        <v>Componente</v>
      </c>
      <c r="B76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6" s="23">
        <v>33062064882</v>
      </c>
      <c r="D76" s="66" t="s">
        <v>1924</v>
      </c>
      <c r="E76" s="66" t="str">
        <f>VLOOKUP(Fellowes_Consumiveis9[[#This Row],[Código]],BD_Produto[],3,FALSE)</f>
        <v>Componentes</v>
      </c>
      <c r="F76" s="66" t="str">
        <f>VLOOKUP(Fellowes_Consumiveis9[[#This Row],[Código]],BD_Produto[],4,FALSE)</f>
        <v>Fragmentadora</v>
      </c>
      <c r="G76" s="24"/>
      <c r="H76" s="25"/>
      <c r="I76" s="22"/>
      <c r="J76" s="24"/>
      <c r="K76" s="24" t="str">
        <f>IFERROR(VLOOKUP(Fellowes_Consumiveis9[[#This Row],[Código]],Importação!P:R,3,FALSE),"")</f>
        <v/>
      </c>
      <c r="L76" s="24">
        <f>IFERROR(VLOOKUP(Fellowes_Consumiveis9[[#This Row],[Código]],Saldo[],3,FALSE),0)</f>
        <v>5</v>
      </c>
      <c r="M76" s="24">
        <f>SUM(Fellowes_Consumiveis9[[#This Row],[Produção]:[Estoque]])</f>
        <v>5</v>
      </c>
      <c r="N76" s="24" t="str">
        <f>IFERROR(Fellowes_Consumiveis9[[#This Row],[Estoque+Importação]]/Fellowes_Consumiveis9[[#This Row],[Proj. de V. No prox. mes]],"Sem Projeção")</f>
        <v>Sem Projeção</v>
      </c>
      <c r="O7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76" s="75">
        <f>VLOOKUP(Fellowes_Consumiveis9[[#This Row],[Código]],Projeção[#All],15,FALSE)</f>
        <v>0</v>
      </c>
      <c r="R76" s="39">
        <f>VLOOKUP(Fellowes_Consumiveis9[[#This Row],[Código]],Projeção[#All],14,FALSE)</f>
        <v>0</v>
      </c>
      <c r="S76" s="24">
        <f>IFERROR(VLOOKUP(Fellowes_Consumiveis9[[#This Row],[Código]],Venda_mes[],2,FALSE),0)</f>
        <v>0</v>
      </c>
      <c r="T76" s="44" t="str">
        <f>IFERROR(Fellowes_Consumiveis9[[#This Row],[V. No mes]]/Fellowes_Consumiveis9[[#This Row],[Proj. de V. No mes]],"")</f>
        <v/>
      </c>
      <c r="U7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6" s="24">
        <f>IFERROR(VLOOKUP(Fellowes_Consumiveis9[[#This Row],[Código]],Venda_3meses[],2,FALSE),0)</f>
        <v>0</v>
      </c>
      <c r="W76" s="44" t="str">
        <f>IFERROR(Fellowes_Consumiveis9[[#This Row],[V. 3 meses]]/Fellowes_Consumiveis9[[#This Row],[Proj. de V. 3 meses]],"")</f>
        <v/>
      </c>
      <c r="X7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6" s="24">
        <f>IFERROR(VLOOKUP(Fellowes_Consumiveis9[[#This Row],[Código]],Venda_12meses[],2,FALSE),0)</f>
        <v>0</v>
      </c>
      <c r="Z76" s="44" t="str">
        <f>IFERROR(Fellowes_Consumiveis9[[#This Row],[V. 12 meses]]/Fellowes_Consumiveis9[[#This Row],[Proj. de V. 12 meses]],"")</f>
        <v/>
      </c>
      <c r="AA76" s="22"/>
    </row>
    <row r="77" spans="1:27" x14ac:dyDescent="0.25">
      <c r="A77" s="66" t="str">
        <f>VLOOKUP(Fellowes_Consumiveis9[[#This Row],[Código]],BD_Produto[#All],7,FALSE)</f>
        <v>Componente</v>
      </c>
      <c r="B77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7" s="23">
        <v>33062064883</v>
      </c>
      <c r="D77" s="66" t="s">
        <v>1926</v>
      </c>
      <c r="E77" s="66" t="str">
        <f>VLOOKUP(Fellowes_Consumiveis9[[#This Row],[Código]],BD_Produto[],3,FALSE)</f>
        <v>Componentes</v>
      </c>
      <c r="F77" s="66" t="str">
        <f>VLOOKUP(Fellowes_Consumiveis9[[#This Row],[Código]],BD_Produto[],4,FALSE)</f>
        <v>Fragmentadora</v>
      </c>
      <c r="G77" s="24"/>
      <c r="H77" s="25"/>
      <c r="I77" s="22"/>
      <c r="J77" s="24"/>
      <c r="K77" s="24" t="str">
        <f>IFERROR(VLOOKUP(Fellowes_Consumiveis9[[#This Row],[Código]],Importação!P:R,3,FALSE),"")</f>
        <v/>
      </c>
      <c r="L77" s="24">
        <f>IFERROR(VLOOKUP(Fellowes_Consumiveis9[[#This Row],[Código]],Saldo[],3,FALSE),0)</f>
        <v>5</v>
      </c>
      <c r="M77" s="24">
        <f>SUM(Fellowes_Consumiveis9[[#This Row],[Produção]:[Estoque]])</f>
        <v>5</v>
      </c>
      <c r="N77" s="24" t="str">
        <f>IFERROR(Fellowes_Consumiveis9[[#This Row],[Estoque+Importação]]/Fellowes_Consumiveis9[[#This Row],[Proj. de V. No prox. mes]],"Sem Projeção")</f>
        <v>Sem Projeção</v>
      </c>
      <c r="O7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77" s="75">
        <f>VLOOKUP(Fellowes_Consumiveis9[[#This Row],[Código]],Projeção[#All],15,FALSE)</f>
        <v>0</v>
      </c>
      <c r="R77" s="39">
        <f>VLOOKUP(Fellowes_Consumiveis9[[#This Row],[Código]],Projeção[#All],14,FALSE)</f>
        <v>0</v>
      </c>
      <c r="S77" s="24">
        <f>IFERROR(VLOOKUP(Fellowes_Consumiveis9[[#This Row],[Código]],Venda_mes[],2,FALSE),0)</f>
        <v>0</v>
      </c>
      <c r="T77" s="44" t="str">
        <f>IFERROR(Fellowes_Consumiveis9[[#This Row],[V. No mes]]/Fellowes_Consumiveis9[[#This Row],[Proj. de V. No mes]],"")</f>
        <v/>
      </c>
      <c r="U7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7" s="24">
        <f>IFERROR(VLOOKUP(Fellowes_Consumiveis9[[#This Row],[Código]],Venda_3meses[],2,FALSE),0)</f>
        <v>0</v>
      </c>
      <c r="W77" s="44" t="str">
        <f>IFERROR(Fellowes_Consumiveis9[[#This Row],[V. 3 meses]]/Fellowes_Consumiveis9[[#This Row],[Proj. de V. 3 meses]],"")</f>
        <v/>
      </c>
      <c r="X7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7" s="24">
        <f>IFERROR(VLOOKUP(Fellowes_Consumiveis9[[#This Row],[Código]],Venda_12meses[],2,FALSE),0)</f>
        <v>0</v>
      </c>
      <c r="Z77" s="44" t="str">
        <f>IFERROR(Fellowes_Consumiveis9[[#This Row],[V. 12 meses]]/Fellowes_Consumiveis9[[#This Row],[Proj. de V. 12 meses]],"")</f>
        <v/>
      </c>
      <c r="AA77" s="22"/>
    </row>
    <row r="78" spans="1:27" x14ac:dyDescent="0.25">
      <c r="A78" s="66" t="str">
        <f>VLOOKUP(Fellowes_Consumiveis9[[#This Row],[Código]],BD_Produto[#All],7,FALSE)</f>
        <v>Componente</v>
      </c>
      <c r="B78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8" s="23">
        <v>33062065070</v>
      </c>
      <c r="D78" s="66" t="s">
        <v>1928</v>
      </c>
      <c r="E78" s="66" t="str">
        <f>VLOOKUP(Fellowes_Consumiveis9[[#This Row],[Código]],BD_Produto[],3,FALSE)</f>
        <v>Componentes</v>
      </c>
      <c r="F78" s="66" t="str">
        <f>VLOOKUP(Fellowes_Consumiveis9[[#This Row],[Código]],BD_Produto[],4,FALSE)</f>
        <v>Fragmentadora</v>
      </c>
      <c r="G78" s="24"/>
      <c r="H78" s="25"/>
      <c r="I78" s="22"/>
      <c r="J78" s="24"/>
      <c r="K78" s="24" t="str">
        <f>IFERROR(VLOOKUP(Fellowes_Consumiveis9[[#This Row],[Código]],Importação!P:R,3,FALSE),"")</f>
        <v/>
      </c>
      <c r="L78" s="24">
        <f>IFERROR(VLOOKUP(Fellowes_Consumiveis9[[#This Row],[Código]],Saldo[],3,FALSE),0)</f>
        <v>4</v>
      </c>
      <c r="M78" s="24">
        <f>SUM(Fellowes_Consumiveis9[[#This Row],[Produção]:[Estoque]])</f>
        <v>4</v>
      </c>
      <c r="N78" s="24" t="str">
        <f>IFERROR(Fellowes_Consumiveis9[[#This Row],[Estoque+Importação]]/Fellowes_Consumiveis9[[#This Row],[Proj. de V. No prox. mes]],"Sem Projeção")</f>
        <v>Sem Projeção</v>
      </c>
      <c r="O7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78" s="75">
        <f>VLOOKUP(Fellowes_Consumiveis9[[#This Row],[Código]],Projeção[#All],15,FALSE)</f>
        <v>0</v>
      </c>
      <c r="R78" s="39">
        <f>VLOOKUP(Fellowes_Consumiveis9[[#This Row],[Código]],Projeção[#All],14,FALSE)</f>
        <v>0</v>
      </c>
      <c r="S78" s="24">
        <f>IFERROR(VLOOKUP(Fellowes_Consumiveis9[[#This Row],[Código]],Venda_mes[],2,FALSE),0)</f>
        <v>0</v>
      </c>
      <c r="T78" s="44" t="str">
        <f>IFERROR(Fellowes_Consumiveis9[[#This Row],[V. No mes]]/Fellowes_Consumiveis9[[#This Row],[Proj. de V. No mes]],"")</f>
        <v/>
      </c>
      <c r="U7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8" s="24">
        <f>IFERROR(VLOOKUP(Fellowes_Consumiveis9[[#This Row],[Código]],Venda_3meses[],2,FALSE),0)</f>
        <v>0</v>
      </c>
      <c r="W78" s="44" t="str">
        <f>IFERROR(Fellowes_Consumiveis9[[#This Row],[V. 3 meses]]/Fellowes_Consumiveis9[[#This Row],[Proj. de V. 3 meses]],"")</f>
        <v/>
      </c>
      <c r="X7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8" s="24">
        <f>IFERROR(VLOOKUP(Fellowes_Consumiveis9[[#This Row],[Código]],Venda_12meses[],2,FALSE),0)</f>
        <v>0</v>
      </c>
      <c r="Z78" s="44" t="str">
        <f>IFERROR(Fellowes_Consumiveis9[[#This Row],[V. 12 meses]]/Fellowes_Consumiveis9[[#This Row],[Proj. de V. 12 meses]],"")</f>
        <v/>
      </c>
      <c r="AA78" s="22"/>
    </row>
    <row r="79" spans="1:27" x14ac:dyDescent="0.25">
      <c r="A79" s="66" t="str">
        <f>VLOOKUP(Fellowes_Consumiveis9[[#This Row],[Código]],BD_Produto[#All],7,FALSE)</f>
        <v>Componente</v>
      </c>
      <c r="B79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79" s="23">
        <v>33062065072</v>
      </c>
      <c r="D79" s="66" t="s">
        <v>1930</v>
      </c>
      <c r="E79" s="66" t="str">
        <f>VLOOKUP(Fellowes_Consumiveis9[[#This Row],[Código]],BD_Produto[],3,FALSE)</f>
        <v>Componentes</v>
      </c>
      <c r="F79" s="66" t="str">
        <f>VLOOKUP(Fellowes_Consumiveis9[[#This Row],[Código]],BD_Produto[],4,FALSE)</f>
        <v>Fragmentadora</v>
      </c>
      <c r="G79" s="24"/>
      <c r="H79" s="25"/>
      <c r="I79" s="22"/>
      <c r="J79" s="24"/>
      <c r="K79" s="24" t="str">
        <f>IFERROR(VLOOKUP(Fellowes_Consumiveis9[[#This Row],[Código]],Importação!P:R,3,FALSE),"")</f>
        <v/>
      </c>
      <c r="L79" s="24">
        <f>IFERROR(VLOOKUP(Fellowes_Consumiveis9[[#This Row],[Código]],Saldo[],3,FALSE),0)</f>
        <v>4</v>
      </c>
      <c r="M79" s="24">
        <f>SUM(Fellowes_Consumiveis9[[#This Row],[Produção]:[Estoque]])</f>
        <v>4</v>
      </c>
      <c r="N79" s="24" t="str">
        <f>IFERROR(Fellowes_Consumiveis9[[#This Row],[Estoque+Importação]]/Fellowes_Consumiveis9[[#This Row],[Proj. de V. No prox. mes]],"Sem Projeção")</f>
        <v>Sem Projeção</v>
      </c>
      <c r="O7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7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79" s="75">
        <f>VLOOKUP(Fellowes_Consumiveis9[[#This Row],[Código]],Projeção[#All],15,FALSE)</f>
        <v>0</v>
      </c>
      <c r="R79" s="39">
        <f>VLOOKUP(Fellowes_Consumiveis9[[#This Row],[Código]],Projeção[#All],14,FALSE)</f>
        <v>0</v>
      </c>
      <c r="S79" s="24">
        <f>IFERROR(VLOOKUP(Fellowes_Consumiveis9[[#This Row],[Código]],Venda_mes[],2,FALSE),0)</f>
        <v>0</v>
      </c>
      <c r="T79" s="44" t="str">
        <f>IFERROR(Fellowes_Consumiveis9[[#This Row],[V. No mes]]/Fellowes_Consumiveis9[[#This Row],[Proj. de V. No mes]],"")</f>
        <v/>
      </c>
      <c r="U7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79" s="24">
        <f>IFERROR(VLOOKUP(Fellowes_Consumiveis9[[#This Row],[Código]],Venda_3meses[],2,FALSE),0)</f>
        <v>0</v>
      </c>
      <c r="W79" s="44" t="str">
        <f>IFERROR(Fellowes_Consumiveis9[[#This Row],[V. 3 meses]]/Fellowes_Consumiveis9[[#This Row],[Proj. de V. 3 meses]],"")</f>
        <v/>
      </c>
      <c r="X7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79" s="24">
        <f>IFERROR(VLOOKUP(Fellowes_Consumiveis9[[#This Row],[Código]],Venda_12meses[],2,FALSE),0)</f>
        <v>0</v>
      </c>
      <c r="Z79" s="44" t="str">
        <f>IFERROR(Fellowes_Consumiveis9[[#This Row],[V. 12 meses]]/Fellowes_Consumiveis9[[#This Row],[Proj. de V. 12 meses]],"")</f>
        <v/>
      </c>
      <c r="AA79" s="22"/>
    </row>
    <row r="80" spans="1:27" x14ac:dyDescent="0.25">
      <c r="A80" s="66" t="str">
        <f>VLOOKUP(Fellowes_Consumiveis9[[#This Row],[Código]],BD_Produto[#All],7,FALSE)</f>
        <v>Componente</v>
      </c>
      <c r="B80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0" s="23">
        <v>33062065058</v>
      </c>
      <c r="D80" s="66" t="s">
        <v>1933</v>
      </c>
      <c r="E80" s="66" t="str">
        <f>VLOOKUP(Fellowes_Consumiveis9[[#This Row],[Código]],BD_Produto[],3,FALSE)</f>
        <v>Componentes</v>
      </c>
      <c r="F80" s="66" t="str">
        <f>VLOOKUP(Fellowes_Consumiveis9[[#This Row],[Código]],BD_Produto[],4,FALSE)</f>
        <v>Fragmentadora</v>
      </c>
      <c r="G80" s="24"/>
      <c r="H80" s="25"/>
      <c r="I80" s="22"/>
      <c r="J80" s="24"/>
      <c r="K80" s="24" t="str">
        <f>IFERROR(VLOOKUP(Fellowes_Consumiveis9[[#This Row],[Código]],Importação!P:R,3,FALSE),"")</f>
        <v/>
      </c>
      <c r="L80" s="24">
        <f>IFERROR(VLOOKUP(Fellowes_Consumiveis9[[#This Row],[Código]],Saldo[],3,FALSE),0)</f>
        <v>5</v>
      </c>
      <c r="M80" s="24">
        <f>SUM(Fellowes_Consumiveis9[[#This Row],[Produção]:[Estoque]])</f>
        <v>5</v>
      </c>
      <c r="N80" s="24" t="str">
        <f>IFERROR(Fellowes_Consumiveis9[[#This Row],[Estoque+Importação]]/Fellowes_Consumiveis9[[#This Row],[Proj. de V. No prox. mes]],"Sem Projeção")</f>
        <v>Sem Projeção</v>
      </c>
      <c r="O8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80" s="75">
        <f>VLOOKUP(Fellowes_Consumiveis9[[#This Row],[Código]],Projeção[#All],15,FALSE)</f>
        <v>0</v>
      </c>
      <c r="R80" s="39">
        <f>VLOOKUP(Fellowes_Consumiveis9[[#This Row],[Código]],Projeção[#All],14,FALSE)</f>
        <v>0</v>
      </c>
      <c r="S80" s="24">
        <f>IFERROR(VLOOKUP(Fellowes_Consumiveis9[[#This Row],[Código]],Venda_mes[],2,FALSE),0)</f>
        <v>0</v>
      </c>
      <c r="T80" s="44" t="str">
        <f>IFERROR(Fellowes_Consumiveis9[[#This Row],[V. No mes]]/Fellowes_Consumiveis9[[#This Row],[Proj. de V. No mes]],"")</f>
        <v/>
      </c>
      <c r="U8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0" s="24">
        <f>IFERROR(VLOOKUP(Fellowes_Consumiveis9[[#This Row],[Código]],Venda_3meses[],2,FALSE),0)</f>
        <v>0</v>
      </c>
      <c r="W80" s="44" t="str">
        <f>IFERROR(Fellowes_Consumiveis9[[#This Row],[V. 3 meses]]/Fellowes_Consumiveis9[[#This Row],[Proj. de V. 3 meses]],"")</f>
        <v/>
      </c>
      <c r="X8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0" s="24">
        <f>IFERROR(VLOOKUP(Fellowes_Consumiveis9[[#This Row],[Código]],Venda_12meses[],2,FALSE),0)</f>
        <v>0</v>
      </c>
      <c r="Z80" s="44" t="str">
        <f>IFERROR(Fellowes_Consumiveis9[[#This Row],[V. 12 meses]]/Fellowes_Consumiveis9[[#This Row],[Proj. de V. 12 meses]],"")</f>
        <v/>
      </c>
      <c r="AA80" s="22"/>
    </row>
    <row r="81" spans="1:27" x14ac:dyDescent="0.25">
      <c r="A81" s="66" t="str">
        <f>VLOOKUP(Fellowes_Consumiveis9[[#This Row],[Código]],BD_Produto[#All],7,FALSE)</f>
        <v>Componente</v>
      </c>
      <c r="B81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1" s="23">
        <v>33062065061</v>
      </c>
      <c r="D81" s="66" t="s">
        <v>1936</v>
      </c>
      <c r="E81" s="66" t="str">
        <f>VLOOKUP(Fellowes_Consumiveis9[[#This Row],[Código]],BD_Produto[],3,FALSE)</f>
        <v>Componentes</v>
      </c>
      <c r="F81" s="66" t="str">
        <f>VLOOKUP(Fellowes_Consumiveis9[[#This Row],[Código]],BD_Produto[],4,FALSE)</f>
        <v>Fragmentadora</v>
      </c>
      <c r="G81" s="24"/>
      <c r="H81" s="25"/>
      <c r="I81" s="22"/>
      <c r="J81" s="24"/>
      <c r="K81" s="24" t="str">
        <f>IFERROR(VLOOKUP(Fellowes_Consumiveis9[[#This Row],[Código]],Importação!P:R,3,FALSE),"")</f>
        <v/>
      </c>
      <c r="L81" s="24">
        <f>IFERROR(VLOOKUP(Fellowes_Consumiveis9[[#This Row],[Código]],Saldo[],3,FALSE),0)</f>
        <v>4</v>
      </c>
      <c r="M81" s="24">
        <f>SUM(Fellowes_Consumiveis9[[#This Row],[Produção]:[Estoque]])</f>
        <v>4</v>
      </c>
      <c r="N81" s="24" t="str">
        <f>IFERROR(Fellowes_Consumiveis9[[#This Row],[Estoque+Importação]]/Fellowes_Consumiveis9[[#This Row],[Proj. de V. No prox. mes]],"Sem Projeção")</f>
        <v>Sem Projeção</v>
      </c>
      <c r="O8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81" s="75">
        <f>VLOOKUP(Fellowes_Consumiveis9[[#This Row],[Código]],Projeção[#All],15,FALSE)</f>
        <v>0</v>
      </c>
      <c r="R81" s="39">
        <f>VLOOKUP(Fellowes_Consumiveis9[[#This Row],[Código]],Projeção[#All],14,FALSE)</f>
        <v>0</v>
      </c>
      <c r="S81" s="24">
        <f>IFERROR(VLOOKUP(Fellowes_Consumiveis9[[#This Row],[Código]],Venda_mes[],2,FALSE),0)</f>
        <v>0</v>
      </c>
      <c r="T81" s="44" t="str">
        <f>IFERROR(Fellowes_Consumiveis9[[#This Row],[V. No mes]]/Fellowes_Consumiveis9[[#This Row],[Proj. de V. No mes]],"")</f>
        <v/>
      </c>
      <c r="U8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1" s="24">
        <f>IFERROR(VLOOKUP(Fellowes_Consumiveis9[[#This Row],[Código]],Venda_3meses[],2,FALSE),0)</f>
        <v>0</v>
      </c>
      <c r="W81" s="44" t="str">
        <f>IFERROR(Fellowes_Consumiveis9[[#This Row],[V. 3 meses]]/Fellowes_Consumiveis9[[#This Row],[Proj. de V. 3 meses]],"")</f>
        <v/>
      </c>
      <c r="X8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1" s="24">
        <f>IFERROR(VLOOKUP(Fellowes_Consumiveis9[[#This Row],[Código]],Venda_12meses[],2,FALSE),0)</f>
        <v>0</v>
      </c>
      <c r="Z81" s="44" t="str">
        <f>IFERROR(Fellowes_Consumiveis9[[#This Row],[V. 12 meses]]/Fellowes_Consumiveis9[[#This Row],[Proj. de V. 12 meses]],"")</f>
        <v/>
      </c>
      <c r="AA81" s="22"/>
    </row>
    <row r="82" spans="1:27" x14ac:dyDescent="0.25">
      <c r="A82" s="66" t="str">
        <f>VLOOKUP(Fellowes_Consumiveis9[[#This Row],[Código]],BD_Produto[#All],7,FALSE)</f>
        <v>Componente</v>
      </c>
      <c r="B82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2" s="23">
        <v>33062065062</v>
      </c>
      <c r="D82" s="66" t="s">
        <v>1938</v>
      </c>
      <c r="E82" s="66" t="str">
        <f>VLOOKUP(Fellowes_Consumiveis9[[#This Row],[Código]],BD_Produto[],3,FALSE)</f>
        <v>Componentes</v>
      </c>
      <c r="F82" s="66" t="str">
        <f>VLOOKUP(Fellowes_Consumiveis9[[#This Row],[Código]],BD_Produto[],4,FALSE)</f>
        <v>Fragmentadora</v>
      </c>
      <c r="G82" s="24"/>
      <c r="H82" s="25"/>
      <c r="I82" s="22"/>
      <c r="J82" s="24"/>
      <c r="K82" s="24" t="str">
        <f>IFERROR(VLOOKUP(Fellowes_Consumiveis9[[#This Row],[Código]],Importação!P:R,3,FALSE),"")</f>
        <v/>
      </c>
      <c r="L82" s="24">
        <f>IFERROR(VLOOKUP(Fellowes_Consumiveis9[[#This Row],[Código]],Saldo[],3,FALSE),0)</f>
        <v>2</v>
      </c>
      <c r="M82" s="24">
        <f>SUM(Fellowes_Consumiveis9[[#This Row],[Produção]:[Estoque]])</f>
        <v>2</v>
      </c>
      <c r="N82" s="24" t="str">
        <f>IFERROR(Fellowes_Consumiveis9[[#This Row],[Estoque+Importação]]/Fellowes_Consumiveis9[[#This Row],[Proj. de V. No prox. mes]],"Sem Projeção")</f>
        <v>Sem Projeção</v>
      </c>
      <c r="O8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82" s="75">
        <f>VLOOKUP(Fellowes_Consumiveis9[[#This Row],[Código]],Projeção[#All],15,FALSE)</f>
        <v>0</v>
      </c>
      <c r="R82" s="39">
        <f>VLOOKUP(Fellowes_Consumiveis9[[#This Row],[Código]],Projeção[#All],14,FALSE)</f>
        <v>0</v>
      </c>
      <c r="S82" s="24">
        <f>IFERROR(VLOOKUP(Fellowes_Consumiveis9[[#This Row],[Código]],Venda_mes[],2,FALSE),0)</f>
        <v>0</v>
      </c>
      <c r="T82" s="44" t="str">
        <f>IFERROR(Fellowes_Consumiveis9[[#This Row],[V. No mes]]/Fellowes_Consumiveis9[[#This Row],[Proj. de V. No mes]],"")</f>
        <v/>
      </c>
      <c r="U8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2" s="24">
        <f>IFERROR(VLOOKUP(Fellowes_Consumiveis9[[#This Row],[Código]],Venda_3meses[],2,FALSE),0)</f>
        <v>0</v>
      </c>
      <c r="W82" s="44" t="str">
        <f>IFERROR(Fellowes_Consumiveis9[[#This Row],[V. 3 meses]]/Fellowes_Consumiveis9[[#This Row],[Proj. de V. 3 meses]],"")</f>
        <v/>
      </c>
      <c r="X8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2" s="24">
        <f>IFERROR(VLOOKUP(Fellowes_Consumiveis9[[#This Row],[Código]],Venda_12meses[],2,FALSE),0)</f>
        <v>0</v>
      </c>
      <c r="Z82" s="44" t="str">
        <f>IFERROR(Fellowes_Consumiveis9[[#This Row],[V. 12 meses]]/Fellowes_Consumiveis9[[#This Row],[Proj. de V. 12 meses]],"")</f>
        <v/>
      </c>
      <c r="AA82" s="22"/>
    </row>
    <row r="83" spans="1:27" x14ac:dyDescent="0.25">
      <c r="A83" s="66" t="str">
        <f>VLOOKUP(Fellowes_Consumiveis9[[#This Row],[Código]],BD_Produto[#All],7,FALSE)</f>
        <v>Componente</v>
      </c>
      <c r="B83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3" s="23">
        <v>33062065059</v>
      </c>
      <c r="D83" s="66" t="s">
        <v>1940</v>
      </c>
      <c r="E83" s="66" t="str">
        <f>VLOOKUP(Fellowes_Consumiveis9[[#This Row],[Código]],BD_Produto[],3,FALSE)</f>
        <v>Componentes</v>
      </c>
      <c r="F83" s="66" t="str">
        <f>VLOOKUP(Fellowes_Consumiveis9[[#This Row],[Código]],BD_Produto[],4,FALSE)</f>
        <v>Fragmentadora</v>
      </c>
      <c r="G83" s="24"/>
      <c r="H83" s="25"/>
      <c r="I83" s="22"/>
      <c r="J83" s="24"/>
      <c r="K83" s="24" t="str">
        <f>IFERROR(VLOOKUP(Fellowes_Consumiveis9[[#This Row],[Código]],Importação!P:R,3,FALSE),"")</f>
        <v/>
      </c>
      <c r="L83" s="24">
        <f>IFERROR(VLOOKUP(Fellowes_Consumiveis9[[#This Row],[Código]],Saldo[],3,FALSE),0)</f>
        <v>5</v>
      </c>
      <c r="M83" s="24">
        <f>SUM(Fellowes_Consumiveis9[[#This Row],[Produção]:[Estoque]])</f>
        <v>5</v>
      </c>
      <c r="N83" s="24" t="str">
        <f>IFERROR(Fellowes_Consumiveis9[[#This Row],[Estoque+Importação]]/Fellowes_Consumiveis9[[#This Row],[Proj. de V. No prox. mes]],"Sem Projeção")</f>
        <v>Sem Projeção</v>
      </c>
      <c r="O8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83" s="75">
        <f>VLOOKUP(Fellowes_Consumiveis9[[#This Row],[Código]],Projeção[#All],15,FALSE)</f>
        <v>0</v>
      </c>
      <c r="R83" s="39">
        <f>VLOOKUP(Fellowes_Consumiveis9[[#This Row],[Código]],Projeção[#All],14,FALSE)</f>
        <v>0</v>
      </c>
      <c r="S83" s="24">
        <f>IFERROR(VLOOKUP(Fellowes_Consumiveis9[[#This Row],[Código]],Venda_mes[],2,FALSE),0)</f>
        <v>0</v>
      </c>
      <c r="T83" s="44" t="str">
        <f>IFERROR(Fellowes_Consumiveis9[[#This Row],[V. No mes]]/Fellowes_Consumiveis9[[#This Row],[Proj. de V. No mes]],"")</f>
        <v/>
      </c>
      <c r="U8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3" s="24">
        <f>IFERROR(VLOOKUP(Fellowes_Consumiveis9[[#This Row],[Código]],Venda_3meses[],2,FALSE),0)</f>
        <v>0</v>
      </c>
      <c r="W83" s="44" t="str">
        <f>IFERROR(Fellowes_Consumiveis9[[#This Row],[V. 3 meses]]/Fellowes_Consumiveis9[[#This Row],[Proj. de V. 3 meses]],"")</f>
        <v/>
      </c>
      <c r="X8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3" s="24">
        <f>IFERROR(VLOOKUP(Fellowes_Consumiveis9[[#This Row],[Código]],Venda_12meses[],2,FALSE),0)</f>
        <v>0</v>
      </c>
      <c r="Z83" s="44" t="str">
        <f>IFERROR(Fellowes_Consumiveis9[[#This Row],[V. 12 meses]]/Fellowes_Consumiveis9[[#This Row],[Proj. de V. 12 meses]],"")</f>
        <v/>
      </c>
      <c r="AA83" s="22"/>
    </row>
    <row r="84" spans="1:27" x14ac:dyDescent="0.25">
      <c r="A84" s="66" t="str">
        <f>VLOOKUP(Fellowes_Consumiveis9[[#This Row],[Código]],BD_Produto[#All],7,FALSE)</f>
        <v>Componente</v>
      </c>
      <c r="B84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4" s="23">
        <v>33062065060</v>
      </c>
      <c r="D84" s="66" t="s">
        <v>1942</v>
      </c>
      <c r="E84" s="66" t="str">
        <f>VLOOKUP(Fellowes_Consumiveis9[[#This Row],[Código]],BD_Produto[],3,FALSE)</f>
        <v>Componentes</v>
      </c>
      <c r="F84" s="66" t="str">
        <f>VLOOKUP(Fellowes_Consumiveis9[[#This Row],[Código]],BD_Produto[],4,FALSE)</f>
        <v>Fragmentadora</v>
      </c>
      <c r="G84" s="24"/>
      <c r="H84" s="25"/>
      <c r="I84" s="22"/>
      <c r="J84" s="24"/>
      <c r="K84" s="24" t="str">
        <f>IFERROR(VLOOKUP(Fellowes_Consumiveis9[[#This Row],[Código]],Importação!P:R,3,FALSE),"")</f>
        <v/>
      </c>
      <c r="L84" s="24">
        <f>IFERROR(VLOOKUP(Fellowes_Consumiveis9[[#This Row],[Código]],Saldo[],3,FALSE),0)</f>
        <v>5</v>
      </c>
      <c r="M84" s="24">
        <f>SUM(Fellowes_Consumiveis9[[#This Row],[Produção]:[Estoque]])</f>
        <v>5</v>
      </c>
      <c r="N84" s="24" t="str">
        <f>IFERROR(Fellowes_Consumiveis9[[#This Row],[Estoque+Importação]]/Fellowes_Consumiveis9[[#This Row],[Proj. de V. No prox. mes]],"Sem Projeção")</f>
        <v>Sem Projeção</v>
      </c>
      <c r="O8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84" s="75">
        <f>VLOOKUP(Fellowes_Consumiveis9[[#This Row],[Código]],Projeção[#All],15,FALSE)</f>
        <v>0</v>
      </c>
      <c r="R84" s="39">
        <f>VLOOKUP(Fellowes_Consumiveis9[[#This Row],[Código]],Projeção[#All],14,FALSE)</f>
        <v>0</v>
      </c>
      <c r="S84" s="24">
        <f>IFERROR(VLOOKUP(Fellowes_Consumiveis9[[#This Row],[Código]],Venda_mes[],2,FALSE),0)</f>
        <v>0</v>
      </c>
      <c r="T84" s="44" t="str">
        <f>IFERROR(Fellowes_Consumiveis9[[#This Row],[V. No mes]]/Fellowes_Consumiveis9[[#This Row],[Proj. de V. No mes]],"")</f>
        <v/>
      </c>
      <c r="U8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4" s="24">
        <f>IFERROR(VLOOKUP(Fellowes_Consumiveis9[[#This Row],[Código]],Venda_3meses[],2,FALSE),0)</f>
        <v>0</v>
      </c>
      <c r="W84" s="44" t="str">
        <f>IFERROR(Fellowes_Consumiveis9[[#This Row],[V. 3 meses]]/Fellowes_Consumiveis9[[#This Row],[Proj. de V. 3 meses]],"")</f>
        <v/>
      </c>
      <c r="X8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4" s="24">
        <f>IFERROR(VLOOKUP(Fellowes_Consumiveis9[[#This Row],[Código]],Venda_12meses[],2,FALSE),0)</f>
        <v>0</v>
      </c>
      <c r="Z84" s="44" t="str">
        <f>IFERROR(Fellowes_Consumiveis9[[#This Row],[V. 12 meses]]/Fellowes_Consumiveis9[[#This Row],[Proj. de V. 12 meses]],"")</f>
        <v/>
      </c>
      <c r="AA84" s="22"/>
    </row>
    <row r="85" spans="1:27" x14ac:dyDescent="0.25">
      <c r="A85" s="66" t="str">
        <f>VLOOKUP(Fellowes_Consumiveis9[[#This Row],[Código]],BD_Produto[#All],7,FALSE)</f>
        <v>Componente</v>
      </c>
      <c r="B85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5" s="23">
        <v>33062065069</v>
      </c>
      <c r="D85" s="66" t="s">
        <v>1944</v>
      </c>
      <c r="E85" s="66" t="str">
        <f>VLOOKUP(Fellowes_Consumiveis9[[#This Row],[Código]],BD_Produto[],3,FALSE)</f>
        <v>Componentes</v>
      </c>
      <c r="F85" s="66" t="str">
        <f>VLOOKUP(Fellowes_Consumiveis9[[#This Row],[Código]],BD_Produto[],4,FALSE)</f>
        <v>Fragmentadora</v>
      </c>
      <c r="G85" s="24"/>
      <c r="H85" s="25"/>
      <c r="I85" s="22"/>
      <c r="J85" s="24"/>
      <c r="K85" s="24" t="str">
        <f>IFERROR(VLOOKUP(Fellowes_Consumiveis9[[#This Row],[Código]],Importação!P:R,3,FALSE),"")</f>
        <v/>
      </c>
      <c r="L85" s="24">
        <f>IFERROR(VLOOKUP(Fellowes_Consumiveis9[[#This Row],[Código]],Saldo[],3,FALSE),0)</f>
        <v>4</v>
      </c>
      <c r="M85" s="24">
        <f>SUM(Fellowes_Consumiveis9[[#This Row],[Produção]:[Estoque]])</f>
        <v>4</v>
      </c>
      <c r="N85" s="24" t="str">
        <f>IFERROR(Fellowes_Consumiveis9[[#This Row],[Estoque+Importação]]/Fellowes_Consumiveis9[[#This Row],[Proj. de V. No prox. mes]],"Sem Projeção")</f>
        <v>Sem Projeção</v>
      </c>
      <c r="O8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85" s="75">
        <f>VLOOKUP(Fellowes_Consumiveis9[[#This Row],[Código]],Projeção[#All],15,FALSE)</f>
        <v>0</v>
      </c>
      <c r="R85" s="39">
        <f>VLOOKUP(Fellowes_Consumiveis9[[#This Row],[Código]],Projeção[#All],14,FALSE)</f>
        <v>0</v>
      </c>
      <c r="S85" s="24">
        <f>IFERROR(VLOOKUP(Fellowes_Consumiveis9[[#This Row],[Código]],Venda_mes[],2,FALSE),0)</f>
        <v>0</v>
      </c>
      <c r="T85" s="44" t="str">
        <f>IFERROR(Fellowes_Consumiveis9[[#This Row],[V. No mes]]/Fellowes_Consumiveis9[[#This Row],[Proj. de V. No mes]],"")</f>
        <v/>
      </c>
      <c r="U8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5" s="24">
        <f>IFERROR(VLOOKUP(Fellowes_Consumiveis9[[#This Row],[Código]],Venda_3meses[],2,FALSE),0)</f>
        <v>0</v>
      </c>
      <c r="W85" s="44" t="str">
        <f>IFERROR(Fellowes_Consumiveis9[[#This Row],[V. 3 meses]]/Fellowes_Consumiveis9[[#This Row],[Proj. de V. 3 meses]],"")</f>
        <v/>
      </c>
      <c r="X8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5" s="24">
        <f>IFERROR(VLOOKUP(Fellowes_Consumiveis9[[#This Row],[Código]],Venda_12meses[],2,FALSE),0)</f>
        <v>0</v>
      </c>
      <c r="Z85" s="44" t="str">
        <f>IFERROR(Fellowes_Consumiveis9[[#This Row],[V. 12 meses]]/Fellowes_Consumiveis9[[#This Row],[Proj. de V. 12 meses]],"")</f>
        <v/>
      </c>
      <c r="AA85" s="22"/>
    </row>
    <row r="86" spans="1:27" x14ac:dyDescent="0.25">
      <c r="A86" s="66" t="str">
        <f>VLOOKUP(Fellowes_Consumiveis9[[#This Row],[Código]],BD_Produto[#All],7,FALSE)</f>
        <v>Componente</v>
      </c>
      <c r="B86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6" s="23">
        <v>33062065064</v>
      </c>
      <c r="D86" s="66" t="s">
        <v>1946</v>
      </c>
      <c r="E86" s="66" t="str">
        <f>VLOOKUP(Fellowes_Consumiveis9[[#This Row],[Código]],BD_Produto[],3,FALSE)</f>
        <v>Componentes</v>
      </c>
      <c r="F86" s="66" t="str">
        <f>VLOOKUP(Fellowes_Consumiveis9[[#This Row],[Código]],BD_Produto[],4,FALSE)</f>
        <v>Fragmentadora</v>
      </c>
      <c r="G86" s="24"/>
      <c r="H86" s="25"/>
      <c r="I86" s="22"/>
      <c r="J86" s="24"/>
      <c r="K86" s="24" t="str">
        <f>IFERROR(VLOOKUP(Fellowes_Consumiveis9[[#This Row],[Código]],Importação!P:R,3,FALSE),"")</f>
        <v/>
      </c>
      <c r="L86" s="24">
        <f>IFERROR(VLOOKUP(Fellowes_Consumiveis9[[#This Row],[Código]],Saldo[],3,FALSE),0)</f>
        <v>1</v>
      </c>
      <c r="M86" s="24">
        <f>SUM(Fellowes_Consumiveis9[[#This Row],[Produção]:[Estoque]])</f>
        <v>1</v>
      </c>
      <c r="N86" s="24" t="str">
        <f>IFERROR(Fellowes_Consumiveis9[[#This Row],[Estoque+Importação]]/Fellowes_Consumiveis9[[#This Row],[Proj. de V. No prox. mes]],"Sem Projeção")</f>
        <v>Sem Projeção</v>
      </c>
      <c r="O8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</v>
      </c>
      <c r="Q86" s="75">
        <f>VLOOKUP(Fellowes_Consumiveis9[[#This Row],[Código]],Projeção[#All],15,FALSE)</f>
        <v>0</v>
      </c>
      <c r="R86" s="39">
        <f>VLOOKUP(Fellowes_Consumiveis9[[#This Row],[Código]],Projeção[#All],14,FALSE)</f>
        <v>0</v>
      </c>
      <c r="S86" s="24">
        <f>IFERROR(VLOOKUP(Fellowes_Consumiveis9[[#This Row],[Código]],Venda_mes[],2,FALSE),0)</f>
        <v>0</v>
      </c>
      <c r="T86" s="44" t="str">
        <f>IFERROR(Fellowes_Consumiveis9[[#This Row],[V. No mes]]/Fellowes_Consumiveis9[[#This Row],[Proj. de V. No mes]],"")</f>
        <v/>
      </c>
      <c r="U8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6" s="24">
        <f>IFERROR(VLOOKUP(Fellowes_Consumiveis9[[#This Row],[Código]],Venda_3meses[],2,FALSE),0)</f>
        <v>0</v>
      </c>
      <c r="W86" s="44" t="str">
        <f>IFERROR(Fellowes_Consumiveis9[[#This Row],[V. 3 meses]]/Fellowes_Consumiveis9[[#This Row],[Proj. de V. 3 meses]],"")</f>
        <v/>
      </c>
      <c r="X8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6" s="24">
        <f>IFERROR(VLOOKUP(Fellowes_Consumiveis9[[#This Row],[Código]],Venda_12meses[],2,FALSE),0)</f>
        <v>0</v>
      </c>
      <c r="Z86" s="44" t="str">
        <f>IFERROR(Fellowes_Consumiveis9[[#This Row],[V. 12 meses]]/Fellowes_Consumiveis9[[#This Row],[Proj. de V. 12 meses]],"")</f>
        <v/>
      </c>
      <c r="AA86" s="22"/>
    </row>
    <row r="87" spans="1:27" x14ac:dyDescent="0.25">
      <c r="A87" s="66" t="str">
        <f>VLOOKUP(Fellowes_Consumiveis9[[#This Row],[Código]],BD_Produto[#All],7,FALSE)</f>
        <v>Componente</v>
      </c>
      <c r="B87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7" s="23">
        <v>33062065065</v>
      </c>
      <c r="D87" s="66" t="s">
        <v>1948</v>
      </c>
      <c r="E87" s="66" t="str">
        <f>VLOOKUP(Fellowes_Consumiveis9[[#This Row],[Código]],BD_Produto[],3,FALSE)</f>
        <v>Componentes</v>
      </c>
      <c r="F87" s="66" t="str">
        <f>VLOOKUP(Fellowes_Consumiveis9[[#This Row],[Código]],BD_Produto[],4,FALSE)</f>
        <v>Fragmentadora</v>
      </c>
      <c r="G87" s="24"/>
      <c r="H87" s="25"/>
      <c r="I87" s="22"/>
      <c r="J87" s="24"/>
      <c r="K87" s="24" t="str">
        <f>IFERROR(VLOOKUP(Fellowes_Consumiveis9[[#This Row],[Código]],Importação!P:R,3,FALSE),"")</f>
        <v/>
      </c>
      <c r="L87" s="24">
        <f>IFERROR(VLOOKUP(Fellowes_Consumiveis9[[#This Row],[Código]],Saldo[],3,FALSE),0)</f>
        <v>1</v>
      </c>
      <c r="M87" s="24">
        <f>SUM(Fellowes_Consumiveis9[[#This Row],[Produção]:[Estoque]])</f>
        <v>1</v>
      </c>
      <c r="N87" s="24" t="str">
        <f>IFERROR(Fellowes_Consumiveis9[[#This Row],[Estoque+Importação]]/Fellowes_Consumiveis9[[#This Row],[Proj. de V. No prox. mes]],"Sem Projeção")</f>
        <v>Sem Projeção</v>
      </c>
      <c r="O8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</v>
      </c>
      <c r="Q87" s="75">
        <f>VLOOKUP(Fellowes_Consumiveis9[[#This Row],[Código]],Projeção[#All],15,FALSE)</f>
        <v>0</v>
      </c>
      <c r="R87" s="39">
        <f>VLOOKUP(Fellowes_Consumiveis9[[#This Row],[Código]],Projeção[#All],14,FALSE)</f>
        <v>0</v>
      </c>
      <c r="S87" s="24">
        <f>IFERROR(VLOOKUP(Fellowes_Consumiveis9[[#This Row],[Código]],Venda_mes[],2,FALSE),0)</f>
        <v>0</v>
      </c>
      <c r="T87" s="44" t="str">
        <f>IFERROR(Fellowes_Consumiveis9[[#This Row],[V. No mes]]/Fellowes_Consumiveis9[[#This Row],[Proj. de V. No mes]],"")</f>
        <v/>
      </c>
      <c r="U8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7" s="24">
        <f>IFERROR(VLOOKUP(Fellowes_Consumiveis9[[#This Row],[Código]],Venda_3meses[],2,FALSE),0)</f>
        <v>0</v>
      </c>
      <c r="W87" s="44" t="str">
        <f>IFERROR(Fellowes_Consumiveis9[[#This Row],[V. 3 meses]]/Fellowes_Consumiveis9[[#This Row],[Proj. de V. 3 meses]],"")</f>
        <v/>
      </c>
      <c r="X8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7" s="24">
        <f>IFERROR(VLOOKUP(Fellowes_Consumiveis9[[#This Row],[Código]],Venda_12meses[],2,FALSE),0)</f>
        <v>0</v>
      </c>
      <c r="Z87" s="44" t="str">
        <f>IFERROR(Fellowes_Consumiveis9[[#This Row],[V. 12 meses]]/Fellowes_Consumiveis9[[#This Row],[Proj. de V. 12 meses]],"")</f>
        <v/>
      </c>
      <c r="AA87" s="22"/>
    </row>
    <row r="88" spans="1:27" x14ac:dyDescent="0.25">
      <c r="A88" s="66" t="str">
        <f>VLOOKUP(Fellowes_Consumiveis9[[#This Row],[Código]],BD_Produto[#All],7,FALSE)</f>
        <v>Componente</v>
      </c>
      <c r="B88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8" s="23">
        <v>33062065066</v>
      </c>
      <c r="D88" s="66" t="s">
        <v>1950</v>
      </c>
      <c r="E88" s="66" t="str">
        <f>VLOOKUP(Fellowes_Consumiveis9[[#This Row],[Código]],BD_Produto[],3,FALSE)</f>
        <v>Componentes</v>
      </c>
      <c r="F88" s="66" t="str">
        <f>VLOOKUP(Fellowes_Consumiveis9[[#This Row],[Código]],BD_Produto[],4,FALSE)</f>
        <v>Fragmentadora</v>
      </c>
      <c r="G88" s="24"/>
      <c r="H88" s="25"/>
      <c r="I88" s="22"/>
      <c r="J88" s="24"/>
      <c r="K88" s="24" t="str">
        <f>IFERROR(VLOOKUP(Fellowes_Consumiveis9[[#This Row],[Código]],Importação!P:R,3,FALSE),"")</f>
        <v/>
      </c>
      <c r="L88" s="24">
        <f>IFERROR(VLOOKUP(Fellowes_Consumiveis9[[#This Row],[Código]],Saldo[],3,FALSE),0)</f>
        <v>0</v>
      </c>
      <c r="M88" s="24">
        <f>SUM(Fellowes_Consumiveis9[[#This Row],[Produção]:[Estoque]])</f>
        <v>0</v>
      </c>
      <c r="N88" s="24" t="str">
        <f>IFERROR(Fellowes_Consumiveis9[[#This Row],[Estoque+Importação]]/Fellowes_Consumiveis9[[#This Row],[Proj. de V. No prox. mes]],"Sem Projeção")</f>
        <v>Sem Projeção</v>
      </c>
      <c r="O8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88" s="75">
        <f>VLOOKUP(Fellowes_Consumiveis9[[#This Row],[Código]],Projeção[#All],15,FALSE)</f>
        <v>0</v>
      </c>
      <c r="R88" s="39">
        <f>VLOOKUP(Fellowes_Consumiveis9[[#This Row],[Código]],Projeção[#All],14,FALSE)</f>
        <v>0</v>
      </c>
      <c r="S88" s="24">
        <f>IFERROR(VLOOKUP(Fellowes_Consumiveis9[[#This Row],[Código]],Venda_mes[],2,FALSE),0)</f>
        <v>0</v>
      </c>
      <c r="T88" s="44" t="str">
        <f>IFERROR(Fellowes_Consumiveis9[[#This Row],[V. No mes]]/Fellowes_Consumiveis9[[#This Row],[Proj. de V. No mes]],"")</f>
        <v/>
      </c>
      <c r="U8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8" s="24">
        <f>IFERROR(VLOOKUP(Fellowes_Consumiveis9[[#This Row],[Código]],Venda_3meses[],2,FALSE),0)</f>
        <v>0</v>
      </c>
      <c r="W88" s="44" t="str">
        <f>IFERROR(Fellowes_Consumiveis9[[#This Row],[V. 3 meses]]/Fellowes_Consumiveis9[[#This Row],[Proj. de V. 3 meses]],"")</f>
        <v/>
      </c>
      <c r="X8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8" s="24">
        <f>IFERROR(VLOOKUP(Fellowes_Consumiveis9[[#This Row],[Código]],Venda_12meses[],2,FALSE),0)</f>
        <v>0</v>
      </c>
      <c r="Z88" s="44" t="str">
        <f>IFERROR(Fellowes_Consumiveis9[[#This Row],[V. 12 meses]]/Fellowes_Consumiveis9[[#This Row],[Proj. de V. 12 meses]],"")</f>
        <v/>
      </c>
      <c r="AA88" s="22"/>
    </row>
    <row r="89" spans="1:27" x14ac:dyDescent="0.25">
      <c r="A89" s="66" t="str">
        <f>VLOOKUP(Fellowes_Consumiveis9[[#This Row],[Código]],BD_Produto[#All],7,FALSE)</f>
        <v>Componente</v>
      </c>
      <c r="B89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89" s="23">
        <v>33062065067</v>
      </c>
      <c r="D89" s="66" t="s">
        <v>1952</v>
      </c>
      <c r="E89" s="66" t="str">
        <f>VLOOKUP(Fellowes_Consumiveis9[[#This Row],[Código]],BD_Produto[],3,FALSE)</f>
        <v>Componentes</v>
      </c>
      <c r="F89" s="66" t="str">
        <f>VLOOKUP(Fellowes_Consumiveis9[[#This Row],[Código]],BD_Produto[],4,FALSE)</f>
        <v>Fragmentadora</v>
      </c>
      <c r="G89" s="24"/>
      <c r="H89" s="25"/>
      <c r="I89" s="22"/>
      <c r="J89" s="24"/>
      <c r="K89" s="24" t="str">
        <f>IFERROR(VLOOKUP(Fellowes_Consumiveis9[[#This Row],[Código]],Importação!P:R,3,FALSE),"")</f>
        <v/>
      </c>
      <c r="L89" s="24">
        <f>IFERROR(VLOOKUP(Fellowes_Consumiveis9[[#This Row],[Código]],Saldo[],3,FALSE),0)</f>
        <v>1</v>
      </c>
      <c r="M89" s="24">
        <f>SUM(Fellowes_Consumiveis9[[#This Row],[Produção]:[Estoque]])</f>
        <v>1</v>
      </c>
      <c r="N89" s="24" t="str">
        <f>IFERROR(Fellowes_Consumiveis9[[#This Row],[Estoque+Importação]]/Fellowes_Consumiveis9[[#This Row],[Proj. de V. No prox. mes]],"Sem Projeção")</f>
        <v>Sem Projeção</v>
      </c>
      <c r="O8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8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</v>
      </c>
      <c r="Q89" s="75">
        <f>VLOOKUP(Fellowes_Consumiveis9[[#This Row],[Código]],Projeção[#All],15,FALSE)</f>
        <v>0</v>
      </c>
      <c r="R89" s="39">
        <f>VLOOKUP(Fellowes_Consumiveis9[[#This Row],[Código]],Projeção[#All],14,FALSE)</f>
        <v>0</v>
      </c>
      <c r="S89" s="24">
        <f>IFERROR(VLOOKUP(Fellowes_Consumiveis9[[#This Row],[Código]],Venda_mes[],2,FALSE),0)</f>
        <v>0</v>
      </c>
      <c r="T89" s="44" t="str">
        <f>IFERROR(Fellowes_Consumiveis9[[#This Row],[V. No mes]]/Fellowes_Consumiveis9[[#This Row],[Proj. de V. No mes]],"")</f>
        <v/>
      </c>
      <c r="U8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89" s="24">
        <f>IFERROR(VLOOKUP(Fellowes_Consumiveis9[[#This Row],[Código]],Venda_3meses[],2,FALSE),0)</f>
        <v>0</v>
      </c>
      <c r="W89" s="44" t="str">
        <f>IFERROR(Fellowes_Consumiveis9[[#This Row],[V. 3 meses]]/Fellowes_Consumiveis9[[#This Row],[Proj. de V. 3 meses]],"")</f>
        <v/>
      </c>
      <c r="X8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89" s="24">
        <f>IFERROR(VLOOKUP(Fellowes_Consumiveis9[[#This Row],[Código]],Venda_12meses[],2,FALSE),0)</f>
        <v>0</v>
      </c>
      <c r="Z89" s="44" t="str">
        <f>IFERROR(Fellowes_Consumiveis9[[#This Row],[V. 12 meses]]/Fellowes_Consumiveis9[[#This Row],[Proj. de V. 12 meses]],"")</f>
        <v/>
      </c>
      <c r="AA89" s="22"/>
    </row>
    <row r="90" spans="1:27" x14ac:dyDescent="0.25">
      <c r="A90" s="66" t="str">
        <f>VLOOKUP(Fellowes_Consumiveis9[[#This Row],[Código]],BD_Produto[#All],7,FALSE)</f>
        <v>Componente</v>
      </c>
      <c r="B90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0" s="23">
        <v>33062065063</v>
      </c>
      <c r="D90" s="66" t="s">
        <v>1954</v>
      </c>
      <c r="E90" s="66" t="str">
        <f>VLOOKUP(Fellowes_Consumiveis9[[#This Row],[Código]],BD_Produto[],3,FALSE)</f>
        <v>Componentes</v>
      </c>
      <c r="F90" s="66" t="str">
        <f>VLOOKUP(Fellowes_Consumiveis9[[#This Row],[Código]],BD_Produto[],4,FALSE)</f>
        <v>Fragmentadora</v>
      </c>
      <c r="G90" s="24"/>
      <c r="H90" s="25"/>
      <c r="I90" s="22"/>
      <c r="J90" s="24"/>
      <c r="K90" s="24" t="str">
        <f>IFERROR(VLOOKUP(Fellowes_Consumiveis9[[#This Row],[Código]],Importação!P:R,3,FALSE),"")</f>
        <v/>
      </c>
      <c r="L90" s="24">
        <f>IFERROR(VLOOKUP(Fellowes_Consumiveis9[[#This Row],[Código]],Saldo[],3,FALSE),0)</f>
        <v>0</v>
      </c>
      <c r="M90" s="24">
        <f>SUM(Fellowes_Consumiveis9[[#This Row],[Produção]:[Estoque]])</f>
        <v>0</v>
      </c>
      <c r="N90" s="24" t="str">
        <f>IFERROR(Fellowes_Consumiveis9[[#This Row],[Estoque+Importação]]/Fellowes_Consumiveis9[[#This Row],[Proj. de V. No prox. mes]],"Sem Projeção")</f>
        <v>Sem Projeção</v>
      </c>
      <c r="O9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</v>
      </c>
      <c r="Q90" s="75">
        <f>VLOOKUP(Fellowes_Consumiveis9[[#This Row],[Código]],Projeção[#All],15,FALSE)</f>
        <v>0</v>
      </c>
      <c r="R90" s="39">
        <f>VLOOKUP(Fellowes_Consumiveis9[[#This Row],[Código]],Projeção[#All],14,FALSE)</f>
        <v>0</v>
      </c>
      <c r="S90" s="24">
        <f>IFERROR(VLOOKUP(Fellowes_Consumiveis9[[#This Row],[Código]],Venda_mes[],2,FALSE),0)</f>
        <v>0</v>
      </c>
      <c r="T90" s="44" t="str">
        <f>IFERROR(Fellowes_Consumiveis9[[#This Row],[V. No mes]]/Fellowes_Consumiveis9[[#This Row],[Proj. de V. No mes]],"")</f>
        <v/>
      </c>
      <c r="U9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0" s="24">
        <f>IFERROR(VLOOKUP(Fellowes_Consumiveis9[[#This Row],[Código]],Venda_3meses[],2,FALSE),0)</f>
        <v>0</v>
      </c>
      <c r="W90" s="44" t="str">
        <f>IFERROR(Fellowes_Consumiveis9[[#This Row],[V. 3 meses]]/Fellowes_Consumiveis9[[#This Row],[Proj. de V. 3 meses]],"")</f>
        <v/>
      </c>
      <c r="X9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0" s="24">
        <f>IFERROR(VLOOKUP(Fellowes_Consumiveis9[[#This Row],[Código]],Venda_12meses[],2,FALSE),0)</f>
        <v>0</v>
      </c>
      <c r="Z90" s="44" t="str">
        <f>IFERROR(Fellowes_Consumiveis9[[#This Row],[V. 12 meses]]/Fellowes_Consumiveis9[[#This Row],[Proj. de V. 12 meses]],"")</f>
        <v/>
      </c>
      <c r="AA90" s="22"/>
    </row>
    <row r="91" spans="1:27" x14ac:dyDescent="0.25">
      <c r="A91" s="66" t="str">
        <f>VLOOKUP(Fellowes_Consumiveis9[[#This Row],[Código]],BD_Produto[#All],7,FALSE)</f>
        <v>Componente</v>
      </c>
      <c r="B91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1" s="23">
        <v>33062065071</v>
      </c>
      <c r="D91" s="66" t="s">
        <v>1956</v>
      </c>
      <c r="E91" s="66" t="str">
        <f>VLOOKUP(Fellowes_Consumiveis9[[#This Row],[Código]],BD_Produto[],3,FALSE)</f>
        <v>Componentes</v>
      </c>
      <c r="F91" s="66" t="str">
        <f>VLOOKUP(Fellowes_Consumiveis9[[#This Row],[Código]],BD_Produto[],4,FALSE)</f>
        <v>Fragmentadora</v>
      </c>
      <c r="G91" s="24"/>
      <c r="H91" s="25"/>
      <c r="I91" s="22"/>
      <c r="J91" s="24"/>
      <c r="K91" s="24" t="str">
        <f>IFERROR(VLOOKUP(Fellowes_Consumiveis9[[#This Row],[Código]],Importação!P:R,3,FALSE),"")</f>
        <v/>
      </c>
      <c r="L91" s="24">
        <f>IFERROR(VLOOKUP(Fellowes_Consumiveis9[[#This Row],[Código]],Saldo[],3,FALSE),0)</f>
        <v>4</v>
      </c>
      <c r="M91" s="24">
        <f>SUM(Fellowes_Consumiveis9[[#This Row],[Produção]:[Estoque]])</f>
        <v>4</v>
      </c>
      <c r="N91" s="24" t="str">
        <f>IFERROR(Fellowes_Consumiveis9[[#This Row],[Estoque+Importação]]/Fellowes_Consumiveis9[[#This Row],[Proj. de V. No prox. mes]],"Sem Projeção")</f>
        <v>Sem Projeção</v>
      </c>
      <c r="O9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91" s="75">
        <f>VLOOKUP(Fellowes_Consumiveis9[[#This Row],[Código]],Projeção[#All],15,FALSE)</f>
        <v>0</v>
      </c>
      <c r="R91" s="39">
        <f>VLOOKUP(Fellowes_Consumiveis9[[#This Row],[Código]],Projeção[#All],14,FALSE)</f>
        <v>0</v>
      </c>
      <c r="S91" s="24">
        <f>IFERROR(VLOOKUP(Fellowes_Consumiveis9[[#This Row],[Código]],Venda_mes[],2,FALSE),0)</f>
        <v>0</v>
      </c>
      <c r="T91" s="44" t="str">
        <f>IFERROR(Fellowes_Consumiveis9[[#This Row],[V. No mes]]/Fellowes_Consumiveis9[[#This Row],[Proj. de V. No mes]],"")</f>
        <v/>
      </c>
      <c r="U9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1" s="24">
        <f>IFERROR(VLOOKUP(Fellowes_Consumiveis9[[#This Row],[Código]],Venda_3meses[],2,FALSE),0)</f>
        <v>0</v>
      </c>
      <c r="W91" s="44" t="str">
        <f>IFERROR(Fellowes_Consumiveis9[[#This Row],[V. 3 meses]]/Fellowes_Consumiveis9[[#This Row],[Proj. de V. 3 meses]],"")</f>
        <v/>
      </c>
      <c r="X9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1" s="24">
        <f>IFERROR(VLOOKUP(Fellowes_Consumiveis9[[#This Row],[Código]],Venda_12meses[],2,FALSE),0)</f>
        <v>0</v>
      </c>
      <c r="Z91" s="44" t="str">
        <f>IFERROR(Fellowes_Consumiveis9[[#This Row],[V. 12 meses]]/Fellowes_Consumiveis9[[#This Row],[Proj. de V. 12 meses]],"")</f>
        <v/>
      </c>
      <c r="AA91" s="22"/>
    </row>
    <row r="92" spans="1:27" x14ac:dyDescent="0.25">
      <c r="A92" s="66" t="str">
        <f>VLOOKUP(Fellowes_Consumiveis9[[#This Row],[Código]],BD_Produto[#All],7,FALSE)</f>
        <v>Componente</v>
      </c>
      <c r="B92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2" s="23">
        <v>33062065073</v>
      </c>
      <c r="D92" s="66" t="s">
        <v>1958</v>
      </c>
      <c r="E92" s="66" t="str">
        <f>VLOOKUP(Fellowes_Consumiveis9[[#This Row],[Código]],BD_Produto[],3,FALSE)</f>
        <v>Componentes</v>
      </c>
      <c r="F92" s="66" t="str">
        <f>VLOOKUP(Fellowes_Consumiveis9[[#This Row],[Código]],BD_Produto[],4,FALSE)</f>
        <v>Fragmentadora</v>
      </c>
      <c r="G92" s="24"/>
      <c r="H92" s="25"/>
      <c r="I92" s="22"/>
      <c r="J92" s="24"/>
      <c r="K92" s="24" t="str">
        <f>IFERROR(VLOOKUP(Fellowes_Consumiveis9[[#This Row],[Código]],Importação!P:R,3,FALSE),"")</f>
        <v/>
      </c>
      <c r="L92" s="24">
        <f>IFERROR(VLOOKUP(Fellowes_Consumiveis9[[#This Row],[Código]],Saldo[],3,FALSE),0)</f>
        <v>4</v>
      </c>
      <c r="M92" s="24">
        <f>SUM(Fellowes_Consumiveis9[[#This Row],[Produção]:[Estoque]])</f>
        <v>4</v>
      </c>
      <c r="N92" s="24" t="str">
        <f>IFERROR(Fellowes_Consumiveis9[[#This Row],[Estoque+Importação]]/Fellowes_Consumiveis9[[#This Row],[Proj. de V. No prox. mes]],"Sem Projeção")</f>
        <v>Sem Projeção</v>
      </c>
      <c r="O9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92" s="75">
        <f>VLOOKUP(Fellowes_Consumiveis9[[#This Row],[Código]],Projeção[#All],15,FALSE)</f>
        <v>0</v>
      </c>
      <c r="R92" s="39">
        <f>VLOOKUP(Fellowes_Consumiveis9[[#This Row],[Código]],Projeção[#All],14,FALSE)</f>
        <v>0</v>
      </c>
      <c r="S92" s="24">
        <f>IFERROR(VLOOKUP(Fellowes_Consumiveis9[[#This Row],[Código]],Venda_mes[],2,FALSE),0)</f>
        <v>0</v>
      </c>
      <c r="T92" s="44" t="str">
        <f>IFERROR(Fellowes_Consumiveis9[[#This Row],[V. No mes]]/Fellowes_Consumiveis9[[#This Row],[Proj. de V. No mes]],"")</f>
        <v/>
      </c>
      <c r="U9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2" s="24">
        <f>IFERROR(VLOOKUP(Fellowes_Consumiveis9[[#This Row],[Código]],Venda_3meses[],2,FALSE),0)</f>
        <v>0</v>
      </c>
      <c r="W92" s="44" t="str">
        <f>IFERROR(Fellowes_Consumiveis9[[#This Row],[V. 3 meses]]/Fellowes_Consumiveis9[[#This Row],[Proj. de V. 3 meses]],"")</f>
        <v/>
      </c>
      <c r="X9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2" s="24">
        <f>IFERROR(VLOOKUP(Fellowes_Consumiveis9[[#This Row],[Código]],Venda_12meses[],2,FALSE),0)</f>
        <v>0</v>
      </c>
      <c r="Z92" s="44" t="str">
        <f>IFERROR(Fellowes_Consumiveis9[[#This Row],[V. 12 meses]]/Fellowes_Consumiveis9[[#This Row],[Proj. de V. 12 meses]],"")</f>
        <v/>
      </c>
      <c r="AA92" s="22"/>
    </row>
    <row r="93" spans="1:27" x14ac:dyDescent="0.25">
      <c r="A93" s="66" t="str">
        <f>VLOOKUP(Fellowes_Consumiveis9[[#This Row],[Código]],BD_Produto[#All],7,FALSE)</f>
        <v>Componente</v>
      </c>
      <c r="B93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3" s="23">
        <v>33062065068</v>
      </c>
      <c r="D93" s="66" t="s">
        <v>1960</v>
      </c>
      <c r="E93" s="66" t="str">
        <f>VLOOKUP(Fellowes_Consumiveis9[[#This Row],[Código]],BD_Produto[],3,FALSE)</f>
        <v>Componentes</v>
      </c>
      <c r="F93" s="66" t="str">
        <f>VLOOKUP(Fellowes_Consumiveis9[[#This Row],[Código]],BD_Produto[],4,FALSE)</f>
        <v>Fragmentadora</v>
      </c>
      <c r="G93" s="24"/>
      <c r="H93" s="25"/>
      <c r="I93" s="22"/>
      <c r="J93" s="24"/>
      <c r="K93" s="24" t="str">
        <f>IFERROR(VLOOKUP(Fellowes_Consumiveis9[[#This Row],[Código]],Importação!P:R,3,FALSE),"")</f>
        <v/>
      </c>
      <c r="L93" s="24">
        <f>IFERROR(VLOOKUP(Fellowes_Consumiveis9[[#This Row],[Código]],Saldo[],3,FALSE),0)</f>
        <v>4</v>
      </c>
      <c r="M93" s="24">
        <f>SUM(Fellowes_Consumiveis9[[#This Row],[Produção]:[Estoque]])</f>
        <v>4</v>
      </c>
      <c r="N93" s="24" t="str">
        <f>IFERROR(Fellowes_Consumiveis9[[#This Row],[Estoque+Importação]]/Fellowes_Consumiveis9[[#This Row],[Proj. de V. No prox. mes]],"Sem Projeção")</f>
        <v>Sem Projeção</v>
      </c>
      <c r="O9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</v>
      </c>
      <c r="Q93" s="75">
        <f>VLOOKUP(Fellowes_Consumiveis9[[#This Row],[Código]],Projeção[#All],15,FALSE)</f>
        <v>0</v>
      </c>
      <c r="R93" s="39">
        <f>VLOOKUP(Fellowes_Consumiveis9[[#This Row],[Código]],Projeção[#All],14,FALSE)</f>
        <v>0</v>
      </c>
      <c r="S93" s="24">
        <f>IFERROR(VLOOKUP(Fellowes_Consumiveis9[[#This Row],[Código]],Venda_mes[],2,FALSE),0)</f>
        <v>0</v>
      </c>
      <c r="T93" s="44" t="str">
        <f>IFERROR(Fellowes_Consumiveis9[[#This Row],[V. No mes]]/Fellowes_Consumiveis9[[#This Row],[Proj. de V. No mes]],"")</f>
        <v/>
      </c>
      <c r="U9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3" s="24">
        <f>IFERROR(VLOOKUP(Fellowes_Consumiveis9[[#This Row],[Código]],Venda_3meses[],2,FALSE),0)</f>
        <v>0</v>
      </c>
      <c r="W93" s="44" t="str">
        <f>IFERROR(Fellowes_Consumiveis9[[#This Row],[V. 3 meses]]/Fellowes_Consumiveis9[[#This Row],[Proj. de V. 3 meses]],"")</f>
        <v/>
      </c>
      <c r="X9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3" s="24">
        <f>IFERROR(VLOOKUP(Fellowes_Consumiveis9[[#This Row],[Código]],Venda_12meses[],2,FALSE),0)</f>
        <v>0</v>
      </c>
      <c r="Z93" s="44" t="str">
        <f>IFERROR(Fellowes_Consumiveis9[[#This Row],[V. 12 meses]]/Fellowes_Consumiveis9[[#This Row],[Proj. de V. 12 meses]],"")</f>
        <v/>
      </c>
      <c r="AA93" s="22"/>
    </row>
    <row r="94" spans="1:27" x14ac:dyDescent="0.25">
      <c r="A94" s="66" t="str">
        <f>VLOOKUP(Fellowes_Consumiveis9[[#This Row],[Código]],BD_Produto[#All],7,FALSE)</f>
        <v>Componente</v>
      </c>
      <c r="B94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4" s="23">
        <v>33062065159</v>
      </c>
      <c r="D94" s="66" t="s">
        <v>3066</v>
      </c>
      <c r="E94" s="66" t="str">
        <f>VLOOKUP(Fellowes_Consumiveis9[[#This Row],[Código]],BD_Produto[],3,FALSE)</f>
        <v>Componentes</v>
      </c>
      <c r="F94" s="66" t="str">
        <f>VLOOKUP(Fellowes_Consumiveis9[[#This Row],[Código]],BD_Produto[],4,FALSE)</f>
        <v>Fragmentadora</v>
      </c>
      <c r="G94" s="24"/>
      <c r="H94" s="25"/>
      <c r="I94" s="22"/>
      <c r="J94" s="24"/>
      <c r="K94" s="24" t="str">
        <f>IFERROR(VLOOKUP(Fellowes_Consumiveis9[[#This Row],[Código]],Importação!P:R,3,FALSE),"")</f>
        <v/>
      </c>
      <c r="L94" s="24">
        <f>IFERROR(VLOOKUP(Fellowes_Consumiveis9[[#This Row],[Código]],Saldo[],3,FALSE),0)</f>
        <v>4</v>
      </c>
      <c r="M94" s="24">
        <f>SUM(Fellowes_Consumiveis9[[#This Row],[Produção]:[Estoque]])</f>
        <v>4</v>
      </c>
      <c r="N94" s="24">
        <f>IFERROR(Fellowes_Consumiveis9[[#This Row],[Estoque+Importação]]/Fellowes_Consumiveis9[[#This Row],[Proj. de V. No prox. mes]],"Sem Projeção")</f>
        <v>8.5714285714285712</v>
      </c>
      <c r="O9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4.666666666666667</v>
      </c>
      <c r="P9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0.66666666666666696</v>
      </c>
      <c r="Q94" s="75">
        <f>VLOOKUP(Fellowes_Consumiveis9[[#This Row],[Código]],Projeção[#All],15,FALSE)</f>
        <v>0.46666666666666667</v>
      </c>
      <c r="R94" s="43">
        <f>VLOOKUP(Fellowes_Consumiveis9[[#This Row],[Código]],Projeção[#All],14,FALSE)</f>
        <v>0</v>
      </c>
      <c r="S94" s="24">
        <f>IFERROR(VLOOKUP(Fellowes_Consumiveis9[[#This Row],[Código]],Venda_mes[],2,FALSE),0)</f>
        <v>2</v>
      </c>
      <c r="T94" s="44" t="str">
        <f>IFERROR(Fellowes_Consumiveis9[[#This Row],[V. No mes]]/Fellowes_Consumiveis9[[#This Row],[Proj. de V. No mes]],"")</f>
        <v/>
      </c>
      <c r="U9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4" s="24">
        <f>IFERROR(VLOOKUP(Fellowes_Consumiveis9[[#This Row],[Código]],Venda_3meses[],2,FALSE),0)</f>
        <v>2</v>
      </c>
      <c r="W94" s="44" t="str">
        <f>IFERROR(Fellowes_Consumiveis9[[#This Row],[V. 3 meses]]/Fellowes_Consumiveis9[[#This Row],[Proj. de V. 3 meses]],"")</f>
        <v/>
      </c>
      <c r="X9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4" s="24">
        <f>IFERROR(VLOOKUP(Fellowes_Consumiveis9[[#This Row],[Código]],Venda_12meses[],2,FALSE),0)</f>
        <v>2</v>
      </c>
      <c r="Z94" s="44" t="str">
        <f>IFERROR(Fellowes_Consumiveis9[[#This Row],[V. 12 meses]]/Fellowes_Consumiveis9[[#This Row],[Proj. de V. 12 meses]],"")</f>
        <v/>
      </c>
      <c r="AA94" s="22"/>
    </row>
    <row r="95" spans="1:27" x14ac:dyDescent="0.25">
      <c r="A95" s="66" t="str">
        <f>VLOOKUP(Fellowes_Consumiveis9[[#This Row],[Código]],BD_Produto[#All],7,FALSE)</f>
        <v>Componente</v>
      </c>
      <c r="B95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5" s="23">
        <v>33062065160</v>
      </c>
      <c r="D95" s="66" t="s">
        <v>2924</v>
      </c>
      <c r="E95" s="66" t="str">
        <f>VLOOKUP(Fellowes_Consumiveis9[[#This Row],[Código]],BD_Produto[],3,FALSE)</f>
        <v>Componentes</v>
      </c>
      <c r="F95" s="66" t="str">
        <f>VLOOKUP(Fellowes_Consumiveis9[[#This Row],[Código]],BD_Produto[],4,FALSE)</f>
        <v>Fragmentadora</v>
      </c>
      <c r="G95" s="24"/>
      <c r="H95" s="25"/>
      <c r="I95" s="22"/>
      <c r="J95" s="24"/>
      <c r="K95" s="24" t="str">
        <f>IFERROR(VLOOKUP(Fellowes_Consumiveis9[[#This Row],[Código]],Importação!P:R,3,FALSE),"")</f>
        <v/>
      </c>
      <c r="L95" s="24">
        <f>IFERROR(VLOOKUP(Fellowes_Consumiveis9[[#This Row],[Código]],Saldo[],3,FALSE),0)</f>
        <v>5</v>
      </c>
      <c r="M95" s="24">
        <f>SUM(Fellowes_Consumiveis9[[#This Row],[Produção]:[Estoque]])</f>
        <v>5</v>
      </c>
      <c r="N95" s="24" t="str">
        <f>IFERROR(Fellowes_Consumiveis9[[#This Row],[Estoque+Importação]]/Fellowes_Consumiveis9[[#This Row],[Proj. de V. No prox. mes]],"Sem Projeção")</f>
        <v>Sem Projeção</v>
      </c>
      <c r="O9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95" s="75">
        <f>VLOOKUP(Fellowes_Consumiveis9[[#This Row],[Código]],Projeção[#All],15,FALSE)</f>
        <v>0</v>
      </c>
      <c r="R95" s="43">
        <f>VLOOKUP(Fellowes_Consumiveis9[[#This Row],[Código]],Projeção[#All],14,FALSE)</f>
        <v>0</v>
      </c>
      <c r="S95" s="24">
        <f>IFERROR(VLOOKUP(Fellowes_Consumiveis9[[#This Row],[Código]],Venda_mes[],2,FALSE),0)</f>
        <v>0</v>
      </c>
      <c r="T95" s="44" t="str">
        <f>IFERROR(Fellowes_Consumiveis9[[#This Row],[V. No mes]]/Fellowes_Consumiveis9[[#This Row],[Proj. de V. No mes]],"")</f>
        <v/>
      </c>
      <c r="U9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5" s="24">
        <f>IFERROR(VLOOKUP(Fellowes_Consumiveis9[[#This Row],[Código]],Venda_3meses[],2,FALSE),0)</f>
        <v>0</v>
      </c>
      <c r="W95" s="44" t="str">
        <f>IFERROR(Fellowes_Consumiveis9[[#This Row],[V. 3 meses]]/Fellowes_Consumiveis9[[#This Row],[Proj. de V. 3 meses]],"")</f>
        <v/>
      </c>
      <c r="X9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5" s="24">
        <f>IFERROR(VLOOKUP(Fellowes_Consumiveis9[[#This Row],[Código]],Venda_12meses[],2,FALSE),0)</f>
        <v>0</v>
      </c>
      <c r="Z95" s="44" t="str">
        <f>IFERROR(Fellowes_Consumiveis9[[#This Row],[V. 12 meses]]/Fellowes_Consumiveis9[[#This Row],[Proj. de V. 12 meses]],"")</f>
        <v/>
      </c>
      <c r="AA95" s="22"/>
    </row>
    <row r="96" spans="1:27" x14ac:dyDescent="0.25">
      <c r="A96" s="66" t="str">
        <f>VLOOKUP(Fellowes_Consumiveis9[[#This Row],[Código]],BD_Produto[#All],7,FALSE)</f>
        <v>Componente</v>
      </c>
      <c r="B96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6" s="23">
        <v>33062065103</v>
      </c>
      <c r="D96" s="66" t="s">
        <v>2922</v>
      </c>
      <c r="E96" s="66" t="str">
        <f>VLOOKUP(Fellowes_Consumiveis9[[#This Row],[Código]],BD_Produto[],3,FALSE)</f>
        <v>Componentes</v>
      </c>
      <c r="F96" s="66" t="str">
        <f>VLOOKUP(Fellowes_Consumiveis9[[#This Row],[Código]],BD_Produto[],4,FALSE)</f>
        <v>Fragmentadora</v>
      </c>
      <c r="G96" s="24"/>
      <c r="H96" s="25"/>
      <c r="I96" s="22"/>
      <c r="J96" s="24"/>
      <c r="K96" s="24" t="str">
        <f>IFERROR(VLOOKUP(Fellowes_Consumiveis9[[#This Row],[Código]],Importação!P:R,3,FALSE),"")</f>
        <v/>
      </c>
      <c r="L96" s="24">
        <f>IFERROR(VLOOKUP(Fellowes_Consumiveis9[[#This Row],[Código]],Saldo[],3,FALSE),0)</f>
        <v>5</v>
      </c>
      <c r="M96" s="24">
        <f>SUM(Fellowes_Consumiveis9[[#This Row],[Produção]:[Estoque]])</f>
        <v>5</v>
      </c>
      <c r="N96" s="24" t="str">
        <f>IFERROR(Fellowes_Consumiveis9[[#This Row],[Estoque+Importação]]/Fellowes_Consumiveis9[[#This Row],[Proj. de V. No prox. mes]],"Sem Projeção")</f>
        <v>Sem Projeção</v>
      </c>
      <c r="O9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96" s="75">
        <f>VLOOKUP(Fellowes_Consumiveis9[[#This Row],[Código]],Projeção[#All],15,FALSE)</f>
        <v>0</v>
      </c>
      <c r="R96" s="43">
        <f>VLOOKUP(Fellowes_Consumiveis9[[#This Row],[Código]],Projeção[#All],14,FALSE)</f>
        <v>0</v>
      </c>
      <c r="S96" s="24">
        <f>IFERROR(VLOOKUP(Fellowes_Consumiveis9[[#This Row],[Código]],Venda_mes[],2,FALSE),0)</f>
        <v>0</v>
      </c>
      <c r="T96" s="44" t="str">
        <f>IFERROR(Fellowes_Consumiveis9[[#This Row],[V. No mes]]/Fellowes_Consumiveis9[[#This Row],[Proj. de V. No mes]],"")</f>
        <v/>
      </c>
      <c r="U9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6" s="24">
        <f>IFERROR(VLOOKUP(Fellowes_Consumiveis9[[#This Row],[Código]],Venda_3meses[],2,FALSE),0)</f>
        <v>0</v>
      </c>
      <c r="W96" s="44" t="str">
        <f>IFERROR(Fellowes_Consumiveis9[[#This Row],[V. 3 meses]]/Fellowes_Consumiveis9[[#This Row],[Proj. de V. 3 meses]],"")</f>
        <v/>
      </c>
      <c r="X9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6" s="24">
        <f>IFERROR(VLOOKUP(Fellowes_Consumiveis9[[#This Row],[Código]],Venda_12meses[],2,FALSE),0)</f>
        <v>0</v>
      </c>
      <c r="Z96" s="44" t="str">
        <f>IFERROR(Fellowes_Consumiveis9[[#This Row],[V. 12 meses]]/Fellowes_Consumiveis9[[#This Row],[Proj. de V. 12 meses]],"")</f>
        <v/>
      </c>
      <c r="AA96" s="22"/>
    </row>
    <row r="97" spans="1:27" x14ac:dyDescent="0.25">
      <c r="A97" s="66" t="str">
        <f>VLOOKUP(Fellowes_Consumiveis9[[#This Row],[Código]],BD_Produto[#All],7,FALSE)</f>
        <v>Componente</v>
      </c>
      <c r="B97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7" s="23">
        <v>33062065161</v>
      </c>
      <c r="D97" s="66" t="s">
        <v>2843</v>
      </c>
      <c r="E97" s="66" t="str">
        <f>VLOOKUP(Fellowes_Consumiveis9[[#This Row],[Código]],BD_Produto[],3,FALSE)</f>
        <v>Componentes</v>
      </c>
      <c r="F97" s="66" t="str">
        <f>VLOOKUP(Fellowes_Consumiveis9[[#This Row],[Código]],BD_Produto[],4,FALSE)</f>
        <v>Fragmentadora</v>
      </c>
      <c r="G97" s="24"/>
      <c r="H97" s="25"/>
      <c r="I97" s="22"/>
      <c r="J97" s="24"/>
      <c r="K97" s="24" t="str">
        <f>IFERROR(VLOOKUP(Fellowes_Consumiveis9[[#This Row],[Código]],Importação!P:R,3,FALSE),"")</f>
        <v/>
      </c>
      <c r="L97" s="24">
        <f>IFERROR(VLOOKUP(Fellowes_Consumiveis9[[#This Row],[Código]],Saldo[],3,FALSE),0)</f>
        <v>3</v>
      </c>
      <c r="M97" s="24">
        <f>SUM(Fellowes_Consumiveis9[[#This Row],[Produção]:[Estoque]])</f>
        <v>3</v>
      </c>
      <c r="N97" s="24" t="str">
        <f>IFERROR(Fellowes_Consumiveis9[[#This Row],[Estoque+Importação]]/Fellowes_Consumiveis9[[#This Row],[Proj. de V. No prox. mes]],"Sem Projeção")</f>
        <v>Sem Projeção</v>
      </c>
      <c r="O9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97" s="75">
        <f>VLOOKUP(Fellowes_Consumiveis9[[#This Row],[Código]],Projeção[#All],15,FALSE)</f>
        <v>0</v>
      </c>
      <c r="R97" s="43">
        <f>VLOOKUP(Fellowes_Consumiveis9[[#This Row],[Código]],Projeção[#All],14,FALSE)</f>
        <v>0</v>
      </c>
      <c r="S97" s="24">
        <f>IFERROR(VLOOKUP(Fellowes_Consumiveis9[[#This Row],[Código]],Venda_mes[],2,FALSE),0)</f>
        <v>0</v>
      </c>
      <c r="T97" s="44" t="str">
        <f>IFERROR(Fellowes_Consumiveis9[[#This Row],[V. No mes]]/Fellowes_Consumiveis9[[#This Row],[Proj. de V. No mes]],"")</f>
        <v/>
      </c>
      <c r="U9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7" s="24">
        <f>IFERROR(VLOOKUP(Fellowes_Consumiveis9[[#This Row],[Código]],Venda_3meses[],2,FALSE),0)</f>
        <v>0</v>
      </c>
      <c r="W97" s="44" t="str">
        <f>IFERROR(Fellowes_Consumiveis9[[#This Row],[V. 3 meses]]/Fellowes_Consumiveis9[[#This Row],[Proj. de V. 3 meses]],"")</f>
        <v/>
      </c>
      <c r="X9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7" s="24">
        <f>IFERROR(VLOOKUP(Fellowes_Consumiveis9[[#This Row],[Código]],Venda_12meses[],2,FALSE),0)</f>
        <v>0</v>
      </c>
      <c r="Z97" s="44" t="str">
        <f>IFERROR(Fellowes_Consumiveis9[[#This Row],[V. 12 meses]]/Fellowes_Consumiveis9[[#This Row],[Proj. de V. 12 meses]],"")</f>
        <v/>
      </c>
      <c r="AA97" s="22"/>
    </row>
    <row r="98" spans="1:27" x14ac:dyDescent="0.25">
      <c r="A98" s="66" t="str">
        <f>VLOOKUP(Fellowes_Consumiveis9[[#This Row],[Código]],BD_Produto[#All],7,FALSE)</f>
        <v>Componente</v>
      </c>
      <c r="B98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8" s="23">
        <v>33062065163</v>
      </c>
      <c r="D98" s="66" t="s">
        <v>2844</v>
      </c>
      <c r="E98" s="66" t="str">
        <f>VLOOKUP(Fellowes_Consumiveis9[[#This Row],[Código]],BD_Produto[],3,FALSE)</f>
        <v>Componentes</v>
      </c>
      <c r="F98" s="66" t="str">
        <f>VLOOKUP(Fellowes_Consumiveis9[[#This Row],[Código]],BD_Produto[],4,FALSE)</f>
        <v>Fragmentadora</v>
      </c>
      <c r="G98" s="24"/>
      <c r="H98" s="25"/>
      <c r="I98" s="22"/>
      <c r="J98" s="24"/>
      <c r="K98" s="24" t="str">
        <f>IFERROR(VLOOKUP(Fellowes_Consumiveis9[[#This Row],[Código]],Importação!P:R,3,FALSE),"")</f>
        <v/>
      </c>
      <c r="L98" s="24">
        <f>IFERROR(VLOOKUP(Fellowes_Consumiveis9[[#This Row],[Código]],Saldo[],3,FALSE),0)</f>
        <v>6</v>
      </c>
      <c r="M98" s="24">
        <f>SUM(Fellowes_Consumiveis9[[#This Row],[Produção]:[Estoque]])</f>
        <v>6</v>
      </c>
      <c r="N98" s="24" t="str">
        <f>IFERROR(Fellowes_Consumiveis9[[#This Row],[Estoque+Importação]]/Fellowes_Consumiveis9[[#This Row],[Proj. de V. No prox. mes]],"Sem Projeção")</f>
        <v>Sem Projeção</v>
      </c>
      <c r="O9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98" s="75">
        <f>VLOOKUP(Fellowes_Consumiveis9[[#This Row],[Código]],Projeção[#All],15,FALSE)</f>
        <v>0</v>
      </c>
      <c r="R98" s="43">
        <f>VLOOKUP(Fellowes_Consumiveis9[[#This Row],[Código]],Projeção[#All],14,FALSE)</f>
        <v>0</v>
      </c>
      <c r="S98" s="24">
        <f>IFERROR(VLOOKUP(Fellowes_Consumiveis9[[#This Row],[Código]],Venda_mes[],2,FALSE),0)</f>
        <v>0</v>
      </c>
      <c r="T98" s="44" t="str">
        <f>IFERROR(Fellowes_Consumiveis9[[#This Row],[V. No mes]]/Fellowes_Consumiveis9[[#This Row],[Proj. de V. No mes]],"")</f>
        <v/>
      </c>
      <c r="U9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8" s="24">
        <f>IFERROR(VLOOKUP(Fellowes_Consumiveis9[[#This Row],[Código]],Venda_3meses[],2,FALSE),0)</f>
        <v>0</v>
      </c>
      <c r="W98" s="44" t="str">
        <f>IFERROR(Fellowes_Consumiveis9[[#This Row],[V. 3 meses]]/Fellowes_Consumiveis9[[#This Row],[Proj. de V. 3 meses]],"")</f>
        <v/>
      </c>
      <c r="X9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8" s="24">
        <f>IFERROR(VLOOKUP(Fellowes_Consumiveis9[[#This Row],[Código]],Venda_12meses[],2,FALSE),0)</f>
        <v>0</v>
      </c>
      <c r="Z98" s="44" t="str">
        <f>IFERROR(Fellowes_Consumiveis9[[#This Row],[V. 12 meses]]/Fellowes_Consumiveis9[[#This Row],[Proj. de V. 12 meses]],"")</f>
        <v/>
      </c>
      <c r="AA98" s="22"/>
    </row>
    <row r="99" spans="1:27" x14ac:dyDescent="0.25">
      <c r="A99" s="66" t="str">
        <f>VLOOKUP(Fellowes_Consumiveis9[[#This Row],[Código]],BD_Produto[#All],7,FALSE)</f>
        <v>Componente</v>
      </c>
      <c r="B99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99" s="23">
        <v>33062065164</v>
      </c>
      <c r="D99" s="66" t="s">
        <v>2845</v>
      </c>
      <c r="E99" s="66" t="str">
        <f>VLOOKUP(Fellowes_Consumiveis9[[#This Row],[Código]],BD_Produto[],3,FALSE)</f>
        <v>Componentes</v>
      </c>
      <c r="F99" s="66" t="str">
        <f>VLOOKUP(Fellowes_Consumiveis9[[#This Row],[Código]],BD_Produto[],4,FALSE)</f>
        <v>Fragmentadora</v>
      </c>
      <c r="G99" s="24"/>
      <c r="H99" s="25"/>
      <c r="I99" s="22"/>
      <c r="J99" s="24"/>
      <c r="K99" s="24" t="str">
        <f>IFERROR(VLOOKUP(Fellowes_Consumiveis9[[#This Row],[Código]],Importação!P:R,3,FALSE),"")</f>
        <v/>
      </c>
      <c r="L99" s="24">
        <f>IFERROR(VLOOKUP(Fellowes_Consumiveis9[[#This Row],[Código]],Saldo[],3,FALSE),0)</f>
        <v>6</v>
      </c>
      <c r="M99" s="24">
        <f>SUM(Fellowes_Consumiveis9[[#This Row],[Produção]:[Estoque]])</f>
        <v>6</v>
      </c>
      <c r="N99" s="24" t="str">
        <f>IFERROR(Fellowes_Consumiveis9[[#This Row],[Estoque+Importação]]/Fellowes_Consumiveis9[[#This Row],[Proj. de V. No prox. mes]],"Sem Projeção")</f>
        <v>Sem Projeção</v>
      </c>
      <c r="O9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9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-6</v>
      </c>
      <c r="Q99" s="75">
        <f>VLOOKUP(Fellowes_Consumiveis9[[#This Row],[Código]],Projeção[#All],15,FALSE)</f>
        <v>0</v>
      </c>
      <c r="R99" s="43">
        <f>VLOOKUP(Fellowes_Consumiveis9[[#This Row],[Código]],Projeção[#All],14,FALSE)</f>
        <v>0</v>
      </c>
      <c r="S99" s="24">
        <f>IFERROR(VLOOKUP(Fellowes_Consumiveis9[[#This Row],[Código]],Venda_mes[],2,FALSE),0)</f>
        <v>0</v>
      </c>
      <c r="T99" s="44" t="str">
        <f>IFERROR(Fellowes_Consumiveis9[[#This Row],[V. No mes]]/Fellowes_Consumiveis9[[#This Row],[Proj. de V. No mes]],"")</f>
        <v/>
      </c>
      <c r="U9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99" s="24">
        <f>IFERROR(VLOOKUP(Fellowes_Consumiveis9[[#This Row],[Código]],Venda_3meses[],2,FALSE),0)</f>
        <v>0</v>
      </c>
      <c r="W99" s="44" t="str">
        <f>IFERROR(Fellowes_Consumiveis9[[#This Row],[V. 3 meses]]/Fellowes_Consumiveis9[[#This Row],[Proj. de V. 3 meses]],"")</f>
        <v/>
      </c>
      <c r="X9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99" s="24">
        <f>IFERROR(VLOOKUP(Fellowes_Consumiveis9[[#This Row],[Código]],Venda_12meses[],2,FALSE),0)</f>
        <v>0</v>
      </c>
      <c r="Z99" s="44" t="str">
        <f>IFERROR(Fellowes_Consumiveis9[[#This Row],[V. 12 meses]]/Fellowes_Consumiveis9[[#This Row],[Proj. de V. 12 meses]],"")</f>
        <v/>
      </c>
      <c r="AA99" s="22"/>
    </row>
    <row r="100" spans="1:27" x14ac:dyDescent="0.25">
      <c r="A100" s="66" t="str">
        <f>VLOOKUP(Fellowes_Consumiveis9[[#This Row],[Código]],BD_Produto[#All],7,FALSE)</f>
        <v>Componente</v>
      </c>
      <c r="B100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0" s="23">
        <v>33062065166</v>
      </c>
      <c r="D100" s="66" t="s">
        <v>3067</v>
      </c>
      <c r="E100" s="66" t="str">
        <f>VLOOKUP(Fellowes_Consumiveis9[[#This Row],[Código]],BD_Produto[],3,FALSE)</f>
        <v>Componentes</v>
      </c>
      <c r="F100" s="66" t="str">
        <f>VLOOKUP(Fellowes_Consumiveis9[[#This Row],[Código]],BD_Produto[],4,FALSE)</f>
        <v>Fragmentadora</v>
      </c>
      <c r="G100" s="24"/>
      <c r="H100" s="25"/>
      <c r="I100" s="22"/>
      <c r="J100" s="24"/>
      <c r="K100" s="24" t="str">
        <f>IFERROR(VLOOKUP(Fellowes_Consumiveis9[[#This Row],[Código]],Importação!P:R,3,FALSE),"")</f>
        <v/>
      </c>
      <c r="L100" s="24">
        <f>IFERROR(VLOOKUP(Fellowes_Consumiveis9[[#This Row],[Código]],Saldo[],3,FALSE),0)</f>
        <v>3</v>
      </c>
      <c r="M100" s="24">
        <f>SUM(Fellowes_Consumiveis9[[#This Row],[Produção]:[Estoque]])</f>
        <v>3</v>
      </c>
      <c r="N100" s="24" t="str">
        <f>IFERROR(Fellowes_Consumiveis9[[#This Row],[Estoque+Importação]]/Fellowes_Consumiveis9[[#This Row],[Proj. de V. No prox. mes]],"Sem Projeção")</f>
        <v>Sem Projeção</v>
      </c>
      <c r="O10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100" s="75">
        <f>VLOOKUP(Fellowes_Consumiveis9[[#This Row],[Código]],Projeção[#All],15,FALSE)</f>
        <v>0</v>
      </c>
      <c r="R100" s="43">
        <f>VLOOKUP(Fellowes_Consumiveis9[[#This Row],[Código]],Projeção[#All],14,FALSE)</f>
        <v>0</v>
      </c>
      <c r="S100" s="24">
        <f>IFERROR(VLOOKUP(Fellowes_Consumiveis9[[#This Row],[Código]],Venda_mes[],2,FALSE),0)</f>
        <v>0</v>
      </c>
      <c r="T100" s="44" t="str">
        <f>IFERROR(Fellowes_Consumiveis9[[#This Row],[V. No mes]]/Fellowes_Consumiveis9[[#This Row],[Proj. de V. No mes]],"")</f>
        <v/>
      </c>
      <c r="U10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0" s="24">
        <f>IFERROR(VLOOKUP(Fellowes_Consumiveis9[[#This Row],[Código]],Venda_3meses[],2,FALSE),0)</f>
        <v>0</v>
      </c>
      <c r="W100" s="44" t="str">
        <f>IFERROR(Fellowes_Consumiveis9[[#This Row],[V. 3 meses]]/Fellowes_Consumiveis9[[#This Row],[Proj. de V. 3 meses]],"")</f>
        <v/>
      </c>
      <c r="X10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0" s="24">
        <f>IFERROR(VLOOKUP(Fellowes_Consumiveis9[[#This Row],[Código]],Venda_12meses[],2,FALSE),0)</f>
        <v>0</v>
      </c>
      <c r="Z100" s="44" t="str">
        <f>IFERROR(Fellowes_Consumiveis9[[#This Row],[V. 12 meses]]/Fellowes_Consumiveis9[[#This Row],[Proj. de V. 12 meses]],"")</f>
        <v/>
      </c>
      <c r="AA100" s="22"/>
    </row>
    <row r="101" spans="1:27" x14ac:dyDescent="0.25">
      <c r="A101" s="66" t="str">
        <f>VLOOKUP(Fellowes_Consumiveis9[[#This Row],[Código]],BD_Produto[#All],7,FALSE)</f>
        <v>Componente</v>
      </c>
      <c r="B101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1" s="23">
        <v>33062065165</v>
      </c>
      <c r="D101" s="66" t="s">
        <v>2846</v>
      </c>
      <c r="E101" s="66" t="str">
        <f>VLOOKUP(Fellowes_Consumiveis9[[#This Row],[Código]],BD_Produto[],3,FALSE)</f>
        <v>Componentes</v>
      </c>
      <c r="F101" s="66" t="str">
        <f>VLOOKUP(Fellowes_Consumiveis9[[#This Row],[Código]],BD_Produto[],4,FALSE)</f>
        <v>Fragmentadora</v>
      </c>
      <c r="G101" s="24"/>
      <c r="H101" s="25"/>
      <c r="I101" s="22"/>
      <c r="J101" s="24"/>
      <c r="K101" s="24" t="str">
        <f>IFERROR(VLOOKUP(Fellowes_Consumiveis9[[#This Row],[Código]],Importação!P:R,3,FALSE),"")</f>
        <v/>
      </c>
      <c r="L101" s="24">
        <f>IFERROR(VLOOKUP(Fellowes_Consumiveis9[[#This Row],[Código]],Saldo[],3,FALSE),0)</f>
        <v>3</v>
      </c>
      <c r="M101" s="24">
        <f>SUM(Fellowes_Consumiveis9[[#This Row],[Produção]:[Estoque]])</f>
        <v>3</v>
      </c>
      <c r="N101" s="24" t="str">
        <f>IFERROR(Fellowes_Consumiveis9[[#This Row],[Estoque+Importação]]/Fellowes_Consumiveis9[[#This Row],[Proj. de V. No prox. mes]],"Sem Projeção")</f>
        <v>Sem Projeção</v>
      </c>
      <c r="O10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101" s="75">
        <f>VLOOKUP(Fellowes_Consumiveis9[[#This Row],[Código]],Projeção[#All],15,FALSE)</f>
        <v>0</v>
      </c>
      <c r="R101" s="43">
        <f>VLOOKUP(Fellowes_Consumiveis9[[#This Row],[Código]],Projeção[#All],14,FALSE)</f>
        <v>0</v>
      </c>
      <c r="S101" s="24">
        <f>IFERROR(VLOOKUP(Fellowes_Consumiveis9[[#This Row],[Código]],Venda_mes[],2,FALSE),0)</f>
        <v>0</v>
      </c>
      <c r="T101" s="44" t="str">
        <f>IFERROR(Fellowes_Consumiveis9[[#This Row],[V. No mes]]/Fellowes_Consumiveis9[[#This Row],[Proj. de V. No mes]],"")</f>
        <v/>
      </c>
      <c r="U10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1" s="24">
        <f>IFERROR(VLOOKUP(Fellowes_Consumiveis9[[#This Row],[Código]],Venda_3meses[],2,FALSE),0)</f>
        <v>0</v>
      </c>
      <c r="W101" s="44" t="str">
        <f>IFERROR(Fellowes_Consumiveis9[[#This Row],[V. 3 meses]]/Fellowes_Consumiveis9[[#This Row],[Proj. de V. 3 meses]],"")</f>
        <v/>
      </c>
      <c r="X10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1" s="24">
        <f>IFERROR(VLOOKUP(Fellowes_Consumiveis9[[#This Row],[Código]],Venda_12meses[],2,FALSE),0)</f>
        <v>0</v>
      </c>
      <c r="Z101" s="44" t="str">
        <f>IFERROR(Fellowes_Consumiveis9[[#This Row],[V. 12 meses]]/Fellowes_Consumiveis9[[#This Row],[Proj. de V. 12 meses]],"")</f>
        <v/>
      </c>
      <c r="AA101" s="22"/>
    </row>
    <row r="102" spans="1:27" x14ac:dyDescent="0.25">
      <c r="A102" s="66" t="str">
        <f>VLOOKUP(Fellowes_Consumiveis9[[#This Row],[Código]],BD_Produto[#All],7,FALSE)</f>
        <v>Componente</v>
      </c>
      <c r="B102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2" s="23">
        <v>33062065250</v>
      </c>
      <c r="D102" s="66" t="s">
        <v>3045</v>
      </c>
      <c r="E102" s="66" t="str">
        <f>VLOOKUP(Fellowes_Consumiveis9[[#This Row],[Código]],BD_Produto[],3,FALSE)</f>
        <v>Componentes</v>
      </c>
      <c r="F102" s="66" t="str">
        <f>VLOOKUP(Fellowes_Consumiveis9[[#This Row],[Código]],BD_Produto[],4,FALSE)</f>
        <v>Fragmentadora</v>
      </c>
      <c r="G102" s="24"/>
      <c r="H102" s="25"/>
      <c r="I102" s="22"/>
      <c r="J102" s="24"/>
      <c r="K102" s="24" t="str">
        <f>IFERROR(VLOOKUP(Fellowes_Consumiveis9[[#This Row],[Código]],Importação!P:R,3,FALSE),"")</f>
        <v/>
      </c>
      <c r="L102" s="24">
        <f>IFERROR(VLOOKUP(Fellowes_Consumiveis9[[#This Row],[Código]],Saldo[],3,FALSE),0)</f>
        <v>5</v>
      </c>
      <c r="M102" s="24">
        <f>SUM(Fellowes_Consumiveis9[[#This Row],[Produção]:[Estoque]])</f>
        <v>5</v>
      </c>
      <c r="N102" s="24" t="str">
        <f>IFERROR(Fellowes_Consumiveis9[[#This Row],[Estoque+Importação]]/Fellowes_Consumiveis9[[#This Row],[Proj. de V. No prox. mes]],"Sem Projeção")</f>
        <v>Sem Projeção</v>
      </c>
      <c r="O10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102" s="75">
        <f>VLOOKUP(Fellowes_Consumiveis9[[#This Row],[Código]],Projeção[#All],15,FALSE)</f>
        <v>0</v>
      </c>
      <c r="R102" s="43">
        <f>VLOOKUP(Fellowes_Consumiveis9[[#This Row],[Código]],Projeção[#All],14,FALSE)</f>
        <v>0</v>
      </c>
      <c r="S102" s="24">
        <f>IFERROR(VLOOKUP(Fellowes_Consumiveis9[[#This Row],[Código]],Venda_mes[],2,FALSE),0)</f>
        <v>0</v>
      </c>
      <c r="T102" s="44" t="str">
        <f>IFERROR(Fellowes_Consumiveis9[[#This Row],[V. No mes]]/Fellowes_Consumiveis9[[#This Row],[Proj. de V. No mes]],"")</f>
        <v/>
      </c>
      <c r="U10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2" s="24">
        <f>IFERROR(VLOOKUP(Fellowes_Consumiveis9[[#This Row],[Código]],Venda_3meses[],2,FALSE),0)</f>
        <v>0</v>
      </c>
      <c r="W102" s="44" t="str">
        <f>IFERROR(Fellowes_Consumiveis9[[#This Row],[V. 3 meses]]/Fellowes_Consumiveis9[[#This Row],[Proj. de V. 3 meses]],"")</f>
        <v/>
      </c>
      <c r="X10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2" s="24">
        <f>IFERROR(VLOOKUP(Fellowes_Consumiveis9[[#This Row],[Código]],Venda_12meses[],2,FALSE),0)</f>
        <v>0</v>
      </c>
      <c r="Z102" s="44" t="str">
        <f>IFERROR(Fellowes_Consumiveis9[[#This Row],[V. 12 meses]]/Fellowes_Consumiveis9[[#This Row],[Proj. de V. 12 meses]],"")</f>
        <v/>
      </c>
      <c r="AA102" s="22"/>
    </row>
    <row r="103" spans="1:27" x14ac:dyDescent="0.25">
      <c r="A103" s="66" t="str">
        <f>VLOOKUP(Fellowes_Consumiveis9[[#This Row],[Código]],BD_Produto[#All],7,FALSE)</f>
        <v>Componente</v>
      </c>
      <c r="B103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3" s="23">
        <v>33062065251</v>
      </c>
      <c r="D103" s="66" t="s">
        <v>3046</v>
      </c>
      <c r="E103" s="66" t="str">
        <f>VLOOKUP(Fellowes_Consumiveis9[[#This Row],[Código]],BD_Produto[],3,FALSE)</f>
        <v>Componentes</v>
      </c>
      <c r="F103" s="66" t="str">
        <f>VLOOKUP(Fellowes_Consumiveis9[[#This Row],[Código]],BD_Produto[],4,FALSE)</f>
        <v>Fragmentadora</v>
      </c>
      <c r="G103" s="24"/>
      <c r="H103" s="25"/>
      <c r="I103" s="22"/>
      <c r="J103" s="24"/>
      <c r="K103" s="24" t="str">
        <f>IFERROR(VLOOKUP(Fellowes_Consumiveis9[[#This Row],[Código]],Importação!P:R,3,FALSE),"")</f>
        <v/>
      </c>
      <c r="L103" s="24">
        <f>IFERROR(VLOOKUP(Fellowes_Consumiveis9[[#This Row],[Código]],Saldo[],3,FALSE),0)</f>
        <v>5</v>
      </c>
      <c r="M103" s="24">
        <f>SUM(Fellowes_Consumiveis9[[#This Row],[Produção]:[Estoque]])</f>
        <v>5</v>
      </c>
      <c r="N103" s="24" t="str">
        <f>IFERROR(Fellowes_Consumiveis9[[#This Row],[Estoque+Importação]]/Fellowes_Consumiveis9[[#This Row],[Proj. de V. No prox. mes]],"Sem Projeção")</f>
        <v>Sem Projeção</v>
      </c>
      <c r="O103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3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103" s="75">
        <f>VLOOKUP(Fellowes_Consumiveis9[[#This Row],[Código]],Projeção[#All],15,FALSE)</f>
        <v>0</v>
      </c>
      <c r="R103" s="43">
        <f>VLOOKUP(Fellowes_Consumiveis9[[#This Row],[Código]],Projeção[#All],14,FALSE)</f>
        <v>0</v>
      </c>
      <c r="S103" s="24">
        <f>IFERROR(VLOOKUP(Fellowes_Consumiveis9[[#This Row],[Código]],Venda_mes[],2,FALSE),0)</f>
        <v>0</v>
      </c>
      <c r="T103" s="44" t="str">
        <f>IFERROR(Fellowes_Consumiveis9[[#This Row],[V. No mes]]/Fellowes_Consumiveis9[[#This Row],[Proj. de V. No mes]],"")</f>
        <v/>
      </c>
      <c r="U103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3" s="24">
        <f>IFERROR(VLOOKUP(Fellowes_Consumiveis9[[#This Row],[Código]],Venda_3meses[],2,FALSE),0)</f>
        <v>0</v>
      </c>
      <c r="W103" s="44" t="str">
        <f>IFERROR(Fellowes_Consumiveis9[[#This Row],[V. 3 meses]]/Fellowes_Consumiveis9[[#This Row],[Proj. de V. 3 meses]],"")</f>
        <v/>
      </c>
      <c r="X103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3" s="24">
        <f>IFERROR(VLOOKUP(Fellowes_Consumiveis9[[#This Row],[Código]],Venda_12meses[],2,FALSE),0)</f>
        <v>0</v>
      </c>
      <c r="Z103" s="44" t="str">
        <f>IFERROR(Fellowes_Consumiveis9[[#This Row],[V. 12 meses]]/Fellowes_Consumiveis9[[#This Row],[Proj. de V. 12 meses]],"")</f>
        <v/>
      </c>
      <c r="AA103" s="22"/>
    </row>
    <row r="104" spans="1:27" x14ac:dyDescent="0.25">
      <c r="A104" s="66" t="str">
        <f>VLOOKUP(Fellowes_Consumiveis9[[#This Row],[Código]],BD_Produto[#All],7,FALSE)</f>
        <v>Componente</v>
      </c>
      <c r="B104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4" s="23">
        <v>33062065317</v>
      </c>
      <c r="D104" s="66" t="s">
        <v>3070</v>
      </c>
      <c r="E104" s="66" t="str">
        <f>VLOOKUP(Fellowes_Consumiveis9[[#This Row],[Código]],BD_Produto[],3,FALSE)</f>
        <v>Componentes</v>
      </c>
      <c r="F104" s="66" t="str">
        <f>VLOOKUP(Fellowes_Consumiveis9[[#This Row],[Código]],BD_Produto[],4,FALSE)</f>
        <v>Fragmentadora</v>
      </c>
      <c r="G104" s="24"/>
      <c r="H104" s="25"/>
      <c r="I104" s="22"/>
      <c r="J104" s="24"/>
      <c r="K104" s="24" t="str">
        <f>IFERROR(VLOOKUP(Fellowes_Consumiveis9[[#This Row],[Código]],Importação!P:R,3,FALSE),"")</f>
        <v/>
      </c>
      <c r="L104" s="24">
        <f>IFERROR(VLOOKUP(Fellowes_Consumiveis9[[#This Row],[Código]],Saldo[],3,FALSE),0)</f>
        <v>3</v>
      </c>
      <c r="M104" s="24">
        <f>SUM(Fellowes_Consumiveis9[[#This Row],[Produção]:[Estoque]])</f>
        <v>3</v>
      </c>
      <c r="N104" s="24">
        <f>IFERROR(Fellowes_Consumiveis9[[#This Row],[Estoque+Importação]]/Fellowes_Consumiveis9[[#This Row],[Proj. de V. No prox. mes]],"Sem Projeção")</f>
        <v>45</v>
      </c>
      <c r="O104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0.66666666666666663</v>
      </c>
      <c r="P104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-2.3333333333333335</v>
      </c>
      <c r="Q104" s="75">
        <f>VLOOKUP(Fellowes_Consumiveis9[[#This Row],[Código]],Projeção[#All],15,FALSE)</f>
        <v>6.6666666666666666E-2</v>
      </c>
      <c r="R104" s="43">
        <f>VLOOKUP(Fellowes_Consumiveis9[[#This Row],[Código]],Projeção[#All],14,FALSE)</f>
        <v>0</v>
      </c>
      <c r="S104" s="24">
        <f>IFERROR(VLOOKUP(Fellowes_Consumiveis9[[#This Row],[Código]],Venda_mes[],2,FALSE),0)</f>
        <v>0</v>
      </c>
      <c r="T104" s="44" t="str">
        <f>IFERROR(Fellowes_Consumiveis9[[#This Row],[V. No mes]]/Fellowes_Consumiveis9[[#This Row],[Proj. de V. No mes]],"")</f>
        <v/>
      </c>
      <c r="U104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4" s="24">
        <f>IFERROR(VLOOKUP(Fellowes_Consumiveis9[[#This Row],[Código]],Venda_3meses[],2,FALSE),0)</f>
        <v>0</v>
      </c>
      <c r="W104" s="44" t="str">
        <f>IFERROR(Fellowes_Consumiveis9[[#This Row],[V. 3 meses]]/Fellowes_Consumiveis9[[#This Row],[Proj. de V. 3 meses]],"")</f>
        <v/>
      </c>
      <c r="X104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4" s="24">
        <f>IFERROR(VLOOKUP(Fellowes_Consumiveis9[[#This Row],[Código]],Venda_12meses[],2,FALSE),0)</f>
        <v>2</v>
      </c>
      <c r="Z104" s="44" t="str">
        <f>IFERROR(Fellowes_Consumiveis9[[#This Row],[V. 12 meses]]/Fellowes_Consumiveis9[[#This Row],[Proj. de V. 12 meses]],"")</f>
        <v/>
      </c>
      <c r="AA104" s="22"/>
    </row>
    <row r="105" spans="1:27" x14ac:dyDescent="0.25">
      <c r="A105" s="66" t="str">
        <f>VLOOKUP(Fellowes_Consumiveis9[[#This Row],[Código]],BD_Produto[#All],7,FALSE)</f>
        <v>Componente</v>
      </c>
      <c r="B105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5" s="23">
        <v>33062065252</v>
      </c>
      <c r="D105" s="66" t="s">
        <v>3047</v>
      </c>
      <c r="E105" s="66" t="str">
        <f>VLOOKUP(Fellowes_Consumiveis9[[#This Row],[Código]],BD_Produto[],3,FALSE)</f>
        <v>Componentes</v>
      </c>
      <c r="F105" s="66" t="str">
        <f>VLOOKUP(Fellowes_Consumiveis9[[#This Row],[Código]],BD_Produto[],4,FALSE)</f>
        <v>Fragmentadora</v>
      </c>
      <c r="G105" s="24"/>
      <c r="H105" s="25"/>
      <c r="I105" s="22"/>
      <c r="J105" s="24"/>
      <c r="K105" s="24" t="str">
        <f>IFERROR(VLOOKUP(Fellowes_Consumiveis9[[#This Row],[Código]],Importação!P:R,3,FALSE),"")</f>
        <v/>
      </c>
      <c r="L105" s="24">
        <f>IFERROR(VLOOKUP(Fellowes_Consumiveis9[[#This Row],[Código]],Saldo[],3,FALSE),0)</f>
        <v>5</v>
      </c>
      <c r="M105" s="24">
        <f>SUM(Fellowes_Consumiveis9[[#This Row],[Produção]:[Estoque]])</f>
        <v>5</v>
      </c>
      <c r="N105" s="24" t="str">
        <f>IFERROR(Fellowes_Consumiveis9[[#This Row],[Estoque+Importação]]/Fellowes_Consumiveis9[[#This Row],[Proj. de V. No prox. mes]],"Sem Projeção")</f>
        <v>Sem Projeção</v>
      </c>
      <c r="O105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5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-5</v>
      </c>
      <c r="Q105" s="75">
        <f>VLOOKUP(Fellowes_Consumiveis9[[#This Row],[Código]],Projeção[#All],15,FALSE)</f>
        <v>0</v>
      </c>
      <c r="R105" s="43">
        <f>VLOOKUP(Fellowes_Consumiveis9[[#This Row],[Código]],Projeção[#All],14,FALSE)</f>
        <v>0</v>
      </c>
      <c r="S105" s="24">
        <f>IFERROR(VLOOKUP(Fellowes_Consumiveis9[[#This Row],[Código]],Venda_mes[],2,FALSE),0)</f>
        <v>0</v>
      </c>
      <c r="T105" s="44" t="str">
        <f>IFERROR(Fellowes_Consumiveis9[[#This Row],[V. No mes]]/Fellowes_Consumiveis9[[#This Row],[Proj. de V. No mes]],"")</f>
        <v/>
      </c>
      <c r="U105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5" s="24">
        <f>IFERROR(VLOOKUP(Fellowes_Consumiveis9[[#This Row],[Código]],Venda_3meses[],2,FALSE),0)</f>
        <v>0</v>
      </c>
      <c r="W105" s="44" t="str">
        <f>IFERROR(Fellowes_Consumiveis9[[#This Row],[V. 3 meses]]/Fellowes_Consumiveis9[[#This Row],[Proj. de V. 3 meses]],"")</f>
        <v/>
      </c>
      <c r="X105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5" s="24">
        <f>IFERROR(VLOOKUP(Fellowes_Consumiveis9[[#This Row],[Código]],Venda_12meses[],2,FALSE),0)</f>
        <v>0</v>
      </c>
      <c r="Z105" s="44" t="str">
        <f>IFERROR(Fellowes_Consumiveis9[[#This Row],[V. 12 meses]]/Fellowes_Consumiveis9[[#This Row],[Proj. de V. 12 meses]],"")</f>
        <v/>
      </c>
      <c r="AA105" s="22"/>
    </row>
    <row r="106" spans="1:27" x14ac:dyDescent="0.25">
      <c r="A106" s="66" t="str">
        <f>VLOOKUP(Fellowes_Consumiveis9[[#This Row],[Código]],BD_Produto[#All],7,FALSE)</f>
        <v>Componente</v>
      </c>
      <c r="B106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6" s="23">
        <v>33062065253</v>
      </c>
      <c r="D106" s="66" t="s">
        <v>3036</v>
      </c>
      <c r="E106" s="66" t="str">
        <f>VLOOKUP(Fellowes_Consumiveis9[[#This Row],[Código]],BD_Produto[],3,FALSE)</f>
        <v>Componentes</v>
      </c>
      <c r="F106" s="66" t="str">
        <f>VLOOKUP(Fellowes_Consumiveis9[[#This Row],[Código]],BD_Produto[],4,FALSE)</f>
        <v>Fragmentadora</v>
      </c>
      <c r="G106" s="24"/>
      <c r="H106" s="25"/>
      <c r="I106" s="22"/>
      <c r="J106" s="24"/>
      <c r="K106" s="24" t="str">
        <f>IFERROR(VLOOKUP(Fellowes_Consumiveis9[[#This Row],[Código]],Importação!P:R,3,FALSE),"")</f>
        <v/>
      </c>
      <c r="L106" s="24">
        <f>IFERROR(VLOOKUP(Fellowes_Consumiveis9[[#This Row],[Código]],Saldo[],3,FALSE),0)</f>
        <v>5</v>
      </c>
      <c r="M106" s="24">
        <f>SUM(Fellowes_Consumiveis9[[#This Row],[Produção]:[Estoque]])</f>
        <v>5</v>
      </c>
      <c r="N106" s="24">
        <f>IFERROR(Fellowes_Consumiveis9[[#This Row],[Estoque+Importação]]/Fellowes_Consumiveis9[[#This Row],[Proj. de V. No prox. mes]],"Sem Projeção")</f>
        <v>150</v>
      </c>
      <c r="O106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0.33333333333333331</v>
      </c>
      <c r="P106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-4.666666666666667</v>
      </c>
      <c r="Q106" s="75">
        <f>VLOOKUP(Fellowes_Consumiveis9[[#This Row],[Código]],Projeção[#All],15,FALSE)</f>
        <v>3.3333333333333333E-2</v>
      </c>
      <c r="R106" s="43">
        <f>VLOOKUP(Fellowes_Consumiveis9[[#This Row],[Código]],Projeção[#All],14,FALSE)</f>
        <v>0</v>
      </c>
      <c r="S106" s="24">
        <f>IFERROR(VLOOKUP(Fellowes_Consumiveis9[[#This Row],[Código]],Venda_mes[],2,FALSE),0)</f>
        <v>0</v>
      </c>
      <c r="T106" s="44" t="str">
        <f>IFERROR(Fellowes_Consumiveis9[[#This Row],[V. No mes]]/Fellowes_Consumiveis9[[#This Row],[Proj. de V. No mes]],"")</f>
        <v/>
      </c>
      <c r="U106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6" s="24">
        <f>IFERROR(VLOOKUP(Fellowes_Consumiveis9[[#This Row],[Código]],Venda_3meses[],2,FALSE),0)</f>
        <v>0</v>
      </c>
      <c r="W106" s="44" t="str">
        <f>IFERROR(Fellowes_Consumiveis9[[#This Row],[V. 3 meses]]/Fellowes_Consumiveis9[[#This Row],[Proj. de V. 3 meses]],"")</f>
        <v/>
      </c>
      <c r="X106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6" s="24">
        <f>IFERROR(VLOOKUP(Fellowes_Consumiveis9[[#This Row],[Código]],Venda_12meses[],2,FALSE),0)</f>
        <v>1</v>
      </c>
      <c r="Z106" s="44" t="str">
        <f>IFERROR(Fellowes_Consumiveis9[[#This Row],[V. 12 meses]]/Fellowes_Consumiveis9[[#This Row],[Proj. de V. 12 meses]],"")</f>
        <v/>
      </c>
      <c r="AA106" s="22"/>
    </row>
    <row r="107" spans="1:27" x14ac:dyDescent="0.25">
      <c r="A107" s="66" t="str">
        <f>VLOOKUP(Fellowes_Consumiveis9[[#This Row],[Código]],BD_Produto[#All],7,FALSE)</f>
        <v>Componente</v>
      </c>
      <c r="B107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7" s="23">
        <v>33062065318</v>
      </c>
      <c r="D107" s="66" t="s">
        <v>3071</v>
      </c>
      <c r="E107" s="66" t="str">
        <f>VLOOKUP(Fellowes_Consumiveis9[[#This Row],[Código]],BD_Produto[],3,FALSE)</f>
        <v>Componentes</v>
      </c>
      <c r="F107" s="66" t="str">
        <f>VLOOKUP(Fellowes_Consumiveis9[[#This Row],[Código]],BD_Produto[],4,FALSE)</f>
        <v>Fragmentadora</v>
      </c>
      <c r="G107" s="24"/>
      <c r="H107" s="25"/>
      <c r="I107" s="22"/>
      <c r="J107" s="24"/>
      <c r="K107" s="24" t="str">
        <f>IFERROR(VLOOKUP(Fellowes_Consumiveis9[[#This Row],[Código]],Importação!P:R,3,FALSE),"")</f>
        <v/>
      </c>
      <c r="L107" s="24">
        <f>IFERROR(VLOOKUP(Fellowes_Consumiveis9[[#This Row],[Código]],Saldo[],3,FALSE),0)</f>
        <v>3</v>
      </c>
      <c r="M107" s="24">
        <f>SUM(Fellowes_Consumiveis9[[#This Row],[Produção]:[Estoque]])</f>
        <v>3</v>
      </c>
      <c r="N107" s="24">
        <f>IFERROR(Fellowes_Consumiveis9[[#This Row],[Estoque+Importação]]/Fellowes_Consumiveis9[[#This Row],[Proj. de V. No prox. mes]],"Sem Projeção")</f>
        <v>90</v>
      </c>
      <c r="O107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0.33333333333333331</v>
      </c>
      <c r="P107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-2.6666666666666665</v>
      </c>
      <c r="Q107" s="75">
        <f>VLOOKUP(Fellowes_Consumiveis9[[#This Row],[Código]],Projeção[#All],15,FALSE)</f>
        <v>3.3333333333333333E-2</v>
      </c>
      <c r="R107" s="43">
        <f>VLOOKUP(Fellowes_Consumiveis9[[#This Row],[Código]],Projeção[#All],14,FALSE)</f>
        <v>0</v>
      </c>
      <c r="S107" s="24">
        <f>IFERROR(VLOOKUP(Fellowes_Consumiveis9[[#This Row],[Código]],Venda_mes[],2,FALSE),0)</f>
        <v>0</v>
      </c>
      <c r="T107" s="44" t="str">
        <f>IFERROR(Fellowes_Consumiveis9[[#This Row],[V. No mes]]/Fellowes_Consumiveis9[[#This Row],[Proj. de V. No mes]],"")</f>
        <v/>
      </c>
      <c r="U107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7" s="24">
        <f>IFERROR(VLOOKUP(Fellowes_Consumiveis9[[#This Row],[Código]],Venda_3meses[],2,FALSE),0)</f>
        <v>0</v>
      </c>
      <c r="W107" s="44" t="str">
        <f>IFERROR(Fellowes_Consumiveis9[[#This Row],[V. 3 meses]]/Fellowes_Consumiveis9[[#This Row],[Proj. de V. 3 meses]],"")</f>
        <v/>
      </c>
      <c r="X107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7" s="24">
        <f>IFERROR(VLOOKUP(Fellowes_Consumiveis9[[#This Row],[Código]],Venda_12meses[],2,FALSE),0)</f>
        <v>1</v>
      </c>
      <c r="Z107" s="44" t="str">
        <f>IFERROR(Fellowes_Consumiveis9[[#This Row],[V. 12 meses]]/Fellowes_Consumiveis9[[#This Row],[Proj. de V. 12 meses]],"")</f>
        <v/>
      </c>
      <c r="AA107" s="22"/>
    </row>
    <row r="108" spans="1:27" x14ac:dyDescent="0.25">
      <c r="A108" s="66" t="s">
        <v>1756</v>
      </c>
      <c r="B108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8" s="23">
        <v>33062065339</v>
      </c>
      <c r="D108" s="66" t="s">
        <v>3088</v>
      </c>
      <c r="E108" s="66" t="s">
        <v>1701</v>
      </c>
      <c r="F108" s="66" t="s">
        <v>1708</v>
      </c>
      <c r="G108" s="24"/>
      <c r="H108" s="25"/>
      <c r="I108" s="22"/>
      <c r="J108" s="24"/>
      <c r="K108" s="24" t="str">
        <f>IFERROR(VLOOKUP(Fellowes_Consumiveis9[[#This Row],[Código]],Importação!P:R,3,FALSE),"")</f>
        <v/>
      </c>
      <c r="L108" s="24">
        <f>IFERROR(VLOOKUP(Fellowes_Consumiveis9[[#This Row],[Código]],Saldo[],3,FALSE),0)</f>
        <v>3</v>
      </c>
      <c r="M108" s="24">
        <f>SUM(Fellowes_Consumiveis9[[#This Row],[Produção]:[Estoque]])</f>
        <v>3</v>
      </c>
      <c r="N108" s="24" t="str">
        <f>IFERROR(Fellowes_Consumiveis9[[#This Row],[Estoque+Importação]]/Fellowes_Consumiveis9[[#This Row],[Proj. de V. No prox. mes]],"Sem Projeção")</f>
        <v>Sem Projeção</v>
      </c>
      <c r="O108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8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108" s="75">
        <f>VLOOKUP(Fellowes_Consumiveis9[[#This Row],[Código]],Projeção[#All],15,FALSE)</f>
        <v>0</v>
      </c>
      <c r="R108" s="43">
        <f>VLOOKUP(Fellowes_Consumiveis9[[#This Row],[Código]],Projeção[#All],14,FALSE)</f>
        <v>0</v>
      </c>
      <c r="S108" s="24">
        <f>IFERROR(VLOOKUP(Fellowes_Consumiveis9[[#This Row],[Código]],Venda_mes[],2,FALSE),0)</f>
        <v>0</v>
      </c>
      <c r="T108" s="44" t="str">
        <f>IFERROR(Fellowes_Consumiveis9[[#This Row],[V. No mes]]/Fellowes_Consumiveis9[[#This Row],[Proj. de V. No mes]],"")</f>
        <v/>
      </c>
      <c r="U108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8" s="24">
        <f>IFERROR(VLOOKUP(Fellowes_Consumiveis9[[#This Row],[Código]],Venda_3meses[],2,FALSE),0)</f>
        <v>0</v>
      </c>
      <c r="W108" s="44" t="str">
        <f>IFERROR(Fellowes_Consumiveis9[[#This Row],[V. 3 meses]]/Fellowes_Consumiveis9[[#This Row],[Proj. de V. 3 meses]],"")</f>
        <v/>
      </c>
      <c r="X108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8" s="24">
        <f>IFERROR(VLOOKUP(Fellowes_Consumiveis9[[#This Row],[Código]],Venda_12meses[],2,FALSE),0)</f>
        <v>0</v>
      </c>
      <c r="Z108" s="44" t="str">
        <f>IFERROR(Fellowes_Consumiveis9[[#This Row],[V. 12 meses]]/Fellowes_Consumiveis9[[#This Row],[Proj. de V. 12 meses]],"")</f>
        <v/>
      </c>
      <c r="AA108" s="22"/>
    </row>
    <row r="109" spans="1:27" x14ac:dyDescent="0.25">
      <c r="A109" s="66" t="s">
        <v>1756</v>
      </c>
      <c r="B109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09" s="23">
        <v>33062065340</v>
      </c>
      <c r="D109" s="66" t="s">
        <v>3089</v>
      </c>
      <c r="E109" s="66" t="s">
        <v>1701</v>
      </c>
      <c r="F109" s="66" t="s">
        <v>1708</v>
      </c>
      <c r="G109" s="24"/>
      <c r="H109" s="25"/>
      <c r="I109" s="22"/>
      <c r="J109" s="24"/>
      <c r="K109" s="24" t="str">
        <f>IFERROR(VLOOKUP(Fellowes_Consumiveis9[[#This Row],[Código]],Importação!P:R,3,FALSE),"")</f>
        <v/>
      </c>
      <c r="L109" s="24">
        <f>IFERROR(VLOOKUP(Fellowes_Consumiveis9[[#This Row],[Código]],Saldo[],3,FALSE),0)</f>
        <v>3</v>
      </c>
      <c r="M109" s="24">
        <f>SUM(Fellowes_Consumiveis9[[#This Row],[Produção]:[Estoque]])</f>
        <v>3</v>
      </c>
      <c r="N109" s="24" t="str">
        <f>IFERROR(Fellowes_Consumiveis9[[#This Row],[Estoque+Importação]]/Fellowes_Consumiveis9[[#This Row],[Proj. de V. No prox. mes]],"Sem Projeção")</f>
        <v>Sem Projeção</v>
      </c>
      <c r="O109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09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-3</v>
      </c>
      <c r="Q109" s="75">
        <f>VLOOKUP(Fellowes_Consumiveis9[[#This Row],[Código]],Projeção[#All],15,FALSE)</f>
        <v>0</v>
      </c>
      <c r="R109" s="43">
        <f>VLOOKUP(Fellowes_Consumiveis9[[#This Row],[Código]],Projeção[#All],14,FALSE)</f>
        <v>0</v>
      </c>
      <c r="S109" s="24">
        <f>IFERROR(VLOOKUP(Fellowes_Consumiveis9[[#This Row],[Código]],Venda_mes[],2,FALSE),0)</f>
        <v>0</v>
      </c>
      <c r="T109" s="44" t="str">
        <f>IFERROR(Fellowes_Consumiveis9[[#This Row],[V. No mes]]/Fellowes_Consumiveis9[[#This Row],[Proj. de V. No mes]],"")</f>
        <v/>
      </c>
      <c r="U109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09" s="24">
        <f>IFERROR(VLOOKUP(Fellowes_Consumiveis9[[#This Row],[Código]],Venda_3meses[],2,FALSE),0)</f>
        <v>0</v>
      </c>
      <c r="W109" s="44" t="str">
        <f>IFERROR(Fellowes_Consumiveis9[[#This Row],[V. 3 meses]]/Fellowes_Consumiveis9[[#This Row],[Proj. de V. 3 meses]],"")</f>
        <v/>
      </c>
      <c r="X109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09" s="24">
        <f>IFERROR(VLOOKUP(Fellowes_Consumiveis9[[#This Row],[Código]],Venda_12meses[],2,FALSE),0)</f>
        <v>0</v>
      </c>
      <c r="Z109" s="44" t="str">
        <f>IFERROR(Fellowes_Consumiveis9[[#This Row],[V. 12 meses]]/Fellowes_Consumiveis9[[#This Row],[Proj. de V. 12 meses]],"")</f>
        <v/>
      </c>
      <c r="AA109" s="22"/>
    </row>
    <row r="110" spans="1:27" x14ac:dyDescent="0.25">
      <c r="A110" s="66" t="s">
        <v>1756</v>
      </c>
      <c r="B110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10" s="23">
        <v>33062065341</v>
      </c>
      <c r="D110" s="66" t="s">
        <v>3088</v>
      </c>
      <c r="E110" s="66" t="s">
        <v>1701</v>
      </c>
      <c r="F110" s="66" t="s">
        <v>1708</v>
      </c>
      <c r="G110" s="24"/>
      <c r="H110" s="25"/>
      <c r="I110" s="22"/>
      <c r="J110" s="24"/>
      <c r="K110" s="24" t="str">
        <f>IFERROR(VLOOKUP(Fellowes_Consumiveis9[[#This Row],[Código]],Importação!P:R,3,FALSE),"")</f>
        <v/>
      </c>
      <c r="L110" s="24">
        <f>IFERROR(VLOOKUP(Fellowes_Consumiveis9[[#This Row],[Código]],Saldo[],3,FALSE),0)</f>
        <v>2</v>
      </c>
      <c r="M110" s="24">
        <f>SUM(Fellowes_Consumiveis9[[#This Row],[Produção]:[Estoque]])</f>
        <v>2</v>
      </c>
      <c r="N110" s="24" t="str">
        <f>IFERROR(Fellowes_Consumiveis9[[#This Row],[Estoque+Importação]]/Fellowes_Consumiveis9[[#This Row],[Proj. de V. No prox. mes]],"Sem Projeção")</f>
        <v>Sem Projeção</v>
      </c>
      <c r="O110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10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110" s="75">
        <f>VLOOKUP(Fellowes_Consumiveis9[[#This Row],[Código]],Projeção[#All],15,FALSE)</f>
        <v>0</v>
      </c>
      <c r="R110" s="43">
        <f>VLOOKUP(Fellowes_Consumiveis9[[#This Row],[Código]],Projeção[#All],14,FALSE)</f>
        <v>0</v>
      </c>
      <c r="S110" s="24">
        <f>IFERROR(VLOOKUP(Fellowes_Consumiveis9[[#This Row],[Código]],Venda_mes[],2,FALSE),0)</f>
        <v>0</v>
      </c>
      <c r="T110" s="44" t="str">
        <f>IFERROR(Fellowes_Consumiveis9[[#This Row],[V. No mes]]/Fellowes_Consumiveis9[[#This Row],[Proj. de V. No mes]],"")</f>
        <v/>
      </c>
      <c r="U110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10" s="24">
        <f>IFERROR(VLOOKUP(Fellowes_Consumiveis9[[#This Row],[Código]],Venda_3meses[],2,FALSE),0)</f>
        <v>0</v>
      </c>
      <c r="W110" s="44" t="str">
        <f>IFERROR(Fellowes_Consumiveis9[[#This Row],[V. 3 meses]]/Fellowes_Consumiveis9[[#This Row],[Proj. de V. 3 meses]],"")</f>
        <v/>
      </c>
      <c r="X110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10" s="24">
        <f>IFERROR(VLOOKUP(Fellowes_Consumiveis9[[#This Row],[Código]],Venda_12meses[],2,FALSE),0)</f>
        <v>0</v>
      </c>
      <c r="Z110" s="44" t="str">
        <f>IFERROR(Fellowes_Consumiveis9[[#This Row],[V. 12 meses]]/Fellowes_Consumiveis9[[#This Row],[Proj. de V. 12 meses]],"")</f>
        <v/>
      </c>
      <c r="AA110" s="22"/>
    </row>
    <row r="111" spans="1:27" x14ac:dyDescent="0.25">
      <c r="A111" s="66" t="s">
        <v>1756</v>
      </c>
      <c r="B111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11" s="23">
        <v>33062065342</v>
      </c>
      <c r="D111" s="66" t="s">
        <v>3090</v>
      </c>
      <c r="E111" s="66" t="s">
        <v>1701</v>
      </c>
      <c r="F111" s="66" t="s">
        <v>1708</v>
      </c>
      <c r="G111" s="24"/>
      <c r="H111" s="25"/>
      <c r="I111" s="22"/>
      <c r="J111" s="24"/>
      <c r="K111" s="24" t="str">
        <f>IFERROR(VLOOKUP(Fellowes_Consumiveis9[[#This Row],[Código]],Importação!P:R,3,FALSE),"")</f>
        <v/>
      </c>
      <c r="L111" s="24">
        <f>IFERROR(VLOOKUP(Fellowes_Consumiveis9[[#This Row],[Código]],Saldo[],3,FALSE),0)</f>
        <v>2</v>
      </c>
      <c r="M111" s="24">
        <f>SUM(Fellowes_Consumiveis9[[#This Row],[Produção]:[Estoque]])</f>
        <v>2</v>
      </c>
      <c r="N111" s="24" t="str">
        <f>IFERROR(Fellowes_Consumiveis9[[#This Row],[Estoque+Importação]]/Fellowes_Consumiveis9[[#This Row],[Proj. de V. No prox. mes]],"Sem Projeção")</f>
        <v>Sem Projeção</v>
      </c>
      <c r="O111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11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-2</v>
      </c>
      <c r="Q111" s="75">
        <f>VLOOKUP(Fellowes_Consumiveis9[[#This Row],[Código]],Projeção[#All],15,FALSE)</f>
        <v>0</v>
      </c>
      <c r="R111" s="43">
        <f>VLOOKUP(Fellowes_Consumiveis9[[#This Row],[Código]],Projeção[#All],14,FALSE)</f>
        <v>0</v>
      </c>
      <c r="S111" s="24">
        <f>IFERROR(VLOOKUP(Fellowes_Consumiveis9[[#This Row],[Código]],Venda_mes[],2,FALSE),0)</f>
        <v>0</v>
      </c>
      <c r="T111" s="44" t="str">
        <f>IFERROR(Fellowes_Consumiveis9[[#This Row],[V. No mes]]/Fellowes_Consumiveis9[[#This Row],[Proj. de V. No mes]],"")</f>
        <v/>
      </c>
      <c r="U111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11" s="24">
        <f>IFERROR(VLOOKUP(Fellowes_Consumiveis9[[#This Row],[Código]],Venda_3meses[],2,FALSE),0)</f>
        <v>0</v>
      </c>
      <c r="W111" s="44" t="str">
        <f>IFERROR(Fellowes_Consumiveis9[[#This Row],[V. 3 meses]]/Fellowes_Consumiveis9[[#This Row],[Proj. de V. 3 meses]],"")</f>
        <v/>
      </c>
      <c r="X111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11" s="24">
        <f>IFERROR(VLOOKUP(Fellowes_Consumiveis9[[#This Row],[Código]],Venda_12meses[],2,FALSE),0)</f>
        <v>0</v>
      </c>
      <c r="Z111" s="44" t="str">
        <f>IFERROR(Fellowes_Consumiveis9[[#This Row],[V. 12 meses]]/Fellowes_Consumiveis9[[#This Row],[Proj. de V. 12 meses]],"")</f>
        <v/>
      </c>
      <c r="AA111" s="22"/>
    </row>
    <row r="112" spans="1:27" x14ac:dyDescent="0.25">
      <c r="A112" s="66" t="s">
        <v>1756</v>
      </c>
      <c r="B112" s="66" t="str">
        <f>IF(OR(Fellowes_Consumiveis9[[#This Row],[Status]]="Em linha",Fellowes_Consumiveis9[[#This Row],[Status]]="Materia Prima",Fellowes_Consumiveis9[[#This Row],[Status]]="Componente"),"ok",IF(Fellowes_Consumiveis9[[#This Row],[Estoque+Importação]]&lt;1,"Tirar","ok"))</f>
        <v>ok</v>
      </c>
      <c r="C112" s="23">
        <v>33062065167</v>
      </c>
      <c r="D112" s="66" t="s">
        <v>3091</v>
      </c>
      <c r="E112" s="66" t="s">
        <v>1701</v>
      </c>
      <c r="F112" s="66" t="s">
        <v>1708</v>
      </c>
      <c r="G112" s="24"/>
      <c r="H112" s="25"/>
      <c r="I112" s="22"/>
      <c r="J112" s="24"/>
      <c r="K112" s="24" t="str">
        <f>IFERROR(VLOOKUP(Fellowes_Consumiveis9[[#This Row],[Código]],Importação!P:R,3,FALSE),"")</f>
        <v/>
      </c>
      <c r="L112" s="24">
        <f>IFERROR(VLOOKUP(Fellowes_Consumiveis9[[#This Row],[Código]],Saldo[],3,FALSE),0)</f>
        <v>1</v>
      </c>
      <c r="M112" s="24">
        <f>SUM(Fellowes_Consumiveis9[[#This Row],[Produção]:[Estoque]])</f>
        <v>1</v>
      </c>
      <c r="N112" s="24" t="str">
        <f>IFERROR(Fellowes_Consumiveis9[[#This Row],[Estoque+Importação]]/Fellowes_Consumiveis9[[#This Row],[Proj. de V. No prox. mes]],"Sem Projeção")</f>
        <v>Sem Projeção</v>
      </c>
      <c r="O112" s="24">
        <f>IF(OR(Fellowes_Consumiveis9[[#This Row],[Status]]="Em Linha",Fellowes_Consumiveis9[[#This Row],[Status]]="Componente",Fellowes_Consumiveis9[[#This Row],[Status]]="Materia Prima"),Fellowes_Consumiveis9[[#This Row],[Proj. de V. No prox. mes]]*10,"-")</f>
        <v>0</v>
      </c>
      <c r="P112" s="34">
        <f>IF(OR(Fellowes_Consumiveis9[[#This Row],[Status]]="Em Linha",Fellowes_Consumiveis9[[#This Row],[Status]]="Componente",Fellowes_Consumiveis9[[#This Row],[Status]]="Materia Prima"),Fellowes_Consumiveis9[[#This Row],[estoque 10 meses]]-Fellowes_Consumiveis9[[#This Row],[Estoque+Importação]],0)</f>
        <v>-1</v>
      </c>
      <c r="Q112" s="75">
        <f>VLOOKUP(Fellowes_Consumiveis9[[#This Row],[Código]],Projeção[#All],15,FALSE)</f>
        <v>0</v>
      </c>
      <c r="R112" s="43">
        <f>VLOOKUP(Fellowes_Consumiveis9[[#This Row],[Código]],Projeção[#All],14,FALSE)</f>
        <v>0</v>
      </c>
      <c r="S112" s="24">
        <f>IFERROR(VLOOKUP(Fellowes_Consumiveis9[[#This Row],[Código]],Venda_mes[],2,FALSE),0)</f>
        <v>0</v>
      </c>
      <c r="T112" s="44" t="str">
        <f>IFERROR(Fellowes_Consumiveis9[[#This Row],[V. No mes]]/Fellowes_Consumiveis9[[#This Row],[Proj. de V. No mes]],"")</f>
        <v/>
      </c>
      <c r="U112" s="43">
        <f>VLOOKUP(Fellowes_Consumiveis9[[#This Row],[Código]],Projeção[#All],14,FALSE)+VLOOKUP(Fellowes_Consumiveis9[[#This Row],[Código]],Projeção[#All],13,FALSE)+VLOOKUP(Fellowes_Consumiveis9[[#This Row],[Código]],Projeção[#All],12,FALSE)</f>
        <v>0</v>
      </c>
      <c r="V112" s="24">
        <f>IFERROR(VLOOKUP(Fellowes_Consumiveis9[[#This Row],[Código]],Venda_3meses[],2,FALSE),0)</f>
        <v>0</v>
      </c>
      <c r="W112" s="44" t="str">
        <f>IFERROR(Fellowes_Consumiveis9[[#This Row],[V. 3 meses]]/Fellowes_Consumiveis9[[#This Row],[Proj. de V. 3 meses]],"")</f>
        <v/>
      </c>
      <c r="X112" s="43">
        <f>VLOOKUP(Fellowes_Consumiveis9[[#This Row],[Código]],Projeção[#All],14,FALSE)+VLOOKUP(Fellowes_Consumiveis9[[#This Row],[Código]],Projeção[#All],13,FALSE)+VLOOKUP(Fellowes_Consumiveis9[[#This Row],[Código]],Projeção[#All],12,FALSE)+VLOOKUP(Fellowes_Consumiveis9[[#This Row],[Código]],Projeção[#All],11,FALSE)+VLOOKUP(Fellowes_Consumiveis9[[#This Row],[Código]],Projeção[#All],10,FALSE)+VLOOKUP(Fellowes_Consumiveis9[[#This Row],[Código]],Projeção[#All],9,FALSE)+VLOOKUP(Fellowes_Consumiveis9[[#This Row],[Código]],Projeção[#All],8,FALSE)+VLOOKUP(Fellowes_Consumiveis9[[#This Row],[Código]],Projeção[#All],7,FALSE)+VLOOKUP(Fellowes_Consumiveis9[[#This Row],[Código]],Projeção[#All],6,FALSE)+VLOOKUP(Fellowes_Consumiveis9[[#This Row],[Código]],Projeção[#All],5,FALSE)+VLOOKUP(Fellowes_Consumiveis9[[#This Row],[Código]],Projeção[#All],4,FALSE)+VLOOKUP(Fellowes_Consumiveis9[[#This Row],[Código]],Projeção[#All],3,FALSE)</f>
        <v>0</v>
      </c>
      <c r="Y112" s="24">
        <f>IFERROR(VLOOKUP(Fellowes_Consumiveis9[[#This Row],[Código]],Venda_12meses[],2,FALSE),0)</f>
        <v>0</v>
      </c>
      <c r="Z112" s="44" t="str">
        <f>IFERROR(Fellowes_Consumiveis9[[#This Row],[V. 12 meses]]/Fellowes_Consumiveis9[[#This Row],[Proj. de V. 12 meses]],"")</f>
        <v/>
      </c>
      <c r="AA112" s="22"/>
    </row>
  </sheetData>
  <mergeCells count="29"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  <mergeCell ref="AA1:AA5"/>
    <mergeCell ref="R2:T2"/>
    <mergeCell ref="R3:R5"/>
    <mergeCell ref="S3:S5"/>
    <mergeCell ref="T3:T5"/>
    <mergeCell ref="Z3:Z5"/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108:D108 A109:A112 G108:AA108 E108:F112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C6F49CEE-993D-4BD0-9423-5DF321772B15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T7:T112 W7:W112 Z7:Z112</xm:sqref>
        </x14:conditionalFormatting>
        <x14:conditionalFormatting xmlns:xm="http://schemas.microsoft.com/office/excel/2006/main">
          <x14:cfRule type="iconSet" priority="1" id="{47E1025F-CCCE-4CBB-B878-14C6B76524D6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P7:P112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199"/>
  <sheetViews>
    <sheetView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E8" sqref="E8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15.42578125" bestFit="1" customWidth="1"/>
    <col min="4" max="4" width="64.42578125" customWidth="1"/>
    <col min="5" max="5" width="25.42578125" customWidth="1"/>
    <col min="6" max="6" width="25.42578125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6" width="9.7109375" customWidth="1"/>
    <col min="27" max="27" width="66.85546875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22" t="str">
        <f>VLOOKUP(Rapid[[#This Row],[Código]],BD_Produto[#All],7,FALSE)</f>
        <v>Em linha</v>
      </c>
      <c r="B7" s="22" t="str">
        <f>IF(OR(Rapid[[#This Row],[Status]]="Em linha",Rapid[[#This Row],[Status]]="Materia Prima",Rapid[[#This Row],[Status]]="Componente"),"ok",IF(Rapid[[#This Row],[Estoque+Importação]]&lt;1,"Tirar","ok"))</f>
        <v>ok</v>
      </c>
      <c r="C7" s="23">
        <v>33060560893</v>
      </c>
      <c r="D7" s="22" t="s">
        <v>320</v>
      </c>
      <c r="E7" s="22" t="str">
        <f>VLOOKUP(Rapid[[#This Row],[Código]],BD_Produto[],3,FALSE)</f>
        <v>Grampo</v>
      </c>
      <c r="F7" s="22" t="str">
        <f>VLOOKUP(Rapid[[#This Row],[Código]],BD_Produto[],4,FALSE)</f>
        <v>Grampeador de Mesa</v>
      </c>
      <c r="G7" s="24"/>
      <c r="H7" s="25"/>
      <c r="J7" s="24"/>
      <c r="K7" s="24" t="str">
        <f>IFERROR(VLOOKUP(Rapid[[#This Row],[Código]],Importação!P:R,3,FALSE),"")</f>
        <v/>
      </c>
      <c r="L7" s="24">
        <f>IFERROR(VLOOKUP(Rapid[[#This Row],[Código]],Saldo[],3,FALSE),0)</f>
        <v>0</v>
      </c>
      <c r="M7" s="24">
        <f>SUM(Rapid[[#This Row],[Produção]:[Estoque]])</f>
        <v>0</v>
      </c>
      <c r="N7" s="24">
        <f>IFERROR(Rapid[[#This Row],[Estoque+Importação]]/Rapid[[#This Row],[Proj. de V. No prox. mes]],"Sem Projeção")</f>
        <v>0</v>
      </c>
      <c r="O7" s="24">
        <f>IF(OR(Rapid[[#This Row],[Status]]="Em Linha",Rapid[[#This Row],[Status]]="Componente",Rapid[[#This Row],[Status]]="Materia Prima"),Rapid[[#This Row],[Proj. de V. No prox. mes]]*10,"-")</f>
        <v>1014.3333333333334</v>
      </c>
      <c r="P7" s="34">
        <f>IF(OR(Rapid[[#This Row],[Status]]="Em Linha",Rapid[[#This Row],[Status]]="Componente",Rapid[[#This Row],[Status]]="Materia Prima"),Rapid[[#This Row],[estoque 10 meses]]-Rapid[[#This Row],[Estoque+Importação]],0)</f>
        <v>1014.3333333333334</v>
      </c>
      <c r="Q7" s="75">
        <f>VLOOKUP(Rapid[[#This Row],[Código]],Projeção[#All],15,FALSE)</f>
        <v>101.43333333333334</v>
      </c>
      <c r="R7" s="39">
        <f>VLOOKUP(Rapid[[#This Row],[Código]],Projeção[#All],14,FALSE)</f>
        <v>13699.466666666665</v>
      </c>
      <c r="S7" s="39">
        <f>IFERROR(VLOOKUP(Rapid[[#This Row],[Código]],Venda_mes[],2,FALSE),0)</f>
        <v>0</v>
      </c>
      <c r="T7" s="44">
        <f>IFERROR(Rapid[[#This Row],[V. No mes]]/Rapid[[#This Row],[Proj. de V. No mes]],"")</f>
        <v>0</v>
      </c>
      <c r="U7" s="43">
        <f>VLOOKUP(Rapid[[#This Row],[Código]],Projeção[#All],14,FALSE)+VLOOKUP(Rapid[[#This Row],[Código]],Projeção[#All],13,FALSE)+VLOOKUP(Rapid[[#This Row],[Código]],Projeção[#All],12,FALSE)</f>
        <v>35569.066666666666</v>
      </c>
      <c r="V7" s="39">
        <f>IFERROR(VLOOKUP(Rapid[[#This Row],[Código]],Venda_3meses[],2,FALSE),0)</f>
        <v>0</v>
      </c>
      <c r="W7" s="44">
        <f>IFERROR(Rapid[[#This Row],[V. 3 meses]]/Rapid[[#This Row],[Proj. de V. 3 meses]],"")</f>
        <v>0</v>
      </c>
      <c r="X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203986.39999999997</v>
      </c>
      <c r="Y7" s="39">
        <f>IFERROR(VLOOKUP(Rapid[[#This Row],[Código]],Venda_12meses[],2,FALSE),0)</f>
        <v>3043</v>
      </c>
      <c r="Z7" s="44">
        <f>IFERROR(Rapid[[#This Row],[V. 12 meses]]/Rapid[[#This Row],[Proj. de V. 12 meses]],"")</f>
        <v>1.491766117741183E-2</v>
      </c>
    </row>
    <row r="8" spans="1:27" x14ac:dyDescent="0.25">
      <c r="A8" s="22" t="str">
        <f>VLOOKUP(Rapid[[#This Row],[Código]],BD_Produto[#All],7,FALSE)</f>
        <v>Em linha</v>
      </c>
      <c r="B8" s="22" t="str">
        <f>IF(OR(Rapid[[#This Row],[Status]]="Em linha",Rapid[[#This Row],[Status]]="Materia Prima",Rapid[[#This Row],[Status]]="Componente"),"ok",IF(Rapid[[#This Row],[Estoque+Importação]]&lt;1,"Tirar","ok"))</f>
        <v>ok</v>
      </c>
      <c r="C8" s="23">
        <v>33060514928</v>
      </c>
      <c r="D8" s="22" t="s">
        <v>1209</v>
      </c>
      <c r="E8" s="22" t="str">
        <f>VLOOKUP(Rapid[[#This Row],[Código]],BD_Produto[],3,FALSE)</f>
        <v>Grampo</v>
      </c>
      <c r="F8" s="22" t="str">
        <f>VLOOKUP(Rapid[[#This Row],[Código]],BD_Produto[],4,FALSE)</f>
        <v>Grampeador Eletrico</v>
      </c>
      <c r="G8" s="24">
        <v>10</v>
      </c>
      <c r="H8" s="25"/>
      <c r="I8" s="22"/>
      <c r="J8" s="24"/>
      <c r="K8" s="24" t="str">
        <f>IFERROR(VLOOKUP(Rapid[[#This Row],[Código]],Importação!P:R,3,FALSE),"")</f>
        <v/>
      </c>
      <c r="L8" s="24">
        <f>IFERROR(VLOOKUP(Rapid[[#This Row],[Código]],Saldo[],3,FALSE),0)</f>
        <v>140</v>
      </c>
      <c r="M8" s="24">
        <f>SUM(Rapid[[#This Row],[Produção]:[Estoque]])</f>
        <v>140</v>
      </c>
      <c r="N8" s="24">
        <f>IFERROR(Rapid[[#This Row],[Estoque+Importação]]/Rapid[[#This Row],[Proj. de V. No prox. mes]],"Sem Projeção")</f>
        <v>10.994764397905758</v>
      </c>
      <c r="O8" s="24">
        <f>IF(OR(Rapid[[#This Row],[Status]]="Em Linha",Rapid[[#This Row],[Status]]="Componente",Rapid[[#This Row],[Status]]="Materia Prima"),Rapid[[#This Row],[Proj. de V. No prox. mes]]*10,"-")</f>
        <v>127.33333333333334</v>
      </c>
      <c r="P8" s="34">
        <f>IF(OR(Rapid[[#This Row],[Status]]="Em Linha",Rapid[[#This Row],[Status]]="Componente",Rapid[[#This Row],[Status]]="Materia Prima"),Rapid[[#This Row],[estoque 10 meses]]-Rapid[[#This Row],[Estoque+Importação]],0)</f>
        <v>-12.666666666666657</v>
      </c>
      <c r="Q8" s="75">
        <f>VLOOKUP(Rapid[[#This Row],[Código]],Projeção[#All],15,FALSE)</f>
        <v>12.733333333333334</v>
      </c>
      <c r="R8" s="39">
        <f>VLOOKUP(Rapid[[#This Row],[Código]],Projeção[#All],14,FALSE)</f>
        <v>10.566666666666666</v>
      </c>
      <c r="S8" s="39">
        <f>IFERROR(VLOOKUP(Rapid[[#This Row],[Código]],Venda_mes[],2,FALSE),0)</f>
        <v>10</v>
      </c>
      <c r="T8" s="44">
        <f>IFERROR(Rapid[[#This Row],[V. No mes]]/Rapid[[#This Row],[Proj. de V. No mes]],"")</f>
        <v>0.94637223974763407</v>
      </c>
      <c r="U8" s="43">
        <f>VLOOKUP(Rapid[[#This Row],[Código]],Projeção[#All],14,FALSE)+VLOOKUP(Rapid[[#This Row],[Código]],Projeção[#All],13,FALSE)+VLOOKUP(Rapid[[#This Row],[Código]],Projeção[#All],12,FALSE)</f>
        <v>30.733333333333331</v>
      </c>
      <c r="V8" s="39">
        <f>IFERROR(VLOOKUP(Rapid[[#This Row],[Código]],Venda_3meses[],2,FALSE),0)</f>
        <v>20</v>
      </c>
      <c r="W8" s="44">
        <f>IFERROR(Rapid[[#This Row],[V. 3 meses]]/Rapid[[#This Row],[Proj. de V. 3 meses]],"")</f>
        <v>0.65075921908893719</v>
      </c>
      <c r="X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253.03333333333333</v>
      </c>
      <c r="Y8" s="39">
        <f>IFERROR(VLOOKUP(Rapid[[#This Row],[Código]],Venda_12meses[],2,FALSE),0)</f>
        <v>184</v>
      </c>
      <c r="Z8" s="44">
        <f>IFERROR(Rapid[[#This Row],[V. 12 meses]]/Rapid[[#This Row],[Proj. de V. 12 meses]],"")</f>
        <v>0.72717692003688583</v>
      </c>
      <c r="AA8" s="22">
        <v>20993500</v>
      </c>
    </row>
    <row r="9" spans="1:27" x14ac:dyDescent="0.25">
      <c r="A9" s="22" t="str">
        <f>VLOOKUP(Rapid[[#This Row],[Código]],BD_Produto[#All],7,FALSE)</f>
        <v>Em linha</v>
      </c>
      <c r="B9" s="22" t="str">
        <f>IF(OR(Rapid[[#This Row],[Status]]="Em linha",Rapid[[#This Row],[Status]]="Materia Prima",Rapid[[#This Row],[Status]]="Componente"),"ok",IF(Rapid[[#This Row],[Estoque+Importação]]&lt;1,"Tirar","ok"))</f>
        <v>ok</v>
      </c>
      <c r="C9" s="23">
        <v>33060114114</v>
      </c>
      <c r="D9" s="22" t="s">
        <v>145</v>
      </c>
      <c r="E9" s="22" t="str">
        <f>VLOOKUP(Rapid[[#This Row],[Código]],BD_Produto[],3,FALSE)</f>
        <v>Grampeador Alicate</v>
      </c>
      <c r="F9" s="22" t="str">
        <f>VLOOKUP(Rapid[[#This Row],[Código]],BD_Produto[],4,FALSE)</f>
        <v>Grampeador Alicate</v>
      </c>
      <c r="G9" s="24"/>
      <c r="H9" s="25"/>
      <c r="I9" s="22"/>
      <c r="J9" s="24"/>
      <c r="K9" s="24" t="str">
        <f>IFERROR(VLOOKUP(Rapid[[#This Row],[Código]],Importação!P:R,3,FALSE),"")</f>
        <v/>
      </c>
      <c r="L9" s="24">
        <f>IFERROR(VLOOKUP(Rapid[[#This Row],[Código]],Saldo[],3,FALSE),0)</f>
        <v>0</v>
      </c>
      <c r="M9" s="24">
        <f>SUM(Rapid[[#This Row],[Produção]:[Estoque]])</f>
        <v>0</v>
      </c>
      <c r="N9" s="24">
        <f>IFERROR(Rapid[[#This Row],[Estoque+Importação]]/Rapid[[#This Row],[Proj. de V. No prox. mes]],"Sem Projeção")</f>
        <v>0</v>
      </c>
      <c r="O9" s="24">
        <f>IF(OR(Rapid[[#This Row],[Status]]="Em Linha",Rapid[[#This Row],[Status]]="Componente",Rapid[[#This Row],[Status]]="Materia Prima"),Rapid[[#This Row],[Proj. de V. No prox. mes]]*10,"-")</f>
        <v>1265.6666666666665</v>
      </c>
      <c r="P9" s="34">
        <f>IF(OR(Rapid[[#This Row],[Status]]="Em Linha",Rapid[[#This Row],[Status]]="Componente",Rapid[[#This Row],[Status]]="Materia Prima"),Rapid[[#This Row],[estoque 10 meses]]-Rapid[[#This Row],[Estoque+Importação]],0)</f>
        <v>1265.6666666666665</v>
      </c>
      <c r="Q9" s="75">
        <f>VLOOKUP(Rapid[[#This Row],[Código]],Projeção[#All],15,FALSE)</f>
        <v>126.56666666666666</v>
      </c>
      <c r="R9" s="39">
        <f>VLOOKUP(Rapid[[#This Row],[Código]],Projeção[#All],14,FALSE)</f>
        <v>147.13333333333333</v>
      </c>
      <c r="S9" s="39">
        <f>IFERROR(VLOOKUP(Rapid[[#This Row],[Código]],Venda_mes[],2,FALSE),0)</f>
        <v>85</v>
      </c>
      <c r="T9" s="44">
        <f>IFERROR(Rapid[[#This Row],[V. No mes]]/Rapid[[#This Row],[Proj. de V. No mes]],"")</f>
        <v>0.57770729497054829</v>
      </c>
      <c r="U9" s="43">
        <f>VLOOKUP(Rapid[[#This Row],[Código]],Projeção[#All],14,FALSE)+VLOOKUP(Rapid[[#This Row],[Código]],Projeção[#All],13,FALSE)+VLOOKUP(Rapid[[#This Row],[Código]],Projeção[#All],12,FALSE)</f>
        <v>393.13333333333333</v>
      </c>
      <c r="V9" s="39">
        <f>IFERROR(VLOOKUP(Rapid[[#This Row],[Código]],Venda_3meses[],2,FALSE),0)</f>
        <v>329</v>
      </c>
      <c r="W9" s="44">
        <f>IFERROR(Rapid[[#This Row],[V. 3 meses]]/Rapid[[#This Row],[Proj. de V. 3 meses]],"")</f>
        <v>0.83686620315414617</v>
      </c>
      <c r="X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1585.3333333333333</v>
      </c>
      <c r="Y9" s="39">
        <f>IFERROR(VLOOKUP(Rapid[[#This Row],[Código]],Venda_12meses[],2,FALSE),0)</f>
        <v>1323</v>
      </c>
      <c r="Z9" s="44">
        <f>IFERROR(Rapid[[#This Row],[V. 12 meses]]/Rapid[[#This Row],[Proj. de V. 12 meses]],"")</f>
        <v>0.83452481076534912</v>
      </c>
      <c r="AA9" s="22"/>
    </row>
    <row r="10" spans="1:27" x14ac:dyDescent="0.25">
      <c r="A10" s="22" t="str">
        <f>VLOOKUP(Rapid[[#This Row],[Código]],BD_Produto[#All],7,FALSE)</f>
        <v>Em linha</v>
      </c>
      <c r="B10" s="22" t="str">
        <f>IF(OR(Rapid[[#This Row],[Status]]="Em linha",Rapid[[#This Row],[Status]]="Materia Prima",Rapid[[#This Row],[Status]]="Componente"),"ok",IF(Rapid[[#This Row],[Estoque+Importação]]&lt;1,"Tirar","ok"))</f>
        <v>ok</v>
      </c>
      <c r="C10" s="23">
        <v>33060514811</v>
      </c>
      <c r="D10" s="22" t="s">
        <v>310</v>
      </c>
      <c r="E10" s="22" t="str">
        <f>VLOOKUP(Rapid[[#This Row],[Código]],BD_Produto[],3,FALSE)</f>
        <v>Grampo</v>
      </c>
      <c r="F10" s="22" t="str">
        <f>VLOOKUP(Rapid[[#This Row],[Código]],BD_Produto[],4,FALSE)</f>
        <v>Grampeador Eletrico</v>
      </c>
      <c r="G10" s="24"/>
      <c r="H10" s="25"/>
      <c r="I10" s="22"/>
      <c r="J10" s="24"/>
      <c r="K10" s="24" t="str">
        <f>IFERROR(VLOOKUP(Rapid[[#This Row],[Código]],Importação!P:R,3,FALSE),"")</f>
        <v/>
      </c>
      <c r="L10" s="24">
        <f>IFERROR(VLOOKUP(Rapid[[#This Row],[Código]],Saldo[],3,FALSE),0)</f>
        <v>0</v>
      </c>
      <c r="M10" s="24">
        <f>SUM(Rapid[[#This Row],[Produção]:[Estoque]])</f>
        <v>0</v>
      </c>
      <c r="N10" s="24">
        <f>IFERROR(Rapid[[#This Row],[Estoque+Importação]]/Rapid[[#This Row],[Proj. de V. No prox. mes]],"Sem Projeção")</f>
        <v>0</v>
      </c>
      <c r="O10" s="24">
        <f>IF(OR(Rapid[[#This Row],[Status]]="Em Linha",Rapid[[#This Row],[Status]]="Componente",Rapid[[#This Row],[Status]]="Materia Prima"),Rapid[[#This Row],[Proj. de V. No prox. mes]]*10,"-")</f>
        <v>30.333333333333332</v>
      </c>
      <c r="P10" s="34">
        <f>IF(OR(Rapid[[#This Row],[Status]]="Em Linha",Rapid[[#This Row],[Status]]="Componente",Rapid[[#This Row],[Status]]="Materia Prima"),Rapid[[#This Row],[estoque 10 meses]]-Rapid[[#This Row],[Estoque+Importação]],0)</f>
        <v>30.333333333333332</v>
      </c>
      <c r="Q10" s="75">
        <f>VLOOKUP(Rapid[[#This Row],[Código]],Projeção[#All],15,FALSE)</f>
        <v>3.0333333333333332</v>
      </c>
      <c r="R10" s="39">
        <f>VLOOKUP(Rapid[[#This Row],[Código]],Projeção[#All],14,FALSE)</f>
        <v>4.6999999999999993</v>
      </c>
      <c r="S10" s="39">
        <f>IFERROR(VLOOKUP(Rapid[[#This Row],[Código]],Venda_mes[],2,FALSE),0)</f>
        <v>0</v>
      </c>
      <c r="T10" s="44">
        <f>IFERROR(Rapid[[#This Row],[V. No mes]]/Rapid[[#This Row],[Proj. de V. No mes]],"")</f>
        <v>0</v>
      </c>
      <c r="U10" s="43">
        <f>VLOOKUP(Rapid[[#This Row],[Código]],Projeção[#All],14,FALSE)+VLOOKUP(Rapid[[#This Row],[Código]],Projeção[#All],13,FALSE)+VLOOKUP(Rapid[[#This Row],[Código]],Projeção[#All],12,FALSE)</f>
        <v>12.766666666666666</v>
      </c>
      <c r="V10" s="39">
        <f>IFERROR(VLOOKUP(Rapid[[#This Row],[Código]],Venda_3meses[],2,FALSE),0)</f>
        <v>0</v>
      </c>
      <c r="W10" s="44">
        <f>IFERROR(Rapid[[#This Row],[V. 3 meses]]/Rapid[[#This Row],[Proj. de V. 3 meses]],"")</f>
        <v>0</v>
      </c>
      <c r="X1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15.499999999999996</v>
      </c>
      <c r="Y10" s="39">
        <f>IFERROR(VLOOKUP(Rapid[[#This Row],[Código]],Venda_12meses[],2,FALSE),0)</f>
        <v>91</v>
      </c>
      <c r="Z10" s="44">
        <f>IFERROR(Rapid[[#This Row],[V. 12 meses]]/Rapid[[#This Row],[Proj. de V. 12 meses]],"")</f>
        <v>5.8709677419354849</v>
      </c>
      <c r="AA10" s="22">
        <v>11762200</v>
      </c>
    </row>
    <row r="11" spans="1:27" x14ac:dyDescent="0.25">
      <c r="A11" s="22" t="str">
        <f>VLOOKUP(Rapid[[#This Row],[Código]],BD_Produto[#All],7,FALSE)</f>
        <v>Em linha</v>
      </c>
      <c r="B11" s="22" t="str">
        <f>IF(OR(Rapid[[#This Row],[Status]]="Em linha",Rapid[[#This Row],[Status]]="Materia Prima",Rapid[[#This Row],[Status]]="Componente"),"ok",IF(Rapid[[#This Row],[Estoque+Importação]]&lt;1,"Tirar","ok"))</f>
        <v>ok</v>
      </c>
      <c r="C11" s="23">
        <v>33060160518</v>
      </c>
      <c r="D11" s="22" t="s">
        <v>187</v>
      </c>
      <c r="E11" s="22" t="str">
        <f>VLOOKUP(Rapid[[#This Row],[Código]],BD_Produto[],3,FALSE)</f>
        <v>Grampeador de Mesa</v>
      </c>
      <c r="F11" s="22" t="str">
        <f>VLOOKUP(Rapid[[#This Row],[Código]],BD_Produto[],4,FALSE)</f>
        <v>Grampeador de Mesa</v>
      </c>
      <c r="G11" s="24"/>
      <c r="H11" s="25"/>
      <c r="I11" s="22"/>
      <c r="J11" s="24"/>
      <c r="K11" s="24" t="str">
        <f>IFERROR(VLOOKUP(Rapid[[#This Row],[Código]],Importação!P:R,3,FALSE),"")</f>
        <v/>
      </c>
      <c r="L11" s="24">
        <f>IFERROR(VLOOKUP(Rapid[[#This Row],[Código]],Saldo[],3,FALSE),0)</f>
        <v>320</v>
      </c>
      <c r="M11" s="24">
        <f>SUM(Rapid[[#This Row],[Produção]:[Estoque]])</f>
        <v>320</v>
      </c>
      <c r="N11" s="24">
        <f>IFERROR(Rapid[[#This Row],[Estoque+Importação]]/Rapid[[#This Row],[Proj. de V. No prox. mes]],"Sem Projeção")</f>
        <v>22.641509433962266</v>
      </c>
      <c r="O11" s="24">
        <f>IF(OR(Rapid[[#This Row],[Status]]="Em Linha",Rapid[[#This Row],[Status]]="Componente",Rapid[[#This Row],[Status]]="Materia Prima"),Rapid[[#This Row],[Proj. de V. No prox. mes]]*10,"-")</f>
        <v>141.33333333333331</v>
      </c>
      <c r="P11" s="34">
        <f>IF(OR(Rapid[[#This Row],[Status]]="Em Linha",Rapid[[#This Row],[Status]]="Componente",Rapid[[#This Row],[Status]]="Materia Prima"),Rapid[[#This Row],[estoque 10 meses]]-Rapid[[#This Row],[Estoque+Importação]],0)</f>
        <v>-178.66666666666669</v>
      </c>
      <c r="Q11" s="75">
        <f>VLOOKUP(Rapid[[#This Row],[Código]],Projeção[#All],15,FALSE)</f>
        <v>14.133333333333331</v>
      </c>
      <c r="R11" s="39">
        <f>VLOOKUP(Rapid[[#This Row],[Código]],Projeção[#All],14,FALSE)</f>
        <v>20.233333333333331</v>
      </c>
      <c r="S11" s="39">
        <f>IFERROR(VLOOKUP(Rapid[[#This Row],[Código]],Venda_mes[],2,FALSE),0)</f>
        <v>0</v>
      </c>
      <c r="T11" s="44">
        <f>IFERROR(Rapid[[#This Row],[V. No mes]]/Rapid[[#This Row],[Proj. de V. No mes]],"")</f>
        <v>0</v>
      </c>
      <c r="U11" s="43">
        <f>VLOOKUP(Rapid[[#This Row],[Código]],Projeção[#All],14,FALSE)+VLOOKUP(Rapid[[#This Row],[Código]],Projeção[#All],13,FALSE)+VLOOKUP(Rapid[[#This Row],[Código]],Projeção[#All],12,FALSE)</f>
        <v>64.966666666666669</v>
      </c>
      <c r="V11" s="39">
        <f>IFERROR(VLOOKUP(Rapid[[#This Row],[Código]],Venda_3meses[],2,FALSE),0)</f>
        <v>20</v>
      </c>
      <c r="W11" s="44">
        <f>IFERROR(Rapid[[#This Row],[V. 3 meses]]/Rapid[[#This Row],[Proj. de V. 3 meses]],"")</f>
        <v>0.30785017957927141</v>
      </c>
      <c r="X1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252.20000000000002</v>
      </c>
      <c r="Y11" s="39">
        <f>IFERROR(VLOOKUP(Rapid[[#This Row],[Código]],Venda_12meses[],2,FALSE),0)</f>
        <v>192</v>
      </c>
      <c r="Z11" s="44">
        <f>IFERROR(Rapid[[#This Row],[V. 12 meses]]/Rapid[[#This Row],[Proj. de V. 12 meses]],"")</f>
        <v>0.76130055511498806</v>
      </c>
      <c r="AA11" s="22"/>
    </row>
    <row r="12" spans="1:27" x14ac:dyDescent="0.25">
      <c r="A12" s="22" t="str">
        <f>VLOOKUP(Rapid[[#This Row],[Código]],BD_Produto[#All],7,FALSE)</f>
        <v>Em linha</v>
      </c>
      <c r="B12" s="22" t="str">
        <f>IF(OR(Rapid[[#This Row],[Status]]="Em linha",Rapid[[#This Row],[Status]]="Materia Prima",Rapid[[#This Row],[Status]]="Componente"),"ok",IF(Rapid[[#This Row],[Estoque+Importação]]&lt;1,"Tirar","ok"))</f>
        <v>ok</v>
      </c>
      <c r="C12" s="23">
        <v>33060114915</v>
      </c>
      <c r="D12" s="22" t="s">
        <v>171</v>
      </c>
      <c r="E12" s="22" t="str">
        <f>VLOOKUP(Rapid[[#This Row],[Código]],BD_Produto[],3,FALSE)</f>
        <v>Grampeador de Mesa</v>
      </c>
      <c r="F12" s="22" t="str">
        <f>VLOOKUP(Rapid[[#This Row],[Código]],BD_Produto[],4,FALSE)</f>
        <v>Grampeador de Mesa</v>
      </c>
      <c r="G12" s="24">
        <v>900</v>
      </c>
      <c r="H12" s="25"/>
      <c r="I12" s="22"/>
      <c r="J12" s="24"/>
      <c r="K12" s="24" t="str">
        <f>IFERROR(VLOOKUP(Rapid[[#This Row],[Código]],Importação!P:R,3,FALSE),"")</f>
        <v/>
      </c>
      <c r="L12" s="24">
        <f>IFERROR(VLOOKUP(Rapid[[#This Row],[Código]],Saldo[],3,FALSE),0)</f>
        <v>1104</v>
      </c>
      <c r="M12" s="24">
        <f>SUM(Rapid[[#This Row],[Produção]:[Estoque]])</f>
        <v>1104</v>
      </c>
      <c r="N12" s="24">
        <f>IFERROR(Rapid[[#This Row],[Estoque+Importação]]/Rapid[[#This Row],[Proj. de V. No prox. mes]],"Sem Projeção")</f>
        <v>147.85714285714289</v>
      </c>
      <c r="O12" s="24">
        <f>IF(OR(Rapid[[#This Row],[Status]]="Em Linha",Rapid[[#This Row],[Status]]="Componente",Rapid[[#This Row],[Status]]="Materia Prima"),Rapid[[#This Row],[Proj. de V. No prox. mes]]*10,"-")</f>
        <v>74.666666666666657</v>
      </c>
      <c r="P12" s="34">
        <f>IF(OR(Rapid[[#This Row],[Status]]="Em Linha",Rapid[[#This Row],[Status]]="Componente",Rapid[[#This Row],[Status]]="Materia Prima"),Rapid[[#This Row],[estoque 10 meses]]-Rapid[[#This Row],[Estoque+Importação]],0)</f>
        <v>-1029.3333333333333</v>
      </c>
      <c r="Q12" s="83">
        <f>VLOOKUP(Rapid[[#This Row],[Código]],Projeção[#All],15,FALSE)</f>
        <v>7.466666666666665</v>
      </c>
      <c r="R12" s="38">
        <f>VLOOKUP(Rapid[[#This Row],[Código]],Projeção[#All],14,FALSE)</f>
        <v>27.5</v>
      </c>
      <c r="S12" s="39">
        <f>IFERROR(VLOOKUP(Rapid[[#This Row],[Código]],Venda_mes[],2,FALSE),0)</f>
        <v>0</v>
      </c>
      <c r="T12" s="40">
        <f>IFERROR(Rapid[[#This Row],[V. No mes]]/Rapid[[#This Row],[Proj. de V. No mes]],"")</f>
        <v>0</v>
      </c>
      <c r="U12" s="39">
        <f>VLOOKUP(Rapid[[#This Row],[Código]],Projeção[#All],14,FALSE)+VLOOKUP(Rapid[[#This Row],[Código]],Projeção[#All],13,FALSE)+VLOOKUP(Rapid[[#This Row],[Código]],Projeção[#All],12,FALSE)</f>
        <v>60.066666666666663</v>
      </c>
      <c r="V12" s="39">
        <f>IFERROR(VLOOKUP(Rapid[[#This Row],[Código]],Venda_3meses[],2,FALSE),0)</f>
        <v>10</v>
      </c>
      <c r="W12" s="45">
        <f>IFERROR(Rapid[[#This Row],[V. 3 meses]]/Rapid[[#This Row],[Proj. de V. 3 meses]],"")</f>
        <v>0.16648168701442842</v>
      </c>
      <c r="X12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228.59999999999997</v>
      </c>
      <c r="Y12" s="39">
        <f>IFERROR(VLOOKUP(Rapid[[#This Row],[Código]],Venda_12meses[],2,FALSE),0)</f>
        <v>140</v>
      </c>
      <c r="Z12" s="45">
        <f>IFERROR(Rapid[[#This Row],[V. 12 meses]]/Rapid[[#This Row],[Proj. de V. 12 meses]],"")</f>
        <v>0.61242344706911644</v>
      </c>
      <c r="AA12" s="22">
        <v>21820802</v>
      </c>
    </row>
    <row r="13" spans="1:27" x14ac:dyDescent="0.25">
      <c r="A13" s="22" t="str">
        <f>VLOOKUP(Rapid[[#This Row],[Código]],BD_Produto[#All],7,FALSE)</f>
        <v>Em linha</v>
      </c>
      <c r="B13" s="22" t="str">
        <f>IF(OR(Rapid[[#This Row],[Status]]="Em linha",Rapid[[#This Row],[Status]]="Materia Prima",Rapid[[#This Row],[Status]]="Componente"),"ok",IF(Rapid[[#This Row],[Estoque+Importação]]&lt;1,"Tirar","ok"))</f>
        <v>ok</v>
      </c>
      <c r="C13" s="23">
        <v>33060114113</v>
      </c>
      <c r="D13" s="22" t="s">
        <v>144</v>
      </c>
      <c r="E13" s="22" t="str">
        <f>VLOOKUP(Rapid[[#This Row],[Código]],BD_Produto[],3,FALSE)</f>
        <v>Grampeador Alicate</v>
      </c>
      <c r="F13" s="22" t="str">
        <f>VLOOKUP(Rapid[[#This Row],[Código]],BD_Produto[],4,FALSE)</f>
        <v>Grampeador Alicate</v>
      </c>
      <c r="G13" s="24"/>
      <c r="H13" s="25"/>
      <c r="I13" s="22"/>
      <c r="J13" s="24"/>
      <c r="K13" s="24" t="str">
        <f>IFERROR(VLOOKUP(Rapid[[#This Row],[Código]],Importação!P:R,3,FALSE),"")</f>
        <v/>
      </c>
      <c r="L13" s="24">
        <f>IFERROR(VLOOKUP(Rapid[[#This Row],[Código]],Saldo[],3,FALSE),0)</f>
        <v>405</v>
      </c>
      <c r="M13" s="24">
        <f>SUM(Rapid[[#This Row],[Produção]:[Estoque]])</f>
        <v>405</v>
      </c>
      <c r="N13" s="24">
        <f>IFERROR(Rapid[[#This Row],[Estoque+Importação]]/Rapid[[#This Row],[Proj. de V. No prox. mes]],"Sem Projeção")</f>
        <v>22.010869565217394</v>
      </c>
      <c r="O13" s="24">
        <f>IF(OR(Rapid[[#This Row],[Status]]="Em Linha",Rapid[[#This Row],[Status]]="Componente",Rapid[[#This Row],[Status]]="Materia Prima"),Rapid[[#This Row],[Proj. de V. No prox. mes]]*10,"-")</f>
        <v>184</v>
      </c>
      <c r="P13" s="34">
        <f>IF(OR(Rapid[[#This Row],[Status]]="Em Linha",Rapid[[#This Row],[Status]]="Componente",Rapid[[#This Row],[Status]]="Materia Prima"),Rapid[[#This Row],[estoque 10 meses]]-Rapid[[#This Row],[Estoque+Importação]],0)</f>
        <v>-221</v>
      </c>
      <c r="Q13" s="75">
        <f>VLOOKUP(Rapid[[#This Row],[Código]],Projeção[#All],15,FALSE)</f>
        <v>18.399999999999999</v>
      </c>
      <c r="R13" s="39">
        <f>VLOOKUP(Rapid[[#This Row],[Código]],Projeção[#All],14,FALSE)</f>
        <v>16.333333333333336</v>
      </c>
      <c r="S13" s="39">
        <f>IFERROR(VLOOKUP(Rapid[[#This Row],[Código]],Venda_mes[],2,FALSE),0)</f>
        <v>23</v>
      </c>
      <c r="T13" s="44">
        <f>IFERROR(Rapid[[#This Row],[V. No mes]]/Rapid[[#This Row],[Proj. de V. No mes]],"")</f>
        <v>1.4081632653061222</v>
      </c>
      <c r="U13" s="43">
        <f>VLOOKUP(Rapid[[#This Row],[Código]],Projeção[#All],14,FALSE)+VLOOKUP(Rapid[[#This Row],[Código]],Projeção[#All],13,FALSE)+VLOOKUP(Rapid[[#This Row],[Código]],Projeção[#All],12,FALSE)</f>
        <v>46.800000000000004</v>
      </c>
      <c r="V13" s="39">
        <f>IFERROR(VLOOKUP(Rapid[[#This Row],[Código]],Venda_3meses[],2,FALSE),0)</f>
        <v>47</v>
      </c>
      <c r="W13" s="44">
        <f>IFERROR(Rapid[[#This Row],[V. 3 meses]]/Rapid[[#This Row],[Proj. de V. 3 meses]],"")</f>
        <v>1.0042735042735043</v>
      </c>
      <c r="X1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174.89999999999998</v>
      </c>
      <c r="Y13" s="39">
        <f>IFERROR(VLOOKUP(Rapid[[#This Row],[Código]],Venda_12meses[],2,FALSE),0)</f>
        <v>166</v>
      </c>
      <c r="Z13" s="44">
        <f>IFERROR(Rapid[[#This Row],[V. 12 meses]]/Rapid[[#This Row],[Proj. de V. 12 meses]],"")</f>
        <v>0.94911377930245866</v>
      </c>
      <c r="AA13" s="22"/>
    </row>
    <row r="14" spans="1:27" x14ac:dyDescent="0.25">
      <c r="A14" s="22" t="str">
        <f>VLOOKUP(Rapid[[#This Row],[Código]],BD_Produto[#All],7,FALSE)</f>
        <v>Em linha</v>
      </c>
      <c r="B14" s="22" t="str">
        <f>IF(OR(Rapid[[#This Row],[Status]]="Em linha",Rapid[[#This Row],[Status]]="Materia Prima",Rapid[[#This Row],[Status]]="Componente"),"ok",IF(Rapid[[#This Row],[Estoque+Importação]]&lt;1,"Tirar","ok"))</f>
        <v>ok</v>
      </c>
      <c r="C14" s="23">
        <v>33060114591</v>
      </c>
      <c r="D14" s="22" t="s">
        <v>148</v>
      </c>
      <c r="E14" s="22" t="str">
        <f>VLOOKUP(Rapid[[#This Row],[Código]],BD_Produto[],3,FALSE)</f>
        <v>Grampeador Heavy Duty</v>
      </c>
      <c r="F14" s="22" t="str">
        <f>VLOOKUP(Rapid[[#This Row],[Código]],BD_Produto[],4,FALSE)</f>
        <v>Grampeador Heavy Duty</v>
      </c>
      <c r="G14" s="24">
        <v>180</v>
      </c>
      <c r="H14" s="25"/>
      <c r="I14" s="22"/>
      <c r="J14" s="24"/>
      <c r="K14" s="24" t="str">
        <f>IFERROR(VLOOKUP(Rapid[[#This Row],[Código]],Importação!P:R,3,FALSE),"")</f>
        <v/>
      </c>
      <c r="L14" s="24">
        <f>IFERROR(VLOOKUP(Rapid[[#This Row],[Código]],Saldo[],3,FALSE),0)</f>
        <v>1607</v>
      </c>
      <c r="M14" s="24">
        <f>SUM(Rapid[[#This Row],[Produção]:[Estoque]])</f>
        <v>1607</v>
      </c>
      <c r="N14" s="24">
        <f>IFERROR(Rapid[[#This Row],[Estoque+Importação]]/Rapid[[#This Row],[Proj. de V. No prox. mes]],"Sem Projeção")</f>
        <v>22.486007462686565</v>
      </c>
      <c r="O14" s="24">
        <f>IF(OR(Rapid[[#This Row],[Status]]="Em Linha",Rapid[[#This Row],[Status]]="Componente",Rapid[[#This Row],[Status]]="Materia Prima"),Rapid[[#This Row],[Proj. de V. No prox. mes]]*10,"-")</f>
        <v>714.66666666666674</v>
      </c>
      <c r="P14" s="34">
        <f>IF(OR(Rapid[[#This Row],[Status]]="Em Linha",Rapid[[#This Row],[Status]]="Componente",Rapid[[#This Row],[Status]]="Materia Prima"),Rapid[[#This Row],[estoque 10 meses]]-Rapid[[#This Row],[Estoque+Importação]],0)</f>
        <v>-892.33333333333326</v>
      </c>
      <c r="Q14" s="75">
        <f>VLOOKUP(Rapid[[#This Row],[Código]],Projeção[#All],15,FALSE)</f>
        <v>71.466666666666669</v>
      </c>
      <c r="R14" s="39">
        <f>VLOOKUP(Rapid[[#This Row],[Código]],Projeção[#All],14,FALSE)</f>
        <v>49.266666666666659</v>
      </c>
      <c r="S14" s="39">
        <f>IFERROR(VLOOKUP(Rapid[[#This Row],[Código]],Venda_mes[],2,FALSE),0)</f>
        <v>83</v>
      </c>
      <c r="T14" s="44">
        <f>IFERROR(Rapid[[#This Row],[V. No mes]]/Rapid[[#This Row],[Proj. de V. No mes]],"")</f>
        <v>1.6847090663058188</v>
      </c>
      <c r="U14" s="43">
        <f>VLOOKUP(Rapid[[#This Row],[Código]],Projeção[#All],14,FALSE)+VLOOKUP(Rapid[[#This Row],[Código]],Projeção[#All],13,FALSE)+VLOOKUP(Rapid[[#This Row],[Código]],Projeção[#All],12,FALSE)</f>
        <v>152.76666666666665</v>
      </c>
      <c r="V14" s="39">
        <f>IFERROR(VLOOKUP(Rapid[[#This Row],[Código]],Venda_3meses[],2,FALSE),0)</f>
        <v>212</v>
      </c>
      <c r="W14" s="44">
        <f>IFERROR(Rapid[[#This Row],[V. 3 meses]]/Rapid[[#This Row],[Proj. de V. 3 meses]],"")</f>
        <v>1.3877372899847262</v>
      </c>
      <c r="X1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623.9</v>
      </c>
      <c r="Y14" s="39">
        <f>IFERROR(VLOOKUP(Rapid[[#This Row],[Código]],Venda_12meses[],2,FALSE),0)</f>
        <v>598</v>
      </c>
      <c r="Z14" s="44">
        <f>IFERROR(Rapid[[#This Row],[V. 12 meses]]/Rapid[[#This Row],[Proj. de V. 12 meses]],"")</f>
        <v>0.95848693700913612</v>
      </c>
      <c r="AA14" s="22"/>
    </row>
    <row r="15" spans="1:27" x14ac:dyDescent="0.25">
      <c r="A15" s="22" t="str">
        <f>VLOOKUP(Rapid[[#This Row],[Código]],BD_Produto[#All],7,FALSE)</f>
        <v>Em linha</v>
      </c>
      <c r="B15" s="22" t="str">
        <f>IF(OR(Rapid[[#This Row],[Status]]="Em linha",Rapid[[#This Row],[Status]]="Materia Prima",Rapid[[#This Row],[Status]]="Componente"),"ok",IF(Rapid[[#This Row],[Estoque+Importação]]&lt;1,"Tirar","ok"))</f>
        <v>ok</v>
      </c>
      <c r="C15" s="23">
        <v>33070114126</v>
      </c>
      <c r="D15" s="22" t="s">
        <v>490</v>
      </c>
      <c r="E15" s="22" t="str">
        <f>VLOOKUP(Rapid[[#This Row],[Código]],BD_Produto[],3,FALSE)</f>
        <v>Grampeador Pistola</v>
      </c>
      <c r="F15" s="22" t="str">
        <f>VLOOKUP(Rapid[[#This Row],[Código]],BD_Produto[],4,FALSE)</f>
        <v>Grampeador Pistola</v>
      </c>
      <c r="G15" s="24">
        <v>450</v>
      </c>
      <c r="H15" s="25"/>
      <c r="I15" s="22"/>
      <c r="J15" s="24"/>
      <c r="K15" s="24" t="str">
        <f>IFERROR(VLOOKUP(Rapid[[#This Row],[Código]],Importação!P:R,3,FALSE),"")</f>
        <v/>
      </c>
      <c r="L15" s="24">
        <f>IFERROR(VLOOKUP(Rapid[[#This Row],[Código]],Saldo[],3,FALSE),0)</f>
        <v>7751</v>
      </c>
      <c r="M15" s="24">
        <f>SUM(Rapid[[#This Row],[Produção]:[Estoque]])</f>
        <v>7751</v>
      </c>
      <c r="N15" s="24">
        <f>IFERROR(Rapid[[#This Row],[Estoque+Importação]]/Rapid[[#This Row],[Proj. de V. No prox. mes]],"Sem Projeção")</f>
        <v>42.064037626628078</v>
      </c>
      <c r="O15" s="24">
        <f>IF(OR(Rapid[[#This Row],[Status]]="Em Linha",Rapid[[#This Row],[Status]]="Componente",Rapid[[#This Row],[Status]]="Materia Prima"),Rapid[[#This Row],[Proj. de V. No prox. mes]]*10,"-")</f>
        <v>1842.6666666666665</v>
      </c>
      <c r="P15" s="34">
        <f>IF(OR(Rapid[[#This Row],[Status]]="Em Linha",Rapid[[#This Row],[Status]]="Componente",Rapid[[#This Row],[Status]]="Materia Prima"),Rapid[[#This Row],[estoque 10 meses]]-Rapid[[#This Row],[Estoque+Importação]],0)</f>
        <v>-5908.3333333333339</v>
      </c>
      <c r="Q15" s="75">
        <f>VLOOKUP(Rapid[[#This Row],[Código]],Projeção[#All],15,FALSE)</f>
        <v>184.26666666666665</v>
      </c>
      <c r="R15" s="39">
        <f>VLOOKUP(Rapid[[#This Row],[Código]],Projeção[#All],14,FALSE)</f>
        <v>165.66666666666669</v>
      </c>
      <c r="S15" s="39">
        <f>IFERROR(VLOOKUP(Rapid[[#This Row],[Código]],Venda_mes[],2,FALSE),0)</f>
        <v>128</v>
      </c>
      <c r="T15" s="44">
        <f>IFERROR(Rapid[[#This Row],[V. No mes]]/Rapid[[#This Row],[Proj. de V. No mes]],"")</f>
        <v>0.77263581488933597</v>
      </c>
      <c r="U15" s="43">
        <f>VLOOKUP(Rapid[[#This Row],[Código]],Projeção[#All],14,FALSE)+VLOOKUP(Rapid[[#This Row],[Código]],Projeção[#All],13,FALSE)+VLOOKUP(Rapid[[#This Row],[Código]],Projeção[#All],12,FALSE)</f>
        <v>457.43333333333339</v>
      </c>
      <c r="V15" s="39">
        <f>IFERROR(VLOOKUP(Rapid[[#This Row],[Código]],Venda_3meses[],2,FALSE),0)</f>
        <v>617</v>
      </c>
      <c r="W15" s="44">
        <f>IFERROR(Rapid[[#This Row],[V. 3 meses]]/Rapid[[#This Row],[Proj. de V. 3 meses]],"")</f>
        <v>1.3488304306638488</v>
      </c>
      <c r="X1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2361.0333333333328</v>
      </c>
      <c r="Y15" s="39">
        <f>IFERROR(VLOOKUP(Rapid[[#This Row],[Código]],Venda_12meses[],2,FALSE),0)</f>
        <v>1528</v>
      </c>
      <c r="Z15" s="44">
        <f>IFERROR(Rapid[[#This Row],[V. 12 meses]]/Rapid[[#This Row],[Proj. de V. 12 meses]],"")</f>
        <v>0.64717425985797195</v>
      </c>
      <c r="AA15" s="22"/>
    </row>
    <row r="16" spans="1:27" x14ac:dyDescent="0.25">
      <c r="A16" s="22" t="str">
        <f>VLOOKUP(Rapid[[#This Row],[Código]],BD_Produto[#All],7,FALSE)</f>
        <v>Em linha</v>
      </c>
      <c r="B16" s="22" t="str">
        <f>IF(OR(Rapid[[#This Row],[Status]]="Em linha",Rapid[[#This Row],[Status]]="Materia Prima",Rapid[[#This Row],[Status]]="Componente"),"ok",IF(Rapid[[#This Row],[Estoque+Importação]]&lt;1,"Tirar","ok"))</f>
        <v>ok</v>
      </c>
      <c r="C16" s="23">
        <v>33060114825</v>
      </c>
      <c r="D16" s="22" t="s">
        <v>1230</v>
      </c>
      <c r="E16" s="22" t="str">
        <f>VLOOKUP(Rapid[[#This Row],[Código]],BD_Produto[],3,FALSE)</f>
        <v>Grampo</v>
      </c>
      <c r="F16" s="22" t="str">
        <f>VLOOKUP(Rapid[[#This Row],[Código]],BD_Produto[],4,FALSE)</f>
        <v>Grampeador Eletrico</v>
      </c>
      <c r="G16" s="24">
        <v>1080</v>
      </c>
      <c r="H16" s="25"/>
      <c r="I16" s="22"/>
      <c r="J16" s="24"/>
      <c r="K16" s="24" t="str">
        <f>IFERROR(VLOOKUP(Rapid[[#This Row],[Código]],Importação!P:R,3,FALSE),"")</f>
        <v/>
      </c>
      <c r="L16" s="24">
        <f>IFERROR(VLOOKUP(Rapid[[#This Row],[Código]],Saldo[],3,FALSE),0)</f>
        <v>1756</v>
      </c>
      <c r="M16" s="24">
        <f>SUM(Rapid[[#This Row],[Produção]:[Estoque]])</f>
        <v>1756</v>
      </c>
      <c r="N16" s="24">
        <f>IFERROR(Rapid[[#This Row],[Estoque+Importação]]/Rapid[[#This Row],[Proj. de V. No prox. mes]],"Sem Projeção")</f>
        <v>50.076045627376423</v>
      </c>
      <c r="O16" s="24">
        <f>IF(OR(Rapid[[#This Row],[Status]]="Em Linha",Rapid[[#This Row],[Status]]="Componente",Rapid[[#This Row],[Status]]="Materia Prima"),Rapid[[#This Row],[Proj. de V. No prox. mes]]*10,"-")</f>
        <v>350.66666666666669</v>
      </c>
      <c r="P16" s="34">
        <f>IF(OR(Rapid[[#This Row],[Status]]="Em Linha",Rapid[[#This Row],[Status]]="Componente",Rapid[[#This Row],[Status]]="Materia Prima"),Rapid[[#This Row],[estoque 10 meses]]-Rapid[[#This Row],[Estoque+Importação]],0)</f>
        <v>-1405.3333333333333</v>
      </c>
      <c r="Q16" s="75">
        <f>VLOOKUP(Rapid[[#This Row],[Código]],Projeção[#All],15,FALSE)</f>
        <v>35.06666666666667</v>
      </c>
      <c r="R16" s="39">
        <f>VLOOKUP(Rapid[[#This Row],[Código]],Projeção[#All],14,FALSE)</f>
        <v>39.199999999999996</v>
      </c>
      <c r="S16" s="39">
        <f>IFERROR(VLOOKUP(Rapid[[#This Row],[Código]],Venda_mes[],2,FALSE),0)</f>
        <v>52</v>
      </c>
      <c r="T16" s="44">
        <f>IFERROR(Rapid[[#This Row],[V. No mes]]/Rapid[[#This Row],[Proj. de V. No mes]],"")</f>
        <v>1.3265306122448981</v>
      </c>
      <c r="U16" s="43">
        <f>VLOOKUP(Rapid[[#This Row],[Código]],Projeção[#All],14,FALSE)+VLOOKUP(Rapid[[#This Row],[Código]],Projeção[#All],13,FALSE)+VLOOKUP(Rapid[[#This Row],[Código]],Projeção[#All],12,FALSE)</f>
        <v>130.1</v>
      </c>
      <c r="V16" s="39">
        <f>IFERROR(VLOOKUP(Rapid[[#This Row],[Código]],Venda_3meses[],2,FALSE),0)</f>
        <v>100</v>
      </c>
      <c r="W16" s="44">
        <f>IFERROR(Rapid[[#This Row],[V. 3 meses]]/Rapid[[#This Row],[Proj. de V. 3 meses]],"")</f>
        <v>0.76863950807071491</v>
      </c>
      <c r="X1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508.86666666666667</v>
      </c>
      <c r="Y16" s="39">
        <f>IFERROR(VLOOKUP(Rapid[[#This Row],[Código]],Venda_12meses[],2,FALSE),0)</f>
        <v>344</v>
      </c>
      <c r="Z16" s="44">
        <f>IFERROR(Rapid[[#This Row],[V. 12 meses]]/Rapid[[#This Row],[Proj. de V. 12 meses]],"")</f>
        <v>0.67601205292807542</v>
      </c>
      <c r="AA16" s="22"/>
    </row>
    <row r="17" spans="1:27" x14ac:dyDescent="0.25">
      <c r="A17" s="22" t="str">
        <f>VLOOKUP(Rapid[[#This Row],[Código]],BD_Produto[#All],7,FALSE)</f>
        <v>Em linha</v>
      </c>
      <c r="B17" s="22" t="str">
        <f>IF(OR(Rapid[[#This Row],[Status]]="Em linha",Rapid[[#This Row],[Status]]="Materia Prima",Rapid[[#This Row],[Status]]="Componente"),"ok",IF(Rapid[[#This Row],[Estoque+Importação]]&lt;1,"Tirar","ok"))</f>
        <v>ok</v>
      </c>
      <c r="C17" s="23">
        <v>33060114994</v>
      </c>
      <c r="D17" s="22" t="s">
        <v>179</v>
      </c>
      <c r="E17" s="22" t="str">
        <f>VLOOKUP(Rapid[[#This Row],[Código]],BD_Produto[],3,FALSE)</f>
        <v>Grampeador de Mesa</v>
      </c>
      <c r="F17" s="22" t="str">
        <f>VLOOKUP(Rapid[[#This Row],[Código]],BD_Produto[],4,FALSE)</f>
        <v>Grampeador de Mesa</v>
      </c>
      <c r="G17" s="24"/>
      <c r="H17" s="25"/>
      <c r="I17" s="22"/>
      <c r="J17" s="24"/>
      <c r="K17" s="24" t="str">
        <f>IFERROR(VLOOKUP(Rapid[[#This Row],[Código]],Importação!P:R,3,FALSE),"")</f>
        <v/>
      </c>
      <c r="L17" s="24">
        <f>IFERROR(VLOOKUP(Rapid[[#This Row],[Código]],Saldo[],3,FALSE),0)</f>
        <v>3363</v>
      </c>
      <c r="M17" s="24">
        <f>SUM(Rapid[[#This Row],[Produção]:[Estoque]])</f>
        <v>3363</v>
      </c>
      <c r="N17" s="24">
        <f>IFERROR(Rapid[[#This Row],[Estoque+Importação]]/Rapid[[#This Row],[Proj. de V. No prox. mes]],"Sem Projeção")</f>
        <v>19.439306358381508</v>
      </c>
      <c r="O17" s="24">
        <f>IF(OR(Rapid[[#This Row],[Status]]="Em Linha",Rapid[[#This Row],[Status]]="Componente",Rapid[[#This Row],[Status]]="Materia Prima"),Rapid[[#This Row],[Proj. de V. No prox. mes]]*10,"-")</f>
        <v>1729.9999999999998</v>
      </c>
      <c r="P17" s="34">
        <f>IF(OR(Rapid[[#This Row],[Status]]="Em Linha",Rapid[[#This Row],[Status]]="Componente",Rapid[[#This Row],[Status]]="Materia Prima"),Rapid[[#This Row],[estoque 10 meses]]-Rapid[[#This Row],[Estoque+Importação]],0)</f>
        <v>-1633.0000000000002</v>
      </c>
      <c r="Q17" s="75">
        <f>VLOOKUP(Rapid[[#This Row],[Código]],Projeção[#All],15,FALSE)</f>
        <v>172.99999999999997</v>
      </c>
      <c r="R17" s="39">
        <f>VLOOKUP(Rapid[[#This Row],[Código]],Projeção[#All],14,FALSE)</f>
        <v>95.766666666666666</v>
      </c>
      <c r="S17" s="39">
        <f>IFERROR(VLOOKUP(Rapid[[#This Row],[Código]],Venda_mes[],2,FALSE),0)</f>
        <v>126</v>
      </c>
      <c r="T17" s="44">
        <f>IFERROR(Rapid[[#This Row],[V. No mes]]/Rapid[[#This Row],[Proj. de V. No mes]],"")</f>
        <v>1.3156978767838496</v>
      </c>
      <c r="U17" s="43">
        <f>VLOOKUP(Rapid[[#This Row],[Código]],Projeção[#All],14,FALSE)+VLOOKUP(Rapid[[#This Row],[Código]],Projeção[#All],13,FALSE)+VLOOKUP(Rapid[[#This Row],[Código]],Projeção[#All],12,FALSE)</f>
        <v>254.26666666666665</v>
      </c>
      <c r="V17" s="39">
        <f>IFERROR(VLOOKUP(Rapid[[#This Row],[Código]],Venda_3meses[],2,FALSE),0)</f>
        <v>494</v>
      </c>
      <c r="W17" s="44">
        <f>IFERROR(Rapid[[#This Row],[V. 3 meses]]/Rapid[[#This Row],[Proj. de V. 3 meses]],"")</f>
        <v>1.9428421604614579</v>
      </c>
      <c r="X1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1142</v>
      </c>
      <c r="Y17" s="39">
        <f>IFERROR(VLOOKUP(Rapid[[#This Row],[Código]],Venda_12meses[],2,FALSE),0)</f>
        <v>1424</v>
      </c>
      <c r="Z17" s="44">
        <f>IFERROR(Rapid[[#This Row],[V. 12 meses]]/Rapid[[#This Row],[Proj. de V. 12 meses]],"")</f>
        <v>1.2469352014010509</v>
      </c>
      <c r="AA17" s="22">
        <v>21820801</v>
      </c>
    </row>
    <row r="18" spans="1:27" x14ac:dyDescent="0.25">
      <c r="A18" s="22" t="str">
        <f>VLOOKUP(Rapid[[#This Row],[Código]],BD_Produto[#All],7,FALSE)</f>
        <v>Em linha</v>
      </c>
      <c r="B18" s="22" t="str">
        <f>IF(OR(Rapid[[#This Row],[Status]]="Em linha",Rapid[[#This Row],[Status]]="Materia Prima",Rapid[[#This Row],[Status]]="Componente"),"ok",IF(Rapid[[#This Row],[Estoque+Importação]]&lt;1,"Tirar","ok"))</f>
        <v>ok</v>
      </c>
      <c r="C18" s="23">
        <v>33060114488</v>
      </c>
      <c r="D18" s="22" t="s">
        <v>147</v>
      </c>
      <c r="E18" s="22" t="str">
        <f>VLOOKUP(Rapid[[#This Row],[Código]],BD_Produto[],3,FALSE)</f>
        <v>Grampeador Eletrico</v>
      </c>
      <c r="F18" s="22" t="str">
        <f>VLOOKUP(Rapid[[#This Row],[Código]],BD_Produto[],4,FALSE)</f>
        <v>Grampeador Eletrico</v>
      </c>
      <c r="G18" s="24"/>
      <c r="H18" s="25"/>
      <c r="I18" s="22"/>
      <c r="J18" s="24"/>
      <c r="K18" s="24" t="str">
        <f>IFERROR(VLOOKUP(Rapid[[#This Row],[Código]],Importação!P:R,3,FALSE),"")</f>
        <v/>
      </c>
      <c r="L18" s="24">
        <f>IFERROR(VLOOKUP(Rapid[[#This Row],[Código]],Saldo[],3,FALSE),0)</f>
        <v>291</v>
      </c>
      <c r="M18" s="24">
        <f>SUM(Rapid[[#This Row],[Produção]:[Estoque]])</f>
        <v>291</v>
      </c>
      <c r="N18" s="24">
        <f>IFERROR(Rapid[[#This Row],[Estoque+Importação]]/Rapid[[#This Row],[Proj. de V. No prox. mes]],"Sem Projeção")</f>
        <v>70.403225806451601</v>
      </c>
      <c r="O18" s="24">
        <f>IF(OR(Rapid[[#This Row],[Status]]="Em Linha",Rapid[[#This Row],[Status]]="Componente",Rapid[[#This Row],[Status]]="Materia Prima"),Rapid[[#This Row],[Proj. de V. No prox. mes]]*10,"-")</f>
        <v>41.333333333333336</v>
      </c>
      <c r="P18" s="34">
        <f>IF(OR(Rapid[[#This Row],[Status]]="Em Linha",Rapid[[#This Row],[Status]]="Componente",Rapid[[#This Row],[Status]]="Materia Prima"),Rapid[[#This Row],[estoque 10 meses]]-Rapid[[#This Row],[Estoque+Importação]],0)</f>
        <v>-249.66666666666666</v>
      </c>
      <c r="Q18" s="83">
        <f>VLOOKUP(Rapid[[#This Row],[Código]],Projeção[#All],15,FALSE)</f>
        <v>4.1333333333333337</v>
      </c>
      <c r="R18" s="38">
        <f>VLOOKUP(Rapid[[#This Row],[Código]],Projeção[#All],14,FALSE)</f>
        <v>6.2</v>
      </c>
      <c r="S18" s="39">
        <f>IFERROR(VLOOKUP(Rapid[[#This Row],[Código]],Venda_mes[],2,FALSE),0)</f>
        <v>4</v>
      </c>
      <c r="T18" s="40">
        <f>IFERROR(Rapid[[#This Row],[V. No mes]]/Rapid[[#This Row],[Proj. de V. No mes]],"")</f>
        <v>0.64516129032258063</v>
      </c>
      <c r="U18" s="39">
        <f>VLOOKUP(Rapid[[#This Row],[Código]],Projeção[#All],14,FALSE)+VLOOKUP(Rapid[[#This Row],[Código]],Projeção[#All],13,FALSE)+VLOOKUP(Rapid[[#This Row],[Código]],Projeção[#All],12,FALSE)</f>
        <v>9.2666666666666657</v>
      </c>
      <c r="V18" s="39">
        <f>IFERROR(VLOOKUP(Rapid[[#This Row],[Código]],Venda_3meses[],2,FALSE),0)</f>
        <v>11</v>
      </c>
      <c r="W18" s="45">
        <f>IFERROR(Rapid[[#This Row],[V. 3 meses]]/Rapid[[#This Row],[Proj. de V. 3 meses]],"")</f>
        <v>1.1870503597122304</v>
      </c>
      <c r="X18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26.5</v>
      </c>
      <c r="Y18" s="39">
        <f>IFERROR(VLOOKUP(Rapid[[#This Row],[Código]],Venda_12meses[],2,FALSE),0)</f>
        <v>46</v>
      </c>
      <c r="Z18" s="45">
        <f>IFERROR(Rapid[[#This Row],[V. 12 meses]]/Rapid[[#This Row],[Proj. de V. 12 meses]],"")</f>
        <v>1.7358490566037736</v>
      </c>
      <c r="AA18" s="22"/>
    </row>
    <row r="19" spans="1:27" x14ac:dyDescent="0.25">
      <c r="A19" s="22" t="str">
        <f>VLOOKUP(Rapid[[#This Row],[Código]],BD_Produto[#All],7,FALSE)</f>
        <v>Em linha</v>
      </c>
      <c r="B19" s="22" t="str">
        <f>IF(OR(Rapid[[#This Row],[Status]]="Em linha",Rapid[[#This Row],[Status]]="Materia Prima",Rapid[[#This Row],[Status]]="Componente"),"ok",IF(Rapid[[#This Row],[Estoque+Importação]]&lt;1,"Tirar","ok"))</f>
        <v>ok</v>
      </c>
      <c r="C19" s="23">
        <v>33060160520</v>
      </c>
      <c r="D19" s="22" t="s">
        <v>189</v>
      </c>
      <c r="E19" s="22" t="str">
        <f>VLOOKUP(Rapid[[#This Row],[Código]],BD_Produto[],3,FALSE)</f>
        <v>Grampeador Heavy Duty</v>
      </c>
      <c r="F19" s="22" t="str">
        <f>VLOOKUP(Rapid[[#This Row],[Código]],BD_Produto[],4,FALSE)</f>
        <v>Grampeador Heavy Duty</v>
      </c>
      <c r="G19" s="24">
        <v>10</v>
      </c>
      <c r="H19" s="25"/>
      <c r="I19" s="22"/>
      <c r="J19" s="24"/>
      <c r="K19" s="24" t="str">
        <f>IFERROR(VLOOKUP(Rapid[[#This Row],[Código]],Importação!P:R,3,FALSE),"")</f>
        <v/>
      </c>
      <c r="L19" s="24">
        <f>IFERROR(VLOOKUP(Rapid[[#This Row],[Código]],Saldo[],3,FALSE),0)</f>
        <v>1748</v>
      </c>
      <c r="M19" s="24">
        <f>SUM(Rapid[[#This Row],[Produção]:[Estoque]])</f>
        <v>1748</v>
      </c>
      <c r="N19" s="24">
        <f>IFERROR(Rapid[[#This Row],[Estoque+Importação]]/Rapid[[#This Row],[Proj. de V. No prox. mes]],"Sem Projeção")</f>
        <v>103.84158415841586</v>
      </c>
      <c r="O19" s="24">
        <f>IF(OR(Rapid[[#This Row],[Status]]="Em Linha",Rapid[[#This Row],[Status]]="Componente",Rapid[[#This Row],[Status]]="Materia Prima"),Rapid[[#This Row],[Proj. de V. No prox. mes]]*10,"-")</f>
        <v>168.33333333333331</v>
      </c>
      <c r="P19" s="34">
        <f>IF(OR(Rapid[[#This Row],[Status]]="Em Linha",Rapid[[#This Row],[Status]]="Componente",Rapid[[#This Row],[Status]]="Materia Prima"),Rapid[[#This Row],[estoque 10 meses]]-Rapid[[#This Row],[Estoque+Importação]],0)</f>
        <v>-1579.6666666666667</v>
      </c>
      <c r="Q19" s="83">
        <f>VLOOKUP(Rapid[[#This Row],[Código]],Projeção[#All],15,FALSE)</f>
        <v>16.833333333333332</v>
      </c>
      <c r="R19" s="38">
        <f>VLOOKUP(Rapid[[#This Row],[Código]],Projeção[#All],14,FALSE)</f>
        <v>18.399999999999999</v>
      </c>
      <c r="S19" s="39">
        <f>IFERROR(VLOOKUP(Rapid[[#This Row],[Código]],Venda_mes[],2,FALSE),0)</f>
        <v>10</v>
      </c>
      <c r="T19" s="40">
        <f>IFERROR(Rapid[[#This Row],[V. No mes]]/Rapid[[#This Row],[Proj. de V. No mes]],"")</f>
        <v>0.5434782608695653</v>
      </c>
      <c r="U19" s="39">
        <f>VLOOKUP(Rapid[[#This Row],[Código]],Projeção[#All],14,FALSE)+VLOOKUP(Rapid[[#This Row],[Código]],Projeção[#All],13,FALSE)+VLOOKUP(Rapid[[#This Row],[Código]],Projeção[#All],12,FALSE)</f>
        <v>45.93333333333333</v>
      </c>
      <c r="V19" s="39">
        <f>IFERROR(VLOOKUP(Rapid[[#This Row],[Código]],Venda_3meses[],2,FALSE),0)</f>
        <v>53</v>
      </c>
      <c r="W19" s="45">
        <f>IFERROR(Rapid[[#This Row],[V. 3 meses]]/Rapid[[#This Row],[Proj. de V. 3 meses]],"")</f>
        <v>1.153846153846154</v>
      </c>
      <c r="X19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365.36666666666662</v>
      </c>
      <c r="Y19" s="39">
        <f>IFERROR(VLOOKUP(Rapid[[#This Row],[Código]],Venda_12meses[],2,FALSE),0)</f>
        <v>169</v>
      </c>
      <c r="Z19" s="45">
        <f>IFERROR(Rapid[[#This Row],[V. 12 meses]]/Rapid[[#This Row],[Proj. de V. 12 meses]],"")</f>
        <v>0.46254903749657883</v>
      </c>
      <c r="AA19" s="22"/>
    </row>
    <row r="20" spans="1:27" x14ac:dyDescent="0.25">
      <c r="A20" s="22" t="str">
        <f>VLOOKUP(Rapid[[#This Row],[Código]],BD_Produto[#All],7,FALSE)</f>
        <v>Em linha</v>
      </c>
      <c r="B20" s="22" t="str">
        <f>IF(OR(Rapid[[#This Row],[Status]]="Em linha",Rapid[[#This Row],[Status]]="Materia Prima",Rapid[[#This Row],[Status]]="Componente"),"ok",IF(Rapid[[#This Row],[Estoque+Importação]]&lt;1,"Tirar","ok"))</f>
        <v>ok</v>
      </c>
      <c r="C20" s="23">
        <v>33060160287</v>
      </c>
      <c r="D20" s="22" t="s">
        <v>183</v>
      </c>
      <c r="E20" s="22" t="str">
        <f>VLOOKUP(Rapid[[#This Row],[Código]],BD_Produto[],3,FALSE)</f>
        <v>Grampeador Eletrico</v>
      </c>
      <c r="F20" s="22" t="str">
        <f>VLOOKUP(Rapid[[#This Row],[Código]],BD_Produto[],4,FALSE)</f>
        <v>Grampeador Eletrico</v>
      </c>
      <c r="G20" s="24"/>
      <c r="H20" s="25"/>
      <c r="I20" s="22"/>
      <c r="J20" s="24"/>
      <c r="K20" s="24" t="str">
        <f>IFERROR(VLOOKUP(Rapid[[#This Row],[Código]],Importação!P:R,3,FALSE),"")</f>
        <v/>
      </c>
      <c r="L20" s="24">
        <f>IFERROR(VLOOKUP(Rapid[[#This Row],[Código]],Saldo[],3,FALSE),0)</f>
        <v>89</v>
      </c>
      <c r="M20" s="24">
        <f>SUM(Rapid[[#This Row],[Produção]:[Estoque]])</f>
        <v>89</v>
      </c>
      <c r="N20" s="24">
        <f>IFERROR(Rapid[[#This Row],[Estoque+Importação]]/Rapid[[#This Row],[Proj. de V. No prox. mes]],"Sem Projeção")</f>
        <v>133.50000000000003</v>
      </c>
      <c r="O20" s="24">
        <f>IF(OR(Rapid[[#This Row],[Status]]="Em Linha",Rapid[[#This Row],[Status]]="Componente",Rapid[[#This Row],[Status]]="Materia Prima"),Rapid[[#This Row],[Proj. de V. No prox. mes]]*10,"-")</f>
        <v>6.6666666666666652</v>
      </c>
      <c r="P20" s="34">
        <f>IF(OR(Rapid[[#This Row],[Status]]="Em Linha",Rapid[[#This Row],[Status]]="Componente",Rapid[[#This Row],[Status]]="Materia Prima"),Rapid[[#This Row],[estoque 10 meses]]-Rapid[[#This Row],[Estoque+Importação]],0)</f>
        <v>-82.333333333333329</v>
      </c>
      <c r="Q20" s="83">
        <f>VLOOKUP(Rapid[[#This Row],[Código]],Projeção[#All],15,FALSE)</f>
        <v>0.66666666666666652</v>
      </c>
      <c r="R20" s="38">
        <f>VLOOKUP(Rapid[[#This Row],[Código]],Projeção[#All],14,FALSE)</f>
        <v>0.79999999999999993</v>
      </c>
      <c r="S20" s="39">
        <f>IFERROR(VLOOKUP(Rapid[[#This Row],[Código]],Venda_mes[],2,FALSE),0)</f>
        <v>0</v>
      </c>
      <c r="T20" s="40">
        <f>IFERROR(Rapid[[#This Row],[V. No mes]]/Rapid[[#This Row],[Proj. de V. No mes]],"")</f>
        <v>0</v>
      </c>
      <c r="U20" s="39">
        <f>VLOOKUP(Rapid[[#This Row],[Código]],Projeção[#All],14,FALSE)+VLOOKUP(Rapid[[#This Row],[Código]],Projeção[#All],13,FALSE)+VLOOKUP(Rapid[[#This Row],[Código]],Projeção[#All],12,FALSE)</f>
        <v>2.0333333333333332</v>
      </c>
      <c r="V20" s="39">
        <f>IFERROR(VLOOKUP(Rapid[[#This Row],[Código]],Venda_3meses[],2,FALSE),0)</f>
        <v>1</v>
      </c>
      <c r="W20" s="45">
        <f>IFERROR(Rapid[[#This Row],[V. 3 meses]]/Rapid[[#This Row],[Proj. de V. 3 meses]],"")</f>
        <v>0.49180327868852464</v>
      </c>
      <c r="X20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10.1</v>
      </c>
      <c r="Y20" s="39">
        <f>IFERROR(VLOOKUP(Rapid[[#This Row],[Código]],Venda_12meses[],2,FALSE),0)</f>
        <v>8</v>
      </c>
      <c r="Z20" s="45">
        <f>IFERROR(Rapid[[#This Row],[V. 12 meses]]/Rapid[[#This Row],[Proj. de V. 12 meses]],"")</f>
        <v>0.79207920792079212</v>
      </c>
      <c r="AA20" s="22">
        <v>20942901</v>
      </c>
    </row>
    <row r="21" spans="1:27" x14ac:dyDescent="0.25">
      <c r="A21" s="22" t="str">
        <f>VLOOKUP(Rapid[[#This Row],[Código]],BD_Produto[#All],7,FALSE)</f>
        <v>Em linha</v>
      </c>
      <c r="B21" s="22" t="str">
        <f>IF(OR(Rapid[[#This Row],[Status]]="Em linha",Rapid[[#This Row],[Status]]="Materia Prima",Rapid[[#This Row],[Status]]="Componente"),"ok",IF(Rapid[[#This Row],[Estoque+Importação]]&lt;1,"Tirar","ok"))</f>
        <v>ok</v>
      </c>
      <c r="C21" s="23">
        <v>33060114824</v>
      </c>
      <c r="D21" s="22" t="s">
        <v>1184</v>
      </c>
      <c r="E21" s="22" t="str">
        <f>VLOOKUP(Rapid[[#This Row],[Código]],BD_Produto[],3,FALSE)</f>
        <v>Grampeador de Mesa</v>
      </c>
      <c r="F21" s="22" t="str">
        <f>VLOOKUP(Rapid[[#This Row],[Código]],BD_Produto[],4,FALSE)</f>
        <v>Grampeador de Mesa</v>
      </c>
      <c r="G21" s="24"/>
      <c r="H21" s="25"/>
      <c r="I21" s="22"/>
      <c r="J21" s="24"/>
      <c r="K21" s="24" t="str">
        <f>IFERROR(VLOOKUP(Rapid[[#This Row],[Código]],Importação!P:R,3,FALSE),"")</f>
        <v/>
      </c>
      <c r="L21" s="24">
        <f>IFERROR(VLOOKUP(Rapid[[#This Row],[Código]],Saldo[],3,FALSE),0)</f>
        <v>381</v>
      </c>
      <c r="M21" s="24">
        <f>SUM(Rapid[[#This Row],[Produção]:[Estoque]])</f>
        <v>381</v>
      </c>
      <c r="N21" s="24">
        <f>IFERROR(Rapid[[#This Row],[Estoque+Importação]]/Rapid[[#This Row],[Proj. de V. No prox. mes]],"Sem Projeção")</f>
        <v>43.295454545454554</v>
      </c>
      <c r="O21" s="24">
        <f>IF(OR(Rapid[[#This Row],[Status]]="Em Linha",Rapid[[#This Row],[Status]]="Componente",Rapid[[#This Row],[Status]]="Materia Prima"),Rapid[[#This Row],[Proj. de V. No prox. mes]]*10,"-")</f>
        <v>87.999999999999986</v>
      </c>
      <c r="P21" s="34">
        <f>IF(OR(Rapid[[#This Row],[Status]]="Em Linha",Rapid[[#This Row],[Status]]="Componente",Rapid[[#This Row],[Status]]="Materia Prima"),Rapid[[#This Row],[estoque 10 meses]]-Rapid[[#This Row],[Estoque+Importação]],0)</f>
        <v>-293</v>
      </c>
      <c r="Q21" s="75">
        <f>VLOOKUP(Rapid[[#This Row],[Código]],Projeção[#All],15,FALSE)</f>
        <v>8.7999999999999989</v>
      </c>
      <c r="R21" s="39">
        <f>VLOOKUP(Rapid[[#This Row],[Código]],Projeção[#All],14,FALSE)</f>
        <v>4.333333333333333</v>
      </c>
      <c r="S21" s="39">
        <f>IFERROR(VLOOKUP(Rapid[[#This Row],[Código]],Venda_mes[],2,FALSE),0)</f>
        <v>0</v>
      </c>
      <c r="T21" s="44">
        <f>IFERROR(Rapid[[#This Row],[V. No mes]]/Rapid[[#This Row],[Proj. de V. No mes]],"")</f>
        <v>0</v>
      </c>
      <c r="U21" s="43">
        <f>VLOOKUP(Rapid[[#This Row],[Código]],Projeção[#All],14,FALSE)+VLOOKUP(Rapid[[#This Row],[Código]],Projeção[#All],13,FALSE)+VLOOKUP(Rapid[[#This Row],[Código]],Projeção[#All],12,FALSE)</f>
        <v>8.7333333333333343</v>
      </c>
      <c r="V21" s="39">
        <f>IFERROR(VLOOKUP(Rapid[[#This Row],[Código]],Venda_3meses[],2,FALSE),0)</f>
        <v>33</v>
      </c>
      <c r="W21" s="44">
        <f>IFERROR(Rapid[[#This Row],[V. 3 meses]]/Rapid[[#This Row],[Proj. de V. 3 meses]],"")</f>
        <v>3.778625954198473</v>
      </c>
      <c r="X2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60.5</v>
      </c>
      <c r="Y21" s="39">
        <f>IFERROR(VLOOKUP(Rapid[[#This Row],[Código]],Venda_12meses[],2,FALSE),0)</f>
        <v>56</v>
      </c>
      <c r="Z21" s="44">
        <f>IFERROR(Rapid[[#This Row],[V. 12 meses]]/Rapid[[#This Row],[Proj. de V. 12 meses]],"")</f>
        <v>0.92561983471074383</v>
      </c>
      <c r="AA21" s="22"/>
    </row>
    <row r="22" spans="1:27" x14ac:dyDescent="0.25">
      <c r="A22" s="22" t="str">
        <f>VLOOKUP(Rapid[[#This Row],[Código]],BD_Produto[#All],7,FALSE)</f>
        <v>Em linha</v>
      </c>
      <c r="B22" s="22" t="str">
        <f>IF(OR(Rapid[[#This Row],[Status]]="Em linha",Rapid[[#This Row],[Status]]="Materia Prima",Rapid[[#This Row],[Status]]="Componente"),"ok",IF(Rapid[[#This Row],[Estoque+Importação]]&lt;1,"Tirar","ok"))</f>
        <v>ok</v>
      </c>
      <c r="C22" s="23">
        <v>33070154053</v>
      </c>
      <c r="D22" s="22" t="s">
        <v>522</v>
      </c>
      <c r="E22" s="22" t="str">
        <f>VLOOKUP(Rapid[[#This Row],[Código]],BD_Produto[],3,FALSE)</f>
        <v>Grampeador Martelo</v>
      </c>
      <c r="F22" s="22" t="str">
        <f>VLOOKUP(Rapid[[#This Row],[Código]],BD_Produto[],4,FALSE)</f>
        <v>Grampeador Martelo</v>
      </c>
      <c r="G22" s="24"/>
      <c r="H22" s="25"/>
      <c r="I22" s="22"/>
      <c r="J22" s="24"/>
      <c r="K22" s="24" t="str">
        <f>IFERROR(VLOOKUP(Rapid[[#This Row],[Código]],Importação!P:R,3,FALSE),"")</f>
        <v/>
      </c>
      <c r="L22" s="24">
        <f>IFERROR(VLOOKUP(Rapid[[#This Row],[Código]],Saldo[],3,FALSE),0)</f>
        <v>222</v>
      </c>
      <c r="M22" s="24">
        <f>SUM(Rapid[[#This Row],[Produção]:[Estoque]])</f>
        <v>222</v>
      </c>
      <c r="N22" s="24">
        <f>IFERROR(Rapid[[#This Row],[Estoque+Importação]]/Rapid[[#This Row],[Proj. de V. No prox. mes]],"Sem Projeção")</f>
        <v>39.408284023668635</v>
      </c>
      <c r="O22" s="24">
        <f>IF(OR(Rapid[[#This Row],[Status]]="Em Linha",Rapid[[#This Row],[Status]]="Componente",Rapid[[#This Row],[Status]]="Materia Prima"),Rapid[[#This Row],[Proj. de V. No prox. mes]]*10,"-")</f>
        <v>56.333333333333336</v>
      </c>
      <c r="P22" s="34">
        <f>IF(OR(Rapid[[#This Row],[Status]]="Em Linha",Rapid[[#This Row],[Status]]="Componente",Rapid[[#This Row],[Status]]="Materia Prima"),Rapid[[#This Row],[estoque 10 meses]]-Rapid[[#This Row],[Estoque+Importação]],0)</f>
        <v>-165.66666666666666</v>
      </c>
      <c r="Q22" s="83">
        <f>VLOOKUP(Rapid[[#This Row],[Código]],Projeção[#All],15,FALSE)</f>
        <v>5.6333333333333337</v>
      </c>
      <c r="R22" s="38">
        <f>VLOOKUP(Rapid[[#This Row],[Código]],Projeção[#All],14,FALSE)</f>
        <v>2.6666666666666665</v>
      </c>
      <c r="S22" s="39">
        <f>IFERROR(VLOOKUP(Rapid[[#This Row],[Código]],Venda_mes[],2,FALSE),0)</f>
        <v>15</v>
      </c>
      <c r="T22" s="40">
        <f>IFERROR(Rapid[[#This Row],[V. No mes]]/Rapid[[#This Row],[Proj. de V. No mes]],"")</f>
        <v>5.625</v>
      </c>
      <c r="U22" s="39">
        <f>VLOOKUP(Rapid[[#This Row],[Código]],Projeção[#All],14,FALSE)+VLOOKUP(Rapid[[#This Row],[Código]],Projeção[#All],13,FALSE)+VLOOKUP(Rapid[[#This Row],[Código]],Projeção[#All],12,FALSE)</f>
        <v>13.333333333333334</v>
      </c>
      <c r="V22" s="39">
        <f>IFERROR(VLOOKUP(Rapid[[#This Row],[Código]],Venda_3meses[],2,FALSE),0)</f>
        <v>17</v>
      </c>
      <c r="W22" s="45">
        <f>IFERROR(Rapid[[#This Row],[V. 3 meses]]/Rapid[[#This Row],[Proj. de V. 3 meses]],"")</f>
        <v>1.2749999999999999</v>
      </c>
      <c r="X22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46.333333333333321</v>
      </c>
      <c r="Y22" s="39">
        <f>IFERROR(VLOOKUP(Rapid[[#This Row],[Código]],Venda_12meses[],2,FALSE),0)</f>
        <v>47</v>
      </c>
      <c r="Z22" s="45">
        <f>IFERROR(Rapid[[#This Row],[V. 12 meses]]/Rapid[[#This Row],[Proj. de V. 12 meses]],"")</f>
        <v>1.0143884892086334</v>
      </c>
      <c r="AA22" s="22" t="s">
        <v>1696</v>
      </c>
    </row>
    <row r="23" spans="1:27" x14ac:dyDescent="0.25">
      <c r="A23" s="22" t="str">
        <f>VLOOKUP(Rapid[[#This Row],[Código]],BD_Produto[#All],7,FALSE)</f>
        <v>Em linha</v>
      </c>
      <c r="B23" s="22" t="str">
        <f>IF(OR(Rapid[[#This Row],[Status]]="Em linha",Rapid[[#This Row],[Status]]="Materia Prima",Rapid[[#This Row],[Status]]="Componente"),"ok",IF(Rapid[[#This Row],[Estoque+Importação]]&lt;1,"Tirar","ok"))</f>
        <v>ok</v>
      </c>
      <c r="C23" s="23">
        <v>33060514990</v>
      </c>
      <c r="D23" s="22" t="s">
        <v>316</v>
      </c>
      <c r="E23" s="22" t="str">
        <f>VLOOKUP(Rapid[[#This Row],[Código]],BD_Produto[],3,FALSE)</f>
        <v>Grampo</v>
      </c>
      <c r="F23" s="22" t="str">
        <f>VLOOKUP(Rapid[[#This Row],[Código]],BD_Produto[],4,FALSE)</f>
        <v>Grampeador de Mesa</v>
      </c>
      <c r="G23" s="24"/>
      <c r="H23" s="25"/>
      <c r="I23" s="22"/>
      <c r="J23" s="24"/>
      <c r="K23" s="24" t="str">
        <f>IFERROR(VLOOKUP(Rapid[[#This Row],[Código]],Importação!P:R,3,FALSE),"")</f>
        <v/>
      </c>
      <c r="L23" s="24">
        <f>IFERROR(VLOOKUP(Rapid[[#This Row],[Código]],Saldo[],3,FALSE),0)</f>
        <v>33937</v>
      </c>
      <c r="M23" s="24">
        <f>SUM(Rapid[[#This Row],[Produção]:[Estoque]])</f>
        <v>33937</v>
      </c>
      <c r="N23" s="24">
        <f>IFERROR(Rapid[[#This Row],[Estoque+Importação]]/Rapid[[#This Row],[Proj. de V. No prox. mes]],"Sem Projeção")</f>
        <v>333.04219823356232</v>
      </c>
      <c r="O23" s="24">
        <f>IF(OR(Rapid[[#This Row],[Status]]="Em Linha",Rapid[[#This Row],[Status]]="Componente",Rapid[[#This Row],[Status]]="Materia Prima"),Rapid[[#This Row],[Proj. de V. No prox. mes]]*10,"-")</f>
        <v>1019</v>
      </c>
      <c r="P23" s="34">
        <f>IF(OR(Rapid[[#This Row],[Status]]="Em Linha",Rapid[[#This Row],[Status]]="Componente",Rapid[[#This Row],[Status]]="Materia Prima"),Rapid[[#This Row],[estoque 10 meses]]-Rapid[[#This Row],[Estoque+Importação]],0)</f>
        <v>-32918</v>
      </c>
      <c r="Q23" s="83">
        <f>VLOOKUP(Rapid[[#This Row],[Código]],Projeção[#All],15,FALSE)</f>
        <v>101.9</v>
      </c>
      <c r="R23" s="38">
        <f>VLOOKUP(Rapid[[#This Row],[Código]],Projeção[#All],14,FALSE)</f>
        <v>376.1</v>
      </c>
      <c r="S23" s="39">
        <f>IFERROR(VLOOKUP(Rapid[[#This Row],[Código]],Venda_mes[],2,FALSE),0)</f>
        <v>0</v>
      </c>
      <c r="T23" s="40">
        <f>IFERROR(Rapid[[#This Row],[V. No mes]]/Rapid[[#This Row],[Proj. de V. No mes]],"")</f>
        <v>0</v>
      </c>
      <c r="U23" s="39">
        <f>VLOOKUP(Rapid[[#This Row],[Código]],Projeção[#All],14,FALSE)+VLOOKUP(Rapid[[#This Row],[Código]],Projeção[#All],13,FALSE)+VLOOKUP(Rapid[[#This Row],[Código]],Projeção[#All],12,FALSE)</f>
        <v>891.93333333333339</v>
      </c>
      <c r="V23" s="39">
        <f>IFERROR(VLOOKUP(Rapid[[#This Row],[Código]],Venda_3meses[],2,FALSE),0)</f>
        <v>150</v>
      </c>
      <c r="W23" s="45">
        <f>IFERROR(Rapid[[#This Row],[V. 3 meses]]/Rapid[[#This Row],[Proj. de V. 3 meses]],"")</f>
        <v>0.16817400403617608</v>
      </c>
      <c r="X23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1248.8666666666666</v>
      </c>
      <c r="Y23" s="39">
        <f>IFERROR(VLOOKUP(Rapid[[#This Row],[Código]],Venda_12meses[],2,FALSE),0)</f>
        <v>1987</v>
      </c>
      <c r="Z23" s="45">
        <f>IFERROR(Rapid[[#This Row],[V. 12 meses]]/Rapid[[#This Row],[Proj. de V. 12 meses]],"")</f>
        <v>1.5910425452410186</v>
      </c>
      <c r="AA23" s="22"/>
    </row>
    <row r="24" spans="1:27" x14ac:dyDescent="0.25">
      <c r="A24" s="22" t="str">
        <f>VLOOKUP(Rapid[[#This Row],[Código]],BD_Produto[#All],7,FALSE)</f>
        <v>Em linha</v>
      </c>
      <c r="B24" s="22" t="str">
        <f>IF(OR(Rapid[[#This Row],[Status]]="Em linha",Rapid[[#This Row],[Status]]="Materia Prima",Rapid[[#This Row],[Status]]="Componente"),"ok",IF(Rapid[[#This Row],[Estoque+Importação]]&lt;1,"Tirar","ok"))</f>
        <v>ok</v>
      </c>
      <c r="C24" s="23">
        <v>33070114128</v>
      </c>
      <c r="D24" s="22" t="s">
        <v>491</v>
      </c>
      <c r="E24" s="22" t="str">
        <f>VLOOKUP(Rapid[[#This Row],[Código]],BD_Produto[],3,FALSE)</f>
        <v>Grampeador Pistola</v>
      </c>
      <c r="F24" s="22" t="str">
        <f>VLOOKUP(Rapid[[#This Row],[Código]],BD_Produto[],4,FALSE)</f>
        <v>Grampeador Pistola</v>
      </c>
      <c r="G24" s="24">
        <v>5</v>
      </c>
      <c r="H24" s="25"/>
      <c r="I24" s="22"/>
      <c r="J24" s="24"/>
      <c r="K24" s="24" t="str">
        <f>IFERROR(VLOOKUP(Rapid[[#This Row],[Código]],Importação!P:R,3,FALSE),"")</f>
        <v/>
      </c>
      <c r="L24" s="24">
        <f>IFERROR(VLOOKUP(Rapid[[#This Row],[Código]],Saldo[],3,FALSE),0)</f>
        <v>318</v>
      </c>
      <c r="M24" s="24">
        <f>SUM(Rapid[[#This Row],[Produção]:[Estoque]])</f>
        <v>318</v>
      </c>
      <c r="N24" s="24">
        <f>IFERROR(Rapid[[#This Row],[Estoque+Importação]]/Rapid[[#This Row],[Proj. de V. No prox. mes]],"Sem Projeção")</f>
        <v>477.00000000000011</v>
      </c>
      <c r="O24" s="24">
        <f>IF(OR(Rapid[[#This Row],[Status]]="Em Linha",Rapid[[#This Row],[Status]]="Componente",Rapid[[#This Row],[Status]]="Materia Prima"),Rapid[[#This Row],[Proj. de V. No prox. mes]]*10,"-")</f>
        <v>6.6666666666666652</v>
      </c>
      <c r="P24" s="34">
        <f>IF(OR(Rapid[[#This Row],[Status]]="Em Linha",Rapid[[#This Row],[Status]]="Componente",Rapid[[#This Row],[Status]]="Materia Prima"),Rapid[[#This Row],[estoque 10 meses]]-Rapid[[#This Row],[Estoque+Importação]],0)</f>
        <v>-311.33333333333331</v>
      </c>
      <c r="Q24" s="83">
        <f>VLOOKUP(Rapid[[#This Row],[Código]],Projeção[#All],15,FALSE)</f>
        <v>0.66666666666666652</v>
      </c>
      <c r="R24" s="38">
        <f>VLOOKUP(Rapid[[#This Row],[Código]],Projeção[#All],14,FALSE)</f>
        <v>3.2666666666666662</v>
      </c>
      <c r="S24" s="39">
        <f>IFERROR(VLOOKUP(Rapid[[#This Row],[Código]],Venda_mes[],2,FALSE),0)</f>
        <v>0</v>
      </c>
      <c r="T24" s="40">
        <f>IFERROR(Rapid[[#This Row],[V. No mes]]/Rapid[[#This Row],[Proj. de V. No mes]],"")</f>
        <v>0</v>
      </c>
      <c r="U24" s="39">
        <f>VLOOKUP(Rapid[[#This Row],[Código]],Projeção[#All],14,FALSE)+VLOOKUP(Rapid[[#This Row],[Código]],Projeção[#All],13,FALSE)+VLOOKUP(Rapid[[#This Row],[Código]],Projeção[#All],12,FALSE)</f>
        <v>10.566666666666666</v>
      </c>
      <c r="V24" s="39">
        <f>IFERROR(VLOOKUP(Rapid[[#This Row],[Código]],Venda_3meses[],2,FALSE),0)</f>
        <v>2</v>
      </c>
      <c r="W24" s="45">
        <f>IFERROR(Rapid[[#This Row],[V. 3 meses]]/Rapid[[#This Row],[Proj. de V. 3 meses]],"")</f>
        <v>0.18927444794952683</v>
      </c>
      <c r="X24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35.133333333333333</v>
      </c>
      <c r="Y24" s="39">
        <f>IFERROR(VLOOKUP(Rapid[[#This Row],[Código]],Venda_12meses[],2,FALSE),0)</f>
        <v>8</v>
      </c>
      <c r="Z24" s="45">
        <f>IFERROR(Rapid[[#This Row],[V. 12 meses]]/Rapid[[#This Row],[Proj. de V. 12 meses]],"")</f>
        <v>0.22770398481973436</v>
      </c>
      <c r="AA24" s="22"/>
    </row>
    <row r="25" spans="1:27" x14ac:dyDescent="0.25">
      <c r="A25" s="22" t="str">
        <f>VLOOKUP(Rapid[[#This Row],[Código]],BD_Produto[#All],7,FALSE)</f>
        <v>Em linha</v>
      </c>
      <c r="B25" s="22" t="str">
        <f>IF(OR(Rapid[[#This Row],[Status]]="Em linha",Rapid[[#This Row],[Status]]="Materia Prima",Rapid[[#This Row],[Status]]="Componente"),"ok",IF(Rapid[[#This Row],[Estoque+Importação]]&lt;1,"Tirar","ok"))</f>
        <v>ok</v>
      </c>
      <c r="C25" s="23">
        <v>33070114788</v>
      </c>
      <c r="D25" s="22" t="s">
        <v>496</v>
      </c>
      <c r="E25" s="22" t="str">
        <f>VLOOKUP(Rapid[[#This Row],[Código]],BD_Produto[],3,FALSE)</f>
        <v>Grampeador Pistola</v>
      </c>
      <c r="F25" s="22" t="str">
        <f>VLOOKUP(Rapid[[#This Row],[Código]],BD_Produto[],4,FALSE)</f>
        <v>Grampeador Pistola</v>
      </c>
      <c r="G25" s="24">
        <v>10000</v>
      </c>
      <c r="H25" s="25"/>
      <c r="I25" s="22"/>
      <c r="J25" s="24"/>
      <c r="K25" s="24" t="str">
        <f>IFERROR(VLOOKUP(Rapid[[#This Row],[Código]],Importação!P:R,3,FALSE),"")</f>
        <v/>
      </c>
      <c r="L25" s="24">
        <f>IFERROR(VLOOKUP(Rapid[[#This Row],[Código]],Saldo[],3,FALSE),0)</f>
        <v>12405</v>
      </c>
      <c r="M25" s="24">
        <f>SUM(Rapid[[#This Row],[Produção]:[Estoque]])</f>
        <v>12405</v>
      </c>
      <c r="N25" s="24">
        <f>IFERROR(Rapid[[#This Row],[Estoque+Importação]]/Rapid[[#This Row],[Proj. de V. No prox. mes]],"Sem Projeção")</f>
        <v>354.42857142857144</v>
      </c>
      <c r="O25" s="24">
        <f>IF(OR(Rapid[[#This Row],[Status]]="Em Linha",Rapid[[#This Row],[Status]]="Componente",Rapid[[#This Row],[Status]]="Materia Prima"),Rapid[[#This Row],[Proj. de V. No prox. mes]]*10,"-")</f>
        <v>350</v>
      </c>
      <c r="P25" s="34">
        <f>IF(OR(Rapid[[#This Row],[Status]]="Em Linha",Rapid[[#This Row],[Status]]="Componente",Rapid[[#This Row],[Status]]="Materia Prima"),Rapid[[#This Row],[estoque 10 meses]]-Rapid[[#This Row],[Estoque+Importação]],0)</f>
        <v>-12055</v>
      </c>
      <c r="Q25" s="83">
        <f>VLOOKUP(Rapid[[#This Row],[Código]],Projeção[#All],15,FALSE)</f>
        <v>35</v>
      </c>
      <c r="R25" s="38">
        <f>VLOOKUP(Rapid[[#This Row],[Código]],Projeção[#All],14,FALSE)</f>
        <v>70.099999999999994</v>
      </c>
      <c r="S25" s="39">
        <f>IFERROR(VLOOKUP(Rapid[[#This Row],[Código]],Venda_mes[],2,FALSE),0)</f>
        <v>6</v>
      </c>
      <c r="T25" s="40">
        <f>IFERROR(Rapid[[#This Row],[V. No mes]]/Rapid[[#This Row],[Proj. de V. No mes]],"")</f>
        <v>8.5592011412268201E-2</v>
      </c>
      <c r="U25" s="39">
        <f>VLOOKUP(Rapid[[#This Row],[Código]],Projeção[#All],14,FALSE)+VLOOKUP(Rapid[[#This Row],[Código]],Projeção[#All],13,FALSE)+VLOOKUP(Rapid[[#This Row],[Código]],Projeção[#All],12,FALSE)</f>
        <v>226.1</v>
      </c>
      <c r="V25" s="39">
        <f>IFERROR(VLOOKUP(Rapid[[#This Row],[Código]],Venda_3meses[],2,FALSE),0)</f>
        <v>42</v>
      </c>
      <c r="W25" s="45">
        <f>IFERROR(Rapid[[#This Row],[V. 3 meses]]/Rapid[[#This Row],[Proj. de V. 3 meses]],"")</f>
        <v>0.18575851393188855</v>
      </c>
      <c r="X25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1215.2333333333331</v>
      </c>
      <c r="Y25" s="39">
        <f>IFERROR(VLOOKUP(Rapid[[#This Row],[Código]],Venda_12meses[],2,FALSE),0)</f>
        <v>468</v>
      </c>
      <c r="Z25" s="45">
        <f>IFERROR(Rapid[[#This Row],[V. 12 meses]]/Rapid[[#This Row],[Proj. de V. 12 meses]],"")</f>
        <v>0.38511122692487049</v>
      </c>
      <c r="AA25" s="22"/>
    </row>
    <row r="26" spans="1:27" x14ac:dyDescent="0.25">
      <c r="A26" s="22" t="str">
        <f>VLOOKUP(Rapid[[#This Row],[Código]],BD_Produto[#All],7,FALSE)</f>
        <v>Em linha</v>
      </c>
      <c r="B26" s="22" t="str">
        <f>IF(OR(Rapid[[#This Row],[Status]]="Em linha",Rapid[[#This Row],[Status]]="Materia Prima",Rapid[[#This Row],[Status]]="Componente"),"ok",IF(Rapid[[#This Row],[Estoque+Importação]]&lt;1,"Tirar","ok"))</f>
        <v>ok</v>
      </c>
      <c r="C26" s="23">
        <v>33070561589</v>
      </c>
      <c r="D26" s="22" t="s">
        <v>591</v>
      </c>
      <c r="E26" s="22" t="str">
        <f>VLOOKUP(Rapid[[#This Row],[Código]],BD_Produto[],3,FALSE)</f>
        <v>Grampo</v>
      </c>
      <c r="F26" s="22" t="str">
        <f>VLOOKUP(Rapid[[#This Row],[Código]],BD_Produto[],4,FALSE)</f>
        <v>Grampeador Pistola</v>
      </c>
      <c r="G26" s="24"/>
      <c r="H26" s="25"/>
      <c r="I26" s="22"/>
      <c r="J26" s="24"/>
      <c r="K26" s="24" t="str">
        <f>IFERROR(VLOOKUP(Rapid[[#This Row],[Código]],Importação!P:R,3,FALSE),"")</f>
        <v/>
      </c>
      <c r="L26" s="24">
        <f>IFERROR(VLOOKUP(Rapid[[#This Row],[Código]],Saldo[],3,FALSE),0)</f>
        <v>1227</v>
      </c>
      <c r="M26" s="24">
        <f>SUM(Rapid[[#This Row],[Produção]:[Estoque]])</f>
        <v>1227</v>
      </c>
      <c r="N26" s="24">
        <f>IFERROR(Rapid[[#This Row],[Estoque+Importação]]/Rapid[[#This Row],[Proj. de V. No prox. mes]],"Sem Projeção")</f>
        <v>292.14285714285711</v>
      </c>
      <c r="O26" s="24">
        <f>IF(OR(Rapid[[#This Row],[Status]]="Em Linha",Rapid[[#This Row],[Status]]="Componente",Rapid[[#This Row],[Status]]="Materia Prima"),Rapid[[#This Row],[Proj. de V. No prox. mes]]*10,"-")</f>
        <v>42</v>
      </c>
      <c r="P26" s="34">
        <f>IF(OR(Rapid[[#This Row],[Status]]="Em Linha",Rapid[[#This Row],[Status]]="Componente",Rapid[[#This Row],[Status]]="Materia Prima"),Rapid[[#This Row],[estoque 10 meses]]-Rapid[[#This Row],[Estoque+Importação]],0)</f>
        <v>-1185</v>
      </c>
      <c r="Q26" s="83">
        <f>VLOOKUP(Rapid[[#This Row],[Código]],Projeção[#All],15,FALSE)</f>
        <v>4.2</v>
      </c>
      <c r="R26" s="38">
        <f>VLOOKUP(Rapid[[#This Row],[Código]],Projeção[#All],14,FALSE)</f>
        <v>0.16666666666666666</v>
      </c>
      <c r="S26" s="39">
        <f>IFERROR(VLOOKUP(Rapid[[#This Row],[Código]],Venda_mes[],2,FALSE),0)</f>
        <v>0</v>
      </c>
      <c r="T26" s="40">
        <f>IFERROR(Rapid[[#This Row],[V. No mes]]/Rapid[[#This Row],[Proj. de V. No mes]],"")</f>
        <v>0</v>
      </c>
      <c r="U26" s="39">
        <f>VLOOKUP(Rapid[[#This Row],[Código]],Projeção[#All],14,FALSE)+VLOOKUP(Rapid[[#This Row],[Código]],Projeção[#All],13,FALSE)+VLOOKUP(Rapid[[#This Row],[Código]],Projeção[#All],12,FALSE)</f>
        <v>1.2333333333333334</v>
      </c>
      <c r="V26" s="39">
        <f>IFERROR(VLOOKUP(Rapid[[#This Row],[Código]],Venda_3meses[],2,FALSE),0)</f>
        <v>12</v>
      </c>
      <c r="W26" s="45">
        <f>IFERROR(Rapid[[#This Row],[V. 3 meses]]/Rapid[[#This Row],[Proj. de V. 3 meses]],"")</f>
        <v>9.7297297297297298</v>
      </c>
      <c r="X26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19.099999999999998</v>
      </c>
      <c r="Y26" s="39">
        <f>IFERROR(VLOOKUP(Rapid[[#This Row],[Código]],Venda_12meses[],2,FALSE),0)</f>
        <v>46</v>
      </c>
      <c r="Z26" s="45">
        <f>IFERROR(Rapid[[#This Row],[V. 12 meses]]/Rapid[[#This Row],[Proj. de V. 12 meses]],"")</f>
        <v>2.4083769633507854</v>
      </c>
      <c r="AA26" s="22">
        <v>23520400</v>
      </c>
    </row>
    <row r="27" spans="1:27" x14ac:dyDescent="0.25">
      <c r="A27" s="22" t="str">
        <f>VLOOKUP(Rapid[[#This Row],[Código]],BD_Produto[#All],7,FALSE)</f>
        <v>Em linha</v>
      </c>
      <c r="B27" s="22" t="str">
        <f>IF(OR(Rapid[[#This Row],[Status]]="Em linha",Rapid[[#This Row],[Status]]="Materia Prima",Rapid[[#This Row],[Status]]="Componente"),"ok",IF(Rapid[[#This Row],[Estoque+Importação]]&lt;1,"Tirar","ok"))</f>
        <v>ok</v>
      </c>
      <c r="C27" s="23">
        <v>33070561587</v>
      </c>
      <c r="D27" s="22" t="s">
        <v>589</v>
      </c>
      <c r="E27" s="22" t="str">
        <f>VLOOKUP(Rapid[[#This Row],[Código]],BD_Produto[],3,FALSE)</f>
        <v>Grampo</v>
      </c>
      <c r="F27" s="22" t="str">
        <f>VLOOKUP(Rapid[[#This Row],[Código]],BD_Produto[],4,FALSE)</f>
        <v>Grampeador Pistola</v>
      </c>
      <c r="G27" s="24"/>
      <c r="H27" s="25"/>
      <c r="I27" s="22"/>
      <c r="J27" s="24"/>
      <c r="K27" s="24" t="str">
        <f>IFERROR(VLOOKUP(Rapid[[#This Row],[Código]],Importação!P:R,3,FALSE),"")</f>
        <v/>
      </c>
      <c r="L27" s="24">
        <f>IFERROR(VLOOKUP(Rapid[[#This Row],[Código]],Saldo[],3,FALSE),0)</f>
        <v>1051</v>
      </c>
      <c r="M27" s="24">
        <f>SUM(Rapid[[#This Row],[Produção]:[Estoque]])</f>
        <v>1051</v>
      </c>
      <c r="N27" s="24">
        <f>IFERROR(Rapid[[#This Row],[Estoque+Importação]]/Rapid[[#This Row],[Proj. de V. No prox. mes]],"Sem Projeção")</f>
        <v>346.48351648351644</v>
      </c>
      <c r="O27" s="24">
        <f>IF(OR(Rapid[[#This Row],[Status]]="Em Linha",Rapid[[#This Row],[Status]]="Componente",Rapid[[#This Row],[Status]]="Materia Prima"),Rapid[[#This Row],[Proj. de V. No prox. mes]]*10,"-")</f>
        <v>30.333333333333336</v>
      </c>
      <c r="P27" s="34">
        <f>IF(OR(Rapid[[#This Row],[Status]]="Em Linha",Rapid[[#This Row],[Status]]="Componente",Rapid[[#This Row],[Status]]="Materia Prima"),Rapid[[#This Row],[estoque 10 meses]]-Rapid[[#This Row],[Estoque+Importação]],0)</f>
        <v>-1020.6666666666666</v>
      </c>
      <c r="Q27" s="83">
        <f>VLOOKUP(Rapid[[#This Row],[Código]],Projeção[#All],15,FALSE)</f>
        <v>3.0333333333333337</v>
      </c>
      <c r="R27" s="38">
        <f>VLOOKUP(Rapid[[#This Row],[Código]],Projeção[#All],14,FALSE)</f>
        <v>13.766666666666666</v>
      </c>
      <c r="S27" s="39">
        <f>IFERROR(VLOOKUP(Rapid[[#This Row],[Código]],Venda_mes[],2,FALSE),0)</f>
        <v>0</v>
      </c>
      <c r="T27" s="40">
        <f>IFERROR(Rapid[[#This Row],[V. No mes]]/Rapid[[#This Row],[Proj. de V. No mes]],"")</f>
        <v>0</v>
      </c>
      <c r="U27" s="39">
        <f>VLOOKUP(Rapid[[#This Row],[Código]],Projeção[#All],14,FALSE)+VLOOKUP(Rapid[[#This Row],[Código]],Projeção[#All],13,FALSE)+VLOOKUP(Rapid[[#This Row],[Código]],Projeção[#All],12,FALSE)</f>
        <v>37.166666666666664</v>
      </c>
      <c r="V27" s="39">
        <f>IFERROR(VLOOKUP(Rapid[[#This Row],[Código]],Venda_3meses[],2,FALSE),0)</f>
        <v>0</v>
      </c>
      <c r="W27" s="45">
        <f>IFERROR(Rapid[[#This Row],[V. 3 meses]]/Rapid[[#This Row],[Proj. de V. 3 meses]],"")</f>
        <v>0</v>
      </c>
      <c r="X27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145.43333333333334</v>
      </c>
      <c r="Y27" s="39">
        <f>IFERROR(VLOOKUP(Rapid[[#This Row],[Código]],Venda_12meses[],2,FALSE),0)</f>
        <v>63</v>
      </c>
      <c r="Z27" s="45">
        <f>IFERROR(Rapid[[#This Row],[V. 12 meses]]/Rapid[[#This Row],[Proj. de V. 12 meses]],"")</f>
        <v>0.43318817327526932</v>
      </c>
      <c r="AA27" s="22">
        <v>23391500</v>
      </c>
    </row>
    <row r="28" spans="1:27" x14ac:dyDescent="0.25">
      <c r="A28" s="22" t="str">
        <f>VLOOKUP(Rapid[[#This Row],[Código]],BD_Produto[#All],7,FALSE)</f>
        <v>Em linha</v>
      </c>
      <c r="B28" s="22" t="str">
        <f>IF(OR(Rapid[[#This Row],[Status]]="Em linha",Rapid[[#This Row],[Status]]="Materia Prima",Rapid[[#This Row],[Status]]="Componente"),"ok",IF(Rapid[[#This Row],[Estoque+Importação]]&lt;1,"Tirar","ok"))</f>
        <v>ok</v>
      </c>
      <c r="C28" s="23">
        <v>33060514672</v>
      </c>
      <c r="D28" s="22" t="s">
        <v>308</v>
      </c>
      <c r="E28" s="22" t="str">
        <f>VLOOKUP(Rapid[[#This Row],[Código]],BD_Produto[],3,FALSE)</f>
        <v>Grampo</v>
      </c>
      <c r="F28" s="22" t="str">
        <f>VLOOKUP(Rapid[[#This Row],[Código]],BD_Produto[],4,FALSE)</f>
        <v>Grampeador Eletrico</v>
      </c>
      <c r="G28" s="24"/>
      <c r="H28" s="25"/>
      <c r="I28" s="22"/>
      <c r="J28" s="24"/>
      <c r="K28" s="24" t="str">
        <f>IFERROR(VLOOKUP(Rapid[[#This Row],[Código]],Importação!P:R,3,FALSE),"")</f>
        <v/>
      </c>
      <c r="L28" s="24">
        <f>IFERROR(VLOOKUP(Rapid[[#This Row],[Código]],Saldo[],3,FALSE),0)</f>
        <v>433</v>
      </c>
      <c r="M28" s="24">
        <f>SUM(Rapid[[#This Row],[Produção]:[Estoque]])</f>
        <v>433</v>
      </c>
      <c r="N28" s="24">
        <f>IFERROR(Rapid[[#This Row],[Estoque+Importação]]/Rapid[[#This Row],[Proj. de V. No prox. mes]],"Sem Projeção")</f>
        <v>649.5</v>
      </c>
      <c r="O28" s="24">
        <f>IF(OR(Rapid[[#This Row],[Status]]="Em Linha",Rapid[[#This Row],[Status]]="Componente",Rapid[[#This Row],[Status]]="Materia Prima"),Rapid[[#This Row],[Proj. de V. No prox. mes]]*10,"-")</f>
        <v>6.6666666666666661</v>
      </c>
      <c r="P28" s="34">
        <f>IF(OR(Rapid[[#This Row],[Status]]="Em Linha",Rapid[[#This Row],[Status]]="Componente",Rapid[[#This Row],[Status]]="Materia Prima"),Rapid[[#This Row],[estoque 10 meses]]-Rapid[[#This Row],[Estoque+Importação]],0)</f>
        <v>-426.33333333333331</v>
      </c>
      <c r="Q28" s="83">
        <f>VLOOKUP(Rapid[[#This Row],[Código]],Projeção[#All],15,FALSE)</f>
        <v>0.66666666666666663</v>
      </c>
      <c r="R28" s="38">
        <f>VLOOKUP(Rapid[[#This Row],[Código]],Projeção[#All],14,FALSE)</f>
        <v>2</v>
      </c>
      <c r="S28" s="39">
        <f>IFERROR(VLOOKUP(Rapid[[#This Row],[Código]],Venda_mes[],2,FALSE),0)</f>
        <v>0</v>
      </c>
      <c r="T28" s="40">
        <f>IFERROR(Rapid[[#This Row],[V. No mes]]/Rapid[[#This Row],[Proj. de V. No mes]],"")</f>
        <v>0</v>
      </c>
      <c r="U28" s="39">
        <f>VLOOKUP(Rapid[[#This Row],[Código]],Projeção[#All],14,FALSE)+VLOOKUP(Rapid[[#This Row],[Código]],Projeção[#All],13,FALSE)+VLOOKUP(Rapid[[#This Row],[Código]],Projeção[#All],12,FALSE)</f>
        <v>10.199999999999999</v>
      </c>
      <c r="V28" s="39">
        <f>IFERROR(VLOOKUP(Rapid[[#This Row],[Código]],Venda_3meses[],2,FALSE),0)</f>
        <v>0</v>
      </c>
      <c r="W28" s="45">
        <f>IFERROR(Rapid[[#This Row],[V. 3 meses]]/Rapid[[#This Row],[Proj. de V. 3 meses]],"")</f>
        <v>0</v>
      </c>
      <c r="X28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13.500000000000004</v>
      </c>
      <c r="Y28" s="39">
        <f>IFERROR(VLOOKUP(Rapid[[#This Row],[Código]],Venda_12meses[],2,FALSE),0)</f>
        <v>20</v>
      </c>
      <c r="Z28" s="45">
        <f>IFERROR(Rapid[[#This Row],[V. 12 meses]]/Rapid[[#This Row],[Proj. de V. 12 meses]],"")</f>
        <v>1.4814814814814812</v>
      </c>
      <c r="AA28" s="22" t="s">
        <v>1700</v>
      </c>
    </row>
    <row r="29" spans="1:27" x14ac:dyDescent="0.25">
      <c r="A29" s="22" t="str">
        <f>VLOOKUP(Rapid[[#This Row],[Código]],BD_Produto[#All],7,FALSE)</f>
        <v>Em linha</v>
      </c>
      <c r="B29" s="22" t="str">
        <f>IF(OR(Rapid[[#This Row],[Status]]="Em linha",Rapid[[#This Row],[Status]]="Materia Prima",Rapid[[#This Row],[Status]]="Componente"),"ok",IF(Rapid[[#This Row],[Estoque+Importação]]&lt;1,"Tirar","ok"))</f>
        <v>ok</v>
      </c>
      <c r="C29" s="23">
        <v>33060563228</v>
      </c>
      <c r="D29" s="22" t="s">
        <v>321</v>
      </c>
      <c r="E29" s="22" t="str">
        <f>VLOOKUP(Rapid[[#This Row],[Código]],BD_Produto[],3,FALSE)</f>
        <v>Grampo</v>
      </c>
      <c r="F29" s="22" t="str">
        <f>VLOOKUP(Rapid[[#This Row],[Código]],BD_Produto[],4,FALSE)</f>
        <v>Grampeador Eletrico</v>
      </c>
      <c r="G29" s="24"/>
      <c r="H29" s="25"/>
      <c r="I29" s="22"/>
      <c r="J29" s="24"/>
      <c r="K29" s="24" t="str">
        <f>IFERROR(VLOOKUP(Rapid[[#This Row],[Código]],Importação!P:R,3,FALSE),"")</f>
        <v/>
      </c>
      <c r="L29" s="24">
        <f>IFERROR(VLOOKUP(Rapid[[#This Row],[Código]],Saldo[],3,FALSE),0)</f>
        <v>777</v>
      </c>
      <c r="M29" s="24">
        <f>SUM(Rapid[[#This Row],[Produção]:[Estoque]])</f>
        <v>777</v>
      </c>
      <c r="N29" s="24">
        <f>IFERROR(Rapid[[#This Row],[Estoque+Importação]]/Rapid[[#This Row],[Proj. de V. No prox. mes]],"Sem Projeção")</f>
        <v>43.651685393258425</v>
      </c>
      <c r="O29" s="24">
        <f>IF(OR(Rapid[[#This Row],[Status]]="Em Linha",Rapid[[#This Row],[Status]]="Componente",Rapid[[#This Row],[Status]]="Materia Prima"),Rapid[[#This Row],[Proj. de V. No prox. mes]]*10,"-")</f>
        <v>178</v>
      </c>
      <c r="P29" s="34">
        <f>IF(OR(Rapid[[#This Row],[Status]]="Em Linha",Rapid[[#This Row],[Status]]="Componente",Rapid[[#This Row],[Status]]="Materia Prima"),Rapid[[#This Row],[estoque 10 meses]]-Rapid[[#This Row],[Estoque+Importação]],0)</f>
        <v>-599</v>
      </c>
      <c r="Q29" s="83">
        <f>VLOOKUP(Rapid[[#This Row],[Código]],Projeção[#All],15,FALSE)</f>
        <v>17.8</v>
      </c>
      <c r="R29" s="38">
        <f>VLOOKUP(Rapid[[#This Row],[Código]],Projeção[#All],14,FALSE)</f>
        <v>6.166666666666667</v>
      </c>
      <c r="S29" s="39">
        <f>IFERROR(VLOOKUP(Rapid[[#This Row],[Código]],Venda_mes[],2,FALSE),0)</f>
        <v>26</v>
      </c>
      <c r="T29" s="40">
        <f>IFERROR(Rapid[[#This Row],[V. No mes]]/Rapid[[#This Row],[Proj. de V. No mes]],"")</f>
        <v>4.2162162162162158</v>
      </c>
      <c r="U29" s="39">
        <f>VLOOKUP(Rapid[[#This Row],[Código]],Projeção[#All],14,FALSE)+VLOOKUP(Rapid[[#This Row],[Código]],Projeção[#All],13,FALSE)+VLOOKUP(Rapid[[#This Row],[Código]],Projeção[#All],12,FALSE)</f>
        <v>16.166666666666668</v>
      </c>
      <c r="V29" s="39">
        <f>IFERROR(VLOOKUP(Rapid[[#This Row],[Código]],Venda_3meses[],2,FALSE),0)</f>
        <v>40</v>
      </c>
      <c r="W29" s="45">
        <f>IFERROR(Rapid[[#This Row],[V. 3 meses]]/Rapid[[#This Row],[Proj. de V. 3 meses]],"")</f>
        <v>2.474226804123711</v>
      </c>
      <c r="X29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81.066666666666677</v>
      </c>
      <c r="Y29" s="39">
        <f>IFERROR(VLOOKUP(Rapid[[#This Row],[Código]],Venda_12meses[],2,FALSE),0)</f>
        <v>138</v>
      </c>
      <c r="Z29" s="45">
        <f>IFERROR(Rapid[[#This Row],[V. 12 meses]]/Rapid[[#This Row],[Proj. de V. 12 meses]],"")</f>
        <v>1.7023026315789471</v>
      </c>
      <c r="AA29" s="22"/>
    </row>
    <row r="30" spans="1:27" x14ac:dyDescent="0.25">
      <c r="A30" s="22" t="str">
        <f>VLOOKUP(Rapid[[#This Row],[Código]],BD_Produto[#All],7,FALSE)</f>
        <v>Em linha</v>
      </c>
      <c r="B30" s="22" t="str">
        <f>IF(OR(Rapid[[#This Row],[Status]]="Em linha",Rapid[[#This Row],[Status]]="Materia Prima",Rapid[[#This Row],[Status]]="Componente"),"ok",IF(Rapid[[#This Row],[Estoque+Importação]]&lt;1,"Tirar","ok"))</f>
        <v>ok</v>
      </c>
      <c r="C30" s="23">
        <v>33060114821</v>
      </c>
      <c r="D30" s="22" t="s">
        <v>162</v>
      </c>
      <c r="E30" s="22" t="str">
        <f>VLOOKUP(Rapid[[#This Row],[Código]],BD_Produto[],3,FALSE)</f>
        <v>Grampeador Eletrico</v>
      </c>
      <c r="F30" s="22" t="str">
        <f>VLOOKUP(Rapid[[#This Row],[Código]],BD_Produto[],4,FALSE)</f>
        <v>Grampeador Eletrico</v>
      </c>
      <c r="G30" s="24"/>
      <c r="H30" s="25"/>
      <c r="I30" s="22"/>
      <c r="J30" s="24"/>
      <c r="K30" s="24" t="str">
        <f>IFERROR(VLOOKUP(Rapid[[#This Row],[Código]],Importação!P:R,3,FALSE),"")</f>
        <v/>
      </c>
      <c r="L30" s="24">
        <f>IFERROR(VLOOKUP(Rapid[[#This Row],[Código]],Saldo[],3,FALSE),0)</f>
        <v>272</v>
      </c>
      <c r="M30" s="24">
        <f>SUM(Rapid[[#This Row],[Produção]:[Estoque]])</f>
        <v>272</v>
      </c>
      <c r="N30" s="24">
        <f>IFERROR(Rapid[[#This Row],[Estoque+Importação]]/Rapid[[#This Row],[Proj. de V. No prox. mes]],"Sem Projeção")</f>
        <v>1360</v>
      </c>
      <c r="O30" s="24">
        <f>IF(OR(Rapid[[#This Row],[Status]]="Em Linha",Rapid[[#This Row],[Status]]="Componente",Rapid[[#This Row],[Status]]="Materia Prima"),Rapid[[#This Row],[Proj. de V. No prox. mes]]*10,"-")</f>
        <v>1.9999999999999998</v>
      </c>
      <c r="P30" s="34">
        <f>IF(OR(Rapid[[#This Row],[Status]]="Em Linha",Rapid[[#This Row],[Status]]="Componente",Rapid[[#This Row],[Status]]="Materia Prima"),Rapid[[#This Row],[estoque 10 meses]]-Rapid[[#This Row],[Estoque+Importação]],0)</f>
        <v>-270</v>
      </c>
      <c r="Q30" s="83">
        <f>VLOOKUP(Rapid[[#This Row],[Código]],Projeção[#All],15,FALSE)</f>
        <v>0.19999999999999998</v>
      </c>
      <c r="R30" s="38">
        <f>VLOOKUP(Rapid[[#This Row],[Código]],Projeção[#All],14,FALSE)</f>
        <v>0.6</v>
      </c>
      <c r="S30" s="39">
        <f>IFERROR(VLOOKUP(Rapid[[#This Row],[Código]],Venda_mes[],2,FALSE),0)</f>
        <v>0</v>
      </c>
      <c r="T30" s="40">
        <f>IFERROR(Rapid[[#This Row],[V. No mes]]/Rapid[[#This Row],[Proj. de V. No mes]],"")</f>
        <v>0</v>
      </c>
      <c r="U30" s="39">
        <f>VLOOKUP(Rapid[[#This Row],[Código]],Projeção[#All],14,FALSE)+VLOOKUP(Rapid[[#This Row],[Código]],Projeção[#All],13,FALSE)+VLOOKUP(Rapid[[#This Row],[Código]],Projeção[#All],12,FALSE)</f>
        <v>2.5333333333333332</v>
      </c>
      <c r="V30" s="39">
        <f>IFERROR(VLOOKUP(Rapid[[#This Row],[Código]],Venda_3meses[],2,FALSE),0)</f>
        <v>0</v>
      </c>
      <c r="W30" s="45">
        <f>IFERROR(Rapid[[#This Row],[V. 3 meses]]/Rapid[[#This Row],[Proj. de V. 3 meses]],"")</f>
        <v>0</v>
      </c>
      <c r="X30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6.8666666666666663</v>
      </c>
      <c r="Y30" s="39">
        <f>IFERROR(VLOOKUP(Rapid[[#This Row],[Código]],Venda_12meses[],2,FALSE),0)</f>
        <v>4</v>
      </c>
      <c r="Z30" s="45">
        <f>IFERROR(Rapid[[#This Row],[V. 12 meses]]/Rapid[[#This Row],[Proj. de V. 12 meses]],"")</f>
        <v>0.58252427184466027</v>
      </c>
      <c r="AA30" s="22"/>
    </row>
    <row r="31" spans="1:27" x14ac:dyDescent="0.25">
      <c r="A31" s="22" t="str">
        <f>VLOOKUP(Rapid[[#This Row],[Código]],BD_Produto[#All],7,FALSE)</f>
        <v>Em linha</v>
      </c>
      <c r="B31" s="22" t="str">
        <f>IF(OR(Rapid[[#This Row],[Status]]="Em linha",Rapid[[#This Row],[Status]]="Materia Prima",Rapid[[#This Row],[Status]]="Componente"),"ok",IF(Rapid[[#This Row],[Estoque+Importação]]&lt;1,"Tirar","ok"))</f>
        <v>ok</v>
      </c>
      <c r="C31" s="23">
        <v>33060560522</v>
      </c>
      <c r="D31" s="22" t="s">
        <v>318</v>
      </c>
      <c r="E31" s="22" t="str">
        <f>VLOOKUP(Rapid[[#This Row],[Código]],BD_Produto[],3,FALSE)</f>
        <v>Grampo</v>
      </c>
      <c r="F31" s="22" t="str">
        <f>VLOOKUP(Rapid[[#This Row],[Código]],BD_Produto[],4,FALSE)</f>
        <v>Grampeador Heavy Duty</v>
      </c>
      <c r="G31" s="24"/>
      <c r="H31" s="25"/>
      <c r="I31" s="22"/>
      <c r="J31" s="24"/>
      <c r="K31" s="24" t="str">
        <f>IFERROR(VLOOKUP(Rapid[[#This Row],[Código]],Importação!P:R,3,FALSE),"")</f>
        <v/>
      </c>
      <c r="L31" s="24">
        <f>IFERROR(VLOOKUP(Rapid[[#This Row],[Código]],Saldo[],3,FALSE),0)</f>
        <v>7147</v>
      </c>
      <c r="M31" s="24">
        <f>SUM(Rapid[[#This Row],[Produção]:[Estoque]])</f>
        <v>7147</v>
      </c>
      <c r="N31" s="24">
        <f>IFERROR(Rapid[[#This Row],[Estoque+Importação]]/Rapid[[#This Row],[Proj. de V. No prox. mes]],"Sem Projeção")</f>
        <v>1128.4736842105265</v>
      </c>
      <c r="O31" s="24">
        <f>IF(OR(Rapid[[#This Row],[Status]]="Em Linha",Rapid[[#This Row],[Status]]="Componente",Rapid[[#This Row],[Status]]="Materia Prima"),Rapid[[#This Row],[Proj. de V. No prox. mes]]*10,"-")</f>
        <v>63.333333333333329</v>
      </c>
      <c r="P31" s="34">
        <f>IF(OR(Rapid[[#This Row],[Status]]="Em Linha",Rapid[[#This Row],[Status]]="Componente",Rapid[[#This Row],[Status]]="Materia Prima"),Rapid[[#This Row],[estoque 10 meses]]-Rapid[[#This Row],[Estoque+Importação]],0)</f>
        <v>-7083.666666666667</v>
      </c>
      <c r="Q31" s="83">
        <f>VLOOKUP(Rapid[[#This Row],[Código]],Projeção[#All],15,FALSE)</f>
        <v>6.333333333333333</v>
      </c>
      <c r="R31" s="38">
        <f>VLOOKUP(Rapid[[#This Row],[Código]],Projeção[#All],14,FALSE)</f>
        <v>14.666666666666664</v>
      </c>
      <c r="S31" s="39">
        <f>IFERROR(VLOOKUP(Rapid[[#This Row],[Código]],Venda_mes[],2,FALSE),0)</f>
        <v>0</v>
      </c>
      <c r="T31" s="40">
        <f>IFERROR(Rapid[[#This Row],[V. No mes]]/Rapid[[#This Row],[Proj. de V. No mes]],"")</f>
        <v>0</v>
      </c>
      <c r="U31" s="39">
        <f>VLOOKUP(Rapid[[#This Row],[Código]],Projeção[#All],14,FALSE)+VLOOKUP(Rapid[[#This Row],[Código]],Projeção[#All],13,FALSE)+VLOOKUP(Rapid[[#This Row],[Código]],Projeção[#All],12,FALSE)</f>
        <v>15.999999999999996</v>
      </c>
      <c r="V31" s="39">
        <f>IFERROR(VLOOKUP(Rapid[[#This Row],[Código]],Venda_3meses[],2,FALSE),0)</f>
        <v>0</v>
      </c>
      <c r="W31" s="45">
        <f>IFERROR(Rapid[[#This Row],[V. 3 meses]]/Rapid[[#This Row],[Proj. de V. 3 meses]],"")</f>
        <v>0</v>
      </c>
      <c r="X31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31.36666666666666</v>
      </c>
      <c r="Y31" s="39">
        <f>IFERROR(VLOOKUP(Rapid[[#This Row],[Código]],Venda_12meses[],2,FALSE),0)</f>
        <v>170</v>
      </c>
      <c r="Z31" s="45">
        <f>IFERROR(Rapid[[#This Row],[V. 12 meses]]/Rapid[[#This Row],[Proj. de V. 12 meses]],"")</f>
        <v>5.4197662061636569</v>
      </c>
      <c r="AA31" s="22"/>
    </row>
    <row r="32" spans="1:27" x14ac:dyDescent="0.25">
      <c r="A32" s="22" t="str">
        <f>VLOOKUP(Rapid[[#This Row],[Código]],BD_Produto[#All],7,FALSE)</f>
        <v>Em linha</v>
      </c>
      <c r="B32" s="22" t="str">
        <f>IF(OR(Rapid[[#This Row],[Status]]="Em linha",Rapid[[#This Row],[Status]]="Materia Prima",Rapid[[#This Row],[Status]]="Componente"),"ok",IF(Rapid[[#This Row],[Estoque+Importação]]&lt;1,"Tirar","ok"))</f>
        <v>ok</v>
      </c>
      <c r="C32" s="23">
        <v>33060163877</v>
      </c>
      <c r="D32" s="22" t="s">
        <v>207</v>
      </c>
      <c r="E32" s="22" t="str">
        <f>VLOOKUP(Rapid[[#This Row],[Código]],BD_Produto[],3,FALSE)</f>
        <v>Grampeador Eletrico</v>
      </c>
      <c r="F32" s="22" t="str">
        <f>VLOOKUP(Rapid[[#This Row],[Código]],BD_Produto[],4,FALSE)</f>
        <v>Grampeador Eletrico</v>
      </c>
      <c r="G32" s="24"/>
      <c r="H32" s="25"/>
      <c r="I32" s="22"/>
      <c r="J32" s="24"/>
      <c r="K32" s="24" t="str">
        <f>IFERROR(VLOOKUP(Rapid[[#This Row],[Código]],Importação!P:R,3,FALSE),"")</f>
        <v/>
      </c>
      <c r="L32" s="24">
        <f>IFERROR(VLOOKUP(Rapid[[#This Row],[Código]],Saldo[],3,FALSE),0)</f>
        <v>139</v>
      </c>
      <c r="M32" s="24">
        <f>SUM(Rapid[[#This Row],[Produção]:[Estoque]])</f>
        <v>139</v>
      </c>
      <c r="N32" s="24" t="str">
        <f>IFERROR(Rapid[[#This Row],[Estoque+Importação]]/Rapid[[#This Row],[Proj. de V. No prox. mes]],"Sem Projeção")</f>
        <v>Sem Projeção</v>
      </c>
      <c r="O32" s="24">
        <f>IF(OR(Rapid[[#This Row],[Status]]="Em Linha",Rapid[[#This Row],[Status]]="Componente",Rapid[[#This Row],[Status]]="Materia Prima"),Rapid[[#This Row],[Proj. de V. No prox. mes]]*10,"-")</f>
        <v>0</v>
      </c>
      <c r="P32" s="34">
        <f>IF(OR(Rapid[[#This Row],[Status]]="Em Linha",Rapid[[#This Row],[Status]]="Componente",Rapid[[#This Row],[Status]]="Materia Prima"),Rapid[[#This Row],[estoque 10 meses]]-Rapid[[#This Row],[Estoque+Importação]],0)</f>
        <v>-139</v>
      </c>
      <c r="Q32" s="83">
        <f>VLOOKUP(Rapid[[#This Row],[Código]],Projeção[#All],15,FALSE)</f>
        <v>0</v>
      </c>
      <c r="R32" s="38">
        <f>VLOOKUP(Rapid[[#This Row],[Código]],Projeção[#All],14,FALSE)</f>
        <v>0.23333333333333328</v>
      </c>
      <c r="S32" s="39">
        <f>IFERROR(VLOOKUP(Rapid[[#This Row],[Código]],Venda_mes[],2,FALSE),0)</f>
        <v>0</v>
      </c>
      <c r="T32" s="40">
        <f>IFERROR(Rapid[[#This Row],[V. No mes]]/Rapid[[#This Row],[Proj. de V. No mes]],"")</f>
        <v>0</v>
      </c>
      <c r="U32" s="39">
        <f>VLOOKUP(Rapid[[#This Row],[Código]],Projeção[#All],14,FALSE)+VLOOKUP(Rapid[[#This Row],[Código]],Projeção[#All],13,FALSE)+VLOOKUP(Rapid[[#This Row],[Código]],Projeção[#All],12,FALSE)</f>
        <v>0.86666666666666647</v>
      </c>
      <c r="V32" s="39">
        <f>IFERROR(VLOOKUP(Rapid[[#This Row],[Código]],Venda_3meses[],2,FALSE),0)</f>
        <v>0</v>
      </c>
      <c r="W32" s="45">
        <f>IFERROR(Rapid[[#This Row],[V. 3 meses]]/Rapid[[#This Row],[Proj. de V. 3 meses]],"")</f>
        <v>0</v>
      </c>
      <c r="X32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2.9333333333333331</v>
      </c>
      <c r="Y32" s="39">
        <f>IFERROR(VLOOKUP(Rapid[[#This Row],[Código]],Venda_12meses[],2,FALSE),0)</f>
        <v>0</v>
      </c>
      <c r="Z32" s="45">
        <f>IFERROR(Rapid[[#This Row],[V. 12 meses]]/Rapid[[#This Row],[Proj. de V. 12 meses]],"")</f>
        <v>0</v>
      </c>
      <c r="AA32" s="22" t="s">
        <v>1699</v>
      </c>
    </row>
    <row r="33" spans="1:27" x14ac:dyDescent="0.25">
      <c r="A33" s="22" t="str">
        <f>VLOOKUP(Rapid[[#This Row],[Código]],BD_Produto[#All],7,FALSE)</f>
        <v>Em linha</v>
      </c>
      <c r="B33" s="22" t="str">
        <f>IF(OR(Rapid[[#This Row],[Status]]="Em linha",Rapid[[#This Row],[Status]]="Materia Prima",Rapid[[#This Row],[Status]]="Componente"),"ok",IF(Rapid[[#This Row],[Estoque+Importação]]&lt;1,"Tirar","ok"))</f>
        <v>ok</v>
      </c>
      <c r="C33" s="23">
        <v>33060114946</v>
      </c>
      <c r="D33" s="22" t="s">
        <v>174</v>
      </c>
      <c r="E33" s="22" t="str">
        <f>VLOOKUP(Rapid[[#This Row],[Código]],BD_Produto[],3,FALSE)</f>
        <v>Grampeador Heavy Duty</v>
      </c>
      <c r="F33" s="22" t="str">
        <f>VLOOKUP(Rapid[[#This Row],[Código]],BD_Produto[],4,FALSE)</f>
        <v>Grampeador Heavy Duty</v>
      </c>
      <c r="G33" s="24"/>
      <c r="H33" s="25"/>
      <c r="I33" s="22"/>
      <c r="J33" s="24"/>
      <c r="K33" s="24" t="str">
        <f>IFERROR(VLOOKUP(Rapid[[#This Row],[Código]],Importação!P:R,3,FALSE),"")</f>
        <v/>
      </c>
      <c r="L33" s="24">
        <f>IFERROR(VLOOKUP(Rapid[[#This Row],[Código]],Saldo[],3,FALSE),0)</f>
        <v>4467</v>
      </c>
      <c r="M33" s="24">
        <f>SUM(Rapid[[#This Row],[Produção]:[Estoque]])</f>
        <v>4467</v>
      </c>
      <c r="N33" s="24">
        <f>IFERROR(Rapid[[#This Row],[Estoque+Importação]]/Rapid[[#This Row],[Proj. de V. No prox. mes]],"Sem Projeção")</f>
        <v>690.7731958762887</v>
      </c>
      <c r="O33" s="24">
        <f>IF(OR(Rapid[[#This Row],[Status]]="Em Linha",Rapid[[#This Row],[Status]]="Componente",Rapid[[#This Row],[Status]]="Materia Prima"),Rapid[[#This Row],[Proj. de V. No prox. mes]]*10,"-")</f>
        <v>64.666666666666657</v>
      </c>
      <c r="P33" s="34">
        <f>IF(OR(Rapid[[#This Row],[Status]]="Em Linha",Rapid[[#This Row],[Status]]="Componente",Rapid[[#This Row],[Status]]="Materia Prima"),Rapid[[#This Row],[estoque 10 meses]]-Rapid[[#This Row],[Estoque+Importação]],0)</f>
        <v>-4402.333333333333</v>
      </c>
      <c r="Q33" s="83">
        <f>VLOOKUP(Rapid[[#This Row],[Código]],Projeção[#All],15,FALSE)</f>
        <v>6.4666666666666659</v>
      </c>
      <c r="R33" s="38">
        <f>VLOOKUP(Rapid[[#This Row],[Código]],Projeção[#All],14,FALSE)</f>
        <v>5.4333333333333327</v>
      </c>
      <c r="S33" s="39">
        <f>IFERROR(VLOOKUP(Rapid[[#This Row],[Código]],Venda_mes[],2,FALSE),0)</f>
        <v>5</v>
      </c>
      <c r="T33" s="40">
        <f>IFERROR(Rapid[[#This Row],[V. No mes]]/Rapid[[#This Row],[Proj. de V. No mes]],"")</f>
        <v>0.92024539877300626</v>
      </c>
      <c r="U33" s="39">
        <f>VLOOKUP(Rapid[[#This Row],[Código]],Projeção[#All],14,FALSE)+VLOOKUP(Rapid[[#This Row],[Código]],Projeção[#All],13,FALSE)+VLOOKUP(Rapid[[#This Row],[Código]],Projeção[#All],12,FALSE)</f>
        <v>13.5</v>
      </c>
      <c r="V33" s="39">
        <f>IFERROR(VLOOKUP(Rapid[[#This Row],[Código]],Venda_3meses[],2,FALSE),0)</f>
        <v>22</v>
      </c>
      <c r="W33" s="45">
        <f>IFERROR(Rapid[[#This Row],[V. 3 meses]]/Rapid[[#This Row],[Proj. de V. 3 meses]],"")</f>
        <v>1.6296296296296295</v>
      </c>
      <c r="X33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83.533333333333331</v>
      </c>
      <c r="Y33" s="39">
        <f>IFERROR(VLOOKUP(Rapid[[#This Row],[Código]],Venda_12meses[],2,FALSE),0)</f>
        <v>48</v>
      </c>
      <c r="Z33" s="45">
        <f>IFERROR(Rapid[[#This Row],[V. 12 meses]]/Rapid[[#This Row],[Proj. de V. 12 meses]],"")</f>
        <v>0.57462090981644054</v>
      </c>
      <c r="AA33" s="22"/>
    </row>
    <row r="34" spans="1:27" x14ac:dyDescent="0.25">
      <c r="A34" s="22" t="str">
        <f>VLOOKUP(Rapid[[#This Row],[Código]],BD_Produto[#All],7,FALSE)</f>
        <v>Em linha</v>
      </c>
      <c r="B34" s="22" t="str">
        <f>IF(OR(Rapid[[#This Row],[Status]]="Em linha",Rapid[[#This Row],[Status]]="Materia Prima",Rapid[[#This Row],[Status]]="Componente"),"ok",IF(Rapid[[#This Row],[Estoque+Importação]]&lt;1,"Tirar","ok"))</f>
        <v>ok</v>
      </c>
      <c r="C34" s="23">
        <v>33060114592</v>
      </c>
      <c r="D34" s="22" t="s">
        <v>149</v>
      </c>
      <c r="E34" s="22" t="str">
        <f>VLOOKUP(Rapid[[#This Row],[Código]],BD_Produto[],3,FALSE)</f>
        <v>Grampeador Heavy Duty</v>
      </c>
      <c r="F34" s="22" t="str">
        <f>VLOOKUP(Rapid[[#This Row],[Código]],BD_Produto[],4,FALSE)</f>
        <v>Grampeador Heavy Duty</v>
      </c>
      <c r="G34" s="24"/>
      <c r="H34" s="25"/>
      <c r="I34" s="22"/>
      <c r="J34" s="24"/>
      <c r="K34" s="24" t="str">
        <f>IFERROR(VLOOKUP(Rapid[[#This Row],[Código]],Importação!P:R,3,FALSE),"")</f>
        <v/>
      </c>
      <c r="L34" s="24">
        <f>IFERROR(VLOOKUP(Rapid[[#This Row],[Código]],Saldo[],3,FALSE),0)</f>
        <v>1000</v>
      </c>
      <c r="M34" s="24">
        <f>SUM(Rapid[[#This Row],[Produção]:[Estoque]])</f>
        <v>1000</v>
      </c>
      <c r="N34" s="24">
        <f>IFERROR(Rapid[[#This Row],[Estoque+Importação]]/Rapid[[#This Row],[Proj. de V. No prox. mes]],"Sem Projeção")</f>
        <v>214.28571428571431</v>
      </c>
      <c r="O34" s="24">
        <f>IF(OR(Rapid[[#This Row],[Status]]="Em Linha",Rapid[[#This Row],[Status]]="Componente",Rapid[[#This Row],[Status]]="Materia Prima"),Rapid[[#This Row],[Proj. de V. No prox. mes]]*10,"-")</f>
        <v>46.666666666666657</v>
      </c>
      <c r="P34" s="34">
        <f>IF(OR(Rapid[[#This Row],[Status]]="Em Linha",Rapid[[#This Row],[Status]]="Componente",Rapid[[#This Row],[Status]]="Materia Prima"),Rapid[[#This Row],[estoque 10 meses]]-Rapid[[#This Row],[Estoque+Importação]],0)</f>
        <v>-953.33333333333337</v>
      </c>
      <c r="Q34" s="75">
        <f>VLOOKUP(Rapid[[#This Row],[Código]],Projeção[#All],15,FALSE)</f>
        <v>4.6666666666666661</v>
      </c>
      <c r="R34" s="39">
        <f>VLOOKUP(Rapid[[#This Row],[Código]],Projeção[#All],14,FALSE)</f>
        <v>0.93333333333333313</v>
      </c>
      <c r="S34" s="39">
        <f>IFERROR(VLOOKUP(Rapid[[#This Row],[Código]],Venda_mes[],2,FALSE),0)</f>
        <v>10</v>
      </c>
      <c r="T34" s="44">
        <f>IFERROR(Rapid[[#This Row],[V. No mes]]/Rapid[[#This Row],[Proj. de V. No mes]],"")</f>
        <v>10.714285714285717</v>
      </c>
      <c r="U34" s="43">
        <f>VLOOKUP(Rapid[[#This Row],[Código]],Projeção[#All],14,FALSE)+VLOOKUP(Rapid[[#This Row],[Código]],Projeção[#All],13,FALSE)+VLOOKUP(Rapid[[#This Row],[Código]],Projeção[#All],12,FALSE)</f>
        <v>4.2666666666666666</v>
      </c>
      <c r="V34" s="39">
        <f>IFERROR(VLOOKUP(Rapid[[#This Row],[Código]],Venda_3meses[],2,FALSE),0)</f>
        <v>19</v>
      </c>
      <c r="W34" s="44">
        <f>IFERROR(Rapid[[#This Row],[V. 3 meses]]/Rapid[[#This Row],[Proj. de V. 3 meses]],"")</f>
        <v>4.453125</v>
      </c>
      <c r="X3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13.933333333333334</v>
      </c>
      <c r="Y34" s="39">
        <f>IFERROR(VLOOKUP(Rapid[[#This Row],[Código]],Venda_12meses[],2,FALSE),0)</f>
        <v>26</v>
      </c>
      <c r="Z34" s="44">
        <f>IFERROR(Rapid[[#This Row],[V. 12 meses]]/Rapid[[#This Row],[Proj. de V. 12 meses]],"")</f>
        <v>1.8660287081339713</v>
      </c>
      <c r="AA34" s="22"/>
    </row>
    <row r="35" spans="1:27" x14ac:dyDescent="0.25">
      <c r="A35" s="22" t="str">
        <f>VLOOKUP(Rapid[[#This Row],[Código]],BD_Produto[#All],7,FALSE)</f>
        <v>Em linha</v>
      </c>
      <c r="B35" s="22" t="str">
        <f>IF(OR(Rapid[[#This Row],[Status]]="Em linha",Rapid[[#This Row],[Status]]="Materia Prima",Rapid[[#This Row],[Status]]="Componente"),"ok",IF(Rapid[[#This Row],[Estoque+Importação]]&lt;1,"Tirar","ok"))</f>
        <v>ok</v>
      </c>
      <c r="C35" s="23">
        <v>33060114487</v>
      </c>
      <c r="D35" s="22" t="s">
        <v>146</v>
      </c>
      <c r="E35" s="22" t="str">
        <f>VLOOKUP(Rapid[[#This Row],[Código]],BD_Produto[],3,FALSE)</f>
        <v>Grampeador Eletrico</v>
      </c>
      <c r="F35" s="22" t="str">
        <f>VLOOKUP(Rapid[[#This Row],[Código]],BD_Produto[],4,FALSE)</f>
        <v>Grampeador Eletrico</v>
      </c>
      <c r="G35" s="24"/>
      <c r="H35" s="25"/>
      <c r="I35" s="22"/>
      <c r="J35" s="24"/>
      <c r="K35" s="24" t="str">
        <f>IFERROR(VLOOKUP(Rapid[[#This Row],[Código]],Importação!P:R,3,FALSE),"")</f>
        <v/>
      </c>
      <c r="L35" s="24">
        <f>IFERROR(VLOOKUP(Rapid[[#This Row],[Código]],Saldo[],3,FALSE),0)</f>
        <v>148</v>
      </c>
      <c r="M35" s="24">
        <f>SUM(Rapid[[#This Row],[Produção]:[Estoque]])</f>
        <v>148</v>
      </c>
      <c r="N35" s="24">
        <f>IFERROR(Rapid[[#This Row],[Estoque+Importação]]/Rapid[[#This Row],[Proj. de V. No prox. mes]],"Sem Projeção")</f>
        <v>261.17647058823536</v>
      </c>
      <c r="O35" s="24">
        <f>IF(OR(Rapid[[#This Row],[Status]]="Em Linha",Rapid[[#This Row],[Status]]="Componente",Rapid[[#This Row],[Status]]="Materia Prima"),Rapid[[#This Row],[Proj. de V. No prox. mes]]*10,"-")</f>
        <v>5.6666666666666652</v>
      </c>
      <c r="P35" s="34">
        <f>IF(OR(Rapid[[#This Row],[Status]]="Em Linha",Rapid[[#This Row],[Status]]="Componente",Rapid[[#This Row],[Status]]="Materia Prima"),Rapid[[#This Row],[estoque 10 meses]]-Rapid[[#This Row],[Estoque+Importação]],0)</f>
        <v>-142.33333333333334</v>
      </c>
      <c r="Q35" s="75">
        <f>VLOOKUP(Rapid[[#This Row],[Código]],Projeção[#All],15,FALSE)</f>
        <v>0.56666666666666654</v>
      </c>
      <c r="R35" s="39">
        <f>VLOOKUP(Rapid[[#This Row],[Código]],Projeção[#All],14,FALSE)</f>
        <v>9.9999999999999992E-2</v>
      </c>
      <c r="S35" s="39">
        <f>IFERROR(VLOOKUP(Rapid[[#This Row],[Código]],Venda_mes[],2,FALSE),0)</f>
        <v>0</v>
      </c>
      <c r="T35" s="44">
        <f>IFERROR(Rapid[[#This Row],[V. No mes]]/Rapid[[#This Row],[Proj. de V. No mes]],"")</f>
        <v>0</v>
      </c>
      <c r="U35" s="43">
        <f>VLOOKUP(Rapid[[#This Row],[Código]],Projeção[#All],14,FALSE)+VLOOKUP(Rapid[[#This Row],[Código]],Projeção[#All],13,FALSE)+VLOOKUP(Rapid[[#This Row],[Código]],Projeção[#All],12,FALSE)</f>
        <v>0.36666666666666659</v>
      </c>
      <c r="V35" s="39">
        <f>IFERROR(VLOOKUP(Rapid[[#This Row],[Código]],Venda_3meses[],2,FALSE),0)</f>
        <v>2</v>
      </c>
      <c r="W35" s="44">
        <f>IFERROR(Rapid[[#This Row],[V. 3 meses]]/Rapid[[#This Row],[Proj. de V. 3 meses]],"")</f>
        <v>5.4545454545454559</v>
      </c>
      <c r="X3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4.5</v>
      </c>
      <c r="Y35" s="39">
        <f>IFERROR(VLOOKUP(Rapid[[#This Row],[Código]],Venda_12meses[],2,FALSE),0)</f>
        <v>3</v>
      </c>
      <c r="Z35" s="44">
        <f>IFERROR(Rapid[[#This Row],[V. 12 meses]]/Rapid[[#This Row],[Proj. de V. 12 meses]],"")</f>
        <v>0.66666666666666663</v>
      </c>
      <c r="AA35" s="22"/>
    </row>
    <row r="36" spans="1:27" x14ac:dyDescent="0.25">
      <c r="A36" s="22" t="str">
        <f>VLOOKUP(Rapid[[#This Row],[Código]],BD_Produto[#All],7,FALSE)</f>
        <v>Em Linha</v>
      </c>
      <c r="B36" s="22" t="str">
        <f>IF(OR(Rapid[[#This Row],[Status]]="Em linha",Rapid[[#This Row],[Status]]="Materia Prima",Rapid[[#This Row],[Status]]="Componente"),"ok",IF(Rapid[[#This Row],[Estoque+Importação]]&lt;1,"Tirar","ok"))</f>
        <v>ok</v>
      </c>
      <c r="C36" s="23">
        <v>33060514920</v>
      </c>
      <c r="D36" s="22" t="s">
        <v>312</v>
      </c>
      <c r="E36" s="22" t="str">
        <f>VLOOKUP(Rapid[[#This Row],[Código]],BD_Produto[],3,FALSE)</f>
        <v>Grampo</v>
      </c>
      <c r="F36" s="22" t="str">
        <f>VLOOKUP(Rapid[[#This Row],[Código]],BD_Produto[],4,FALSE)</f>
        <v>Grampeador Heavy Duty</v>
      </c>
      <c r="G36" s="24"/>
      <c r="H36" s="25"/>
      <c r="I36" s="22"/>
      <c r="J36" s="24"/>
      <c r="K36" s="24" t="str">
        <f>IFERROR(VLOOKUP(Rapid[[#This Row],[Código]],Importação!P:R,3,FALSE),"")</f>
        <v/>
      </c>
      <c r="L36" s="24">
        <f>IFERROR(VLOOKUP(Rapid[[#This Row],[Código]],Saldo[],3,FALSE),0)</f>
        <v>79</v>
      </c>
      <c r="M36" s="24">
        <f>SUM(Rapid[[#This Row],[Produção]:[Estoque]])</f>
        <v>79</v>
      </c>
      <c r="N36" s="24" t="str">
        <f>IFERROR(Rapid[[#This Row],[Estoque+Importação]]/Rapid[[#This Row],[Proj. de V. No prox. mes]],"Sem Projeção")</f>
        <v>Sem Projeção</v>
      </c>
      <c r="O36" s="24">
        <f>IF(OR(Rapid[[#This Row],[Status]]="Em Linha",Rapid[[#This Row],[Status]]="Componente",Rapid[[#This Row],[Status]]="Materia Prima"),Rapid[[#This Row],[Proj. de V. No prox. mes]]*10,"-")</f>
        <v>0</v>
      </c>
      <c r="P36" s="34">
        <f>IF(OR(Rapid[[#This Row],[Status]]="Em Linha",Rapid[[#This Row],[Status]]="Componente",Rapid[[#This Row],[Status]]="Materia Prima"),Rapid[[#This Row],[estoque 10 meses]]-Rapid[[#This Row],[Estoque+Importação]],0)</f>
        <v>-79</v>
      </c>
      <c r="Q36" s="75">
        <f>VLOOKUP(Rapid[[#This Row],[Código]],Projeção[#All],15,FALSE)</f>
        <v>0</v>
      </c>
      <c r="R36" s="39">
        <f>VLOOKUP(Rapid[[#This Row],[Código]],Projeção[#All],14,FALSE)</f>
        <v>3.3333333333333333E-2</v>
      </c>
      <c r="S36" s="39">
        <f>IFERROR(VLOOKUP(Rapid[[#This Row],[Código]],Venda_mes[],2,FALSE),0)</f>
        <v>0</v>
      </c>
      <c r="T36" s="44">
        <f>IFERROR(Rapid[[#This Row],[V. No mes]]/Rapid[[#This Row],[Proj. de V. No mes]],"")</f>
        <v>0</v>
      </c>
      <c r="U36" s="43">
        <f>VLOOKUP(Rapid[[#This Row],[Código]],Projeção[#All],14,FALSE)+VLOOKUP(Rapid[[#This Row],[Código]],Projeção[#All],13,FALSE)+VLOOKUP(Rapid[[#This Row],[Código]],Projeção[#All],12,FALSE)</f>
        <v>0.1</v>
      </c>
      <c r="V36" s="39">
        <f>IFERROR(VLOOKUP(Rapid[[#This Row],[Código]],Venda_3meses[],2,FALSE),0)</f>
        <v>0</v>
      </c>
      <c r="W36" s="44">
        <f>IFERROR(Rapid[[#This Row],[V. 3 meses]]/Rapid[[#This Row],[Proj. de V. 3 meses]],"")</f>
        <v>0</v>
      </c>
      <c r="X3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3.1666666666666661</v>
      </c>
      <c r="Y36" s="39">
        <f>IFERROR(VLOOKUP(Rapid[[#This Row],[Código]],Venda_12meses[],2,FALSE),0)</f>
        <v>0</v>
      </c>
      <c r="Z36" s="44">
        <f>IFERROR(Rapid[[#This Row],[V. 12 meses]]/Rapid[[#This Row],[Proj. de V. 12 meses]],"")</f>
        <v>0</v>
      </c>
      <c r="AA36" s="22"/>
    </row>
    <row r="37" spans="1:27" x14ac:dyDescent="0.25">
      <c r="A37" s="22" t="str">
        <f>VLOOKUP(Rapid[[#This Row],[Código]],BD_Produto[#All],7,FALSE)</f>
        <v>Em Linha</v>
      </c>
      <c r="B37" s="22" t="str">
        <f>IF(OR(Rapid[[#This Row],[Status]]="Em linha",Rapid[[#This Row],[Status]]="Materia Prima",Rapid[[#This Row],[Status]]="Componente"),"ok",IF(Rapid[[#This Row],[Estoque+Importação]]&lt;1,"Tirar","ok"))</f>
        <v>ok</v>
      </c>
      <c r="C37" s="23">
        <v>33060164508</v>
      </c>
      <c r="D37" s="22" t="s">
        <v>934</v>
      </c>
      <c r="E37" s="22" t="str">
        <f>VLOOKUP(Rapid[[#This Row],[Código]],BD_Produto[],3,FALSE)</f>
        <v>Grampeador de Mesa</v>
      </c>
      <c r="F37" s="22" t="str">
        <f>VLOOKUP(Rapid[[#This Row],[Código]],BD_Produto[],4,FALSE)</f>
        <v>Grampeador de Mesa</v>
      </c>
      <c r="G37" s="24"/>
      <c r="H37" s="25"/>
      <c r="I37" s="22"/>
      <c r="J37" s="24"/>
      <c r="K37" s="24" t="str">
        <f>IFERROR(VLOOKUP(Rapid[[#This Row],[Código]],Importação!P:R,3,FALSE),"")</f>
        <v/>
      </c>
      <c r="L37" s="24">
        <f>IFERROR(VLOOKUP(Rapid[[#This Row],[Código]],Saldo[],3,FALSE),0)</f>
        <v>10167</v>
      </c>
      <c r="M37" s="24">
        <f>SUM(Rapid[[#This Row],[Produção]:[Estoque]])</f>
        <v>10167</v>
      </c>
      <c r="N37" s="24">
        <f>IFERROR(Rapid[[#This Row],[Estoque+Importação]]/Rapid[[#This Row],[Proj. de V. No prox. mes]],"Sem Projeção")</f>
        <v>16945</v>
      </c>
      <c r="O37" s="24">
        <f>IF(OR(Rapid[[#This Row],[Status]]="Em Linha",Rapid[[#This Row],[Status]]="Componente",Rapid[[#This Row],[Status]]="Materia Prima"),Rapid[[#This Row],[Proj. de V. No prox. mes]]*10,"-")</f>
        <v>6</v>
      </c>
      <c r="P37" s="34">
        <f>IF(OR(Rapid[[#This Row],[Status]]="Em Linha",Rapid[[#This Row],[Status]]="Componente",Rapid[[#This Row],[Status]]="Materia Prima"),Rapid[[#This Row],[estoque 10 meses]]-Rapid[[#This Row],[Estoque+Importação]],0)</f>
        <v>-10161</v>
      </c>
      <c r="Q37" s="75">
        <f>VLOOKUP(Rapid[[#This Row],[Código]],Projeção[#All],15,FALSE)</f>
        <v>0.6</v>
      </c>
      <c r="R37" s="39">
        <f>VLOOKUP(Rapid[[#This Row],[Código]],Projeção[#All],14,FALSE)</f>
        <v>2.9</v>
      </c>
      <c r="S37" s="39">
        <f>IFERROR(VLOOKUP(Rapid[[#This Row],[Código]],Venda_mes[],2,FALSE),0)</f>
        <v>0</v>
      </c>
      <c r="T37" s="44">
        <f>IFERROR(Rapid[[#This Row],[V. No mes]]/Rapid[[#This Row],[Proj. de V. No mes]],"")</f>
        <v>0</v>
      </c>
      <c r="U37" s="43">
        <f>VLOOKUP(Rapid[[#This Row],[Código]],Projeção[#All],14,FALSE)+VLOOKUP(Rapid[[#This Row],[Código]],Projeção[#All],13,FALSE)+VLOOKUP(Rapid[[#This Row],[Código]],Projeção[#All],12,FALSE)</f>
        <v>7.9</v>
      </c>
      <c r="V37" s="39">
        <f>IFERROR(VLOOKUP(Rapid[[#This Row],[Código]],Venda_3meses[],2,FALSE),0)</f>
        <v>0</v>
      </c>
      <c r="W37" s="44">
        <f>IFERROR(Rapid[[#This Row],[V. 3 meses]]/Rapid[[#This Row],[Proj. de V. 3 meses]],"")</f>
        <v>0</v>
      </c>
      <c r="X3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11.099999999999998</v>
      </c>
      <c r="Y37" s="39">
        <f>IFERROR(VLOOKUP(Rapid[[#This Row],[Código]],Venda_12meses[],2,FALSE),0)</f>
        <v>18</v>
      </c>
      <c r="Z37" s="44">
        <f>IFERROR(Rapid[[#This Row],[V. 12 meses]]/Rapid[[#This Row],[Proj. de V. 12 meses]],"")</f>
        <v>1.6216216216216219</v>
      </c>
      <c r="AA37" s="22"/>
    </row>
    <row r="38" spans="1:27" x14ac:dyDescent="0.25">
      <c r="A38" s="22" t="str">
        <f>VLOOKUP(Rapid[[#This Row],[Código]],BD_Produto[#All],7,FALSE)</f>
        <v>Em linha</v>
      </c>
      <c r="B38" s="22" t="str">
        <f>IF(OR(Rapid[[#This Row],[Status]]="Em linha",Rapid[[#This Row],[Status]]="Materia Prima",Rapid[[#This Row],[Status]]="Componente"),"ok",IF(Rapid[[#This Row],[Estoque+Importação]]&lt;1,"Tirar","ok"))</f>
        <v>ok</v>
      </c>
      <c r="C38" s="23">
        <v>33060560523</v>
      </c>
      <c r="D38" s="22" t="s">
        <v>319</v>
      </c>
      <c r="E38" s="22" t="str">
        <f>VLOOKUP(Rapid[[#This Row],[Código]],BD_Produto[],3,FALSE)</f>
        <v>Grampo</v>
      </c>
      <c r="F38" s="22" t="str">
        <f>VLOOKUP(Rapid[[#This Row],[Código]],BD_Produto[],4,FALSE)</f>
        <v>Grampeador Heavy Duty</v>
      </c>
      <c r="G38" s="24"/>
      <c r="H38" s="25"/>
      <c r="I38" s="22"/>
      <c r="J38" s="24"/>
      <c r="K38" s="24" t="str">
        <f>IFERROR(VLOOKUP(Rapid[[#This Row],[Código]],Importação!P:R,3,FALSE),"")</f>
        <v/>
      </c>
      <c r="L38" s="24">
        <f>IFERROR(VLOOKUP(Rapid[[#This Row],[Código]],Saldo[],3,FALSE),0)</f>
        <v>5667</v>
      </c>
      <c r="M38" s="24">
        <f>SUM(Rapid[[#This Row],[Produção]:[Estoque]])</f>
        <v>5667</v>
      </c>
      <c r="N38" s="24">
        <f>IFERROR(Rapid[[#This Row],[Estoque+Importação]]/Rapid[[#This Row],[Proj. de V. No prox. mes]],"Sem Projeção")</f>
        <v>1619.1428571428573</v>
      </c>
      <c r="O38" s="24">
        <f>IF(OR(Rapid[[#This Row],[Status]]="Em Linha",Rapid[[#This Row],[Status]]="Componente",Rapid[[#This Row],[Status]]="Materia Prima"),Rapid[[#This Row],[Proj. de V. No prox. mes]]*10,"-")</f>
        <v>34.999999999999993</v>
      </c>
      <c r="P38" s="34">
        <f>IF(OR(Rapid[[#This Row],[Status]]="Em Linha",Rapid[[#This Row],[Status]]="Componente",Rapid[[#This Row],[Status]]="Materia Prima"),Rapid[[#This Row],[estoque 10 meses]]-Rapid[[#This Row],[Estoque+Importação]],0)</f>
        <v>-5632</v>
      </c>
      <c r="Q38" s="83">
        <f>VLOOKUP(Rapid[[#This Row],[Código]],Projeção[#All],15,FALSE)</f>
        <v>3.4999999999999996</v>
      </c>
      <c r="R38" s="38">
        <f>VLOOKUP(Rapid[[#This Row],[Código]],Projeção[#All],14,FALSE)</f>
        <v>0.83333333333333337</v>
      </c>
      <c r="S38" s="39">
        <f>IFERROR(VLOOKUP(Rapid[[#This Row],[Código]],Venda_mes[],2,FALSE),0)</f>
        <v>0</v>
      </c>
      <c r="T38" s="40">
        <f>IFERROR(Rapid[[#This Row],[V. No mes]]/Rapid[[#This Row],[Proj. de V. No mes]],"")</f>
        <v>0</v>
      </c>
      <c r="U38" s="39">
        <f>VLOOKUP(Rapid[[#This Row],[Código]],Projeção[#All],14,FALSE)+VLOOKUP(Rapid[[#This Row],[Código]],Projeção[#All],13,FALSE)+VLOOKUP(Rapid[[#This Row],[Código]],Projeção[#All],12,FALSE)</f>
        <v>3.5</v>
      </c>
      <c r="V38" s="39">
        <f>IFERROR(VLOOKUP(Rapid[[#This Row],[Código]],Venda_3meses[],2,FALSE),0)</f>
        <v>10</v>
      </c>
      <c r="W38" s="45">
        <f>IFERROR(Rapid[[#This Row],[V. 3 meses]]/Rapid[[#This Row],[Proj. de V. 3 meses]],"")</f>
        <v>2.8571428571428572</v>
      </c>
      <c r="X38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12.466666666666665</v>
      </c>
      <c r="Y38" s="39">
        <f>IFERROR(VLOOKUP(Rapid[[#This Row],[Código]],Venda_12meses[],2,FALSE),0)</f>
        <v>25</v>
      </c>
      <c r="Z38" s="45">
        <f>IFERROR(Rapid[[#This Row],[V. 12 meses]]/Rapid[[#This Row],[Proj. de V. 12 meses]],"")</f>
        <v>2.0053475935828882</v>
      </c>
      <c r="AA38" s="22"/>
    </row>
    <row r="39" spans="1:27" x14ac:dyDescent="0.25">
      <c r="A39" s="22" t="str">
        <f>VLOOKUP(Rapid[[#This Row],[Código]],BD_Produto[#All],7,FALSE)</f>
        <v>Em linha</v>
      </c>
      <c r="B39" s="22" t="str">
        <f>IF(OR(Rapid[[#This Row],[Status]]="Em linha",Rapid[[#This Row],[Status]]="Materia Prima",Rapid[[#This Row],[Status]]="Componente"),"ok",IF(Rapid[[#This Row],[Estoque+Importação]]&lt;1,"Tirar","ok"))</f>
        <v>ok</v>
      </c>
      <c r="C39" s="23">
        <v>33060514870</v>
      </c>
      <c r="D39" s="22" t="s">
        <v>311</v>
      </c>
      <c r="E39" s="22" t="str">
        <f>VLOOKUP(Rapid[[#This Row],[Código]],BD_Produto[],3,FALSE)</f>
        <v>Grampo</v>
      </c>
      <c r="F39" s="22" t="str">
        <f>VLOOKUP(Rapid[[#This Row],[Código]],BD_Produto[],4,FALSE)</f>
        <v>Grampeador de Mesa</v>
      </c>
      <c r="G39" s="24"/>
      <c r="H39" s="25"/>
      <c r="I39" s="22"/>
      <c r="J39" s="24"/>
      <c r="K39" s="24" t="str">
        <f>IFERROR(VLOOKUP(Rapid[[#This Row],[Código]],Importação!P:R,3,FALSE),"")</f>
        <v/>
      </c>
      <c r="L39" s="24">
        <f>IFERROR(VLOOKUP(Rapid[[#This Row],[Código]],Saldo[],3,FALSE),0)</f>
        <v>2429</v>
      </c>
      <c r="M39" s="24">
        <f>SUM(Rapid[[#This Row],[Produção]:[Estoque]])</f>
        <v>2429</v>
      </c>
      <c r="N39" s="24" t="str">
        <f>IFERROR(Rapid[[#This Row],[Estoque+Importação]]/Rapid[[#This Row],[Proj. de V. No prox. mes]],"Sem Projeção")</f>
        <v>Sem Projeção</v>
      </c>
      <c r="O39" s="24">
        <f>IF(OR(Rapid[[#This Row],[Status]]="Em Linha",Rapid[[#This Row],[Status]]="Componente",Rapid[[#This Row],[Status]]="Materia Prima"),Rapid[[#This Row],[Proj. de V. No prox. mes]]*10,"-")</f>
        <v>0</v>
      </c>
      <c r="P39" s="34">
        <f>IF(OR(Rapid[[#This Row],[Status]]="Em Linha",Rapid[[#This Row],[Status]]="Componente",Rapid[[#This Row],[Status]]="Materia Prima"),Rapid[[#This Row],[estoque 10 meses]]-Rapid[[#This Row],[Estoque+Importação]],0)</f>
        <v>-2429</v>
      </c>
      <c r="Q39" s="83">
        <f>VLOOKUP(Rapid[[#This Row],[Código]],Projeção[#All],15,FALSE)</f>
        <v>0</v>
      </c>
      <c r="R39" s="39">
        <f>VLOOKUP(Rapid[[#This Row],[Código]],Projeção[#All],14,FALSE)</f>
        <v>0.5</v>
      </c>
      <c r="S39" s="39">
        <f>IFERROR(VLOOKUP(Rapid[[#This Row],[Código]],Venda_mes[],2,FALSE),0)</f>
        <v>0</v>
      </c>
      <c r="T39" s="45">
        <f>IFERROR(Rapid[[#This Row],[V. No mes]]/Rapid[[#This Row],[Proj. de V. No mes]],"")</f>
        <v>0</v>
      </c>
      <c r="U39" s="39">
        <f>VLOOKUP(Rapid[[#This Row],[Código]],Projeção[#All],14,FALSE)+VLOOKUP(Rapid[[#This Row],[Código]],Projeção[#All],13,FALSE)+VLOOKUP(Rapid[[#This Row],[Código]],Projeção[#All],12,FALSE)</f>
        <v>1.1666666666666667</v>
      </c>
      <c r="V39" s="39">
        <f>IFERROR(VLOOKUP(Rapid[[#This Row],[Código]],Venda_3meses[],2,FALSE),0)</f>
        <v>0</v>
      </c>
      <c r="W39" s="45">
        <f>IFERROR(Rapid[[#This Row],[V. 3 meses]]/Rapid[[#This Row],[Proj. de V. 3 meses]],"")</f>
        <v>0</v>
      </c>
      <c r="X39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13.799999999999999</v>
      </c>
      <c r="Y39" s="39">
        <f>IFERROR(VLOOKUP(Rapid[[#This Row],[Código]],Venda_12meses[],2,FALSE),0)</f>
        <v>0</v>
      </c>
      <c r="Z39" s="45">
        <f>IFERROR(Rapid[[#This Row],[V. 12 meses]]/Rapid[[#This Row],[Proj. de V. 12 meses]],"")</f>
        <v>0</v>
      </c>
      <c r="AA39" s="22"/>
    </row>
    <row r="40" spans="1:27" x14ac:dyDescent="0.25">
      <c r="A40" s="22" t="str">
        <f>VLOOKUP(Rapid[[#This Row],[Código]],BD_Produto[#All],7,FALSE)</f>
        <v>Em linha</v>
      </c>
      <c r="B40" s="22" t="str">
        <f>IF(OR(Rapid[[#This Row],[Status]]="Em linha",Rapid[[#This Row],[Status]]="Materia Prima",Rapid[[#This Row],[Status]]="Componente"),"ok",IF(Rapid[[#This Row],[Estoque+Importação]]&lt;1,"Tirar","ok"))</f>
        <v>ok</v>
      </c>
      <c r="C40" s="23">
        <v>33060514699</v>
      </c>
      <c r="D40" s="22" t="s">
        <v>309</v>
      </c>
      <c r="E40" s="22" t="str">
        <f>VLOOKUP(Rapid[[#This Row],[Código]],BD_Produto[],3,FALSE)</f>
        <v>Grampo</v>
      </c>
      <c r="F40" s="22" t="str">
        <f>VLOOKUP(Rapid[[#This Row],[Código]],BD_Produto[],4,FALSE)</f>
        <v>Grampeador Heavy Duty</v>
      </c>
      <c r="G40" s="24"/>
      <c r="H40" s="25"/>
      <c r="I40" s="22"/>
      <c r="J40" s="24"/>
      <c r="K40" s="24" t="str">
        <f>IFERROR(VLOOKUP(Rapid[[#This Row],[Código]],Importação!P:R,3,FALSE),"")</f>
        <v/>
      </c>
      <c r="L40" s="24">
        <f>IFERROR(VLOOKUP(Rapid[[#This Row],[Código]],Saldo[],3,FALSE),0)</f>
        <v>1984</v>
      </c>
      <c r="M40" s="24">
        <f>SUM(Rapid[[#This Row],[Produção]:[Estoque]])</f>
        <v>1984</v>
      </c>
      <c r="N40" s="24">
        <f>IFERROR(Rapid[[#This Row],[Estoque+Importação]]/Rapid[[#This Row],[Proj. de V. No prox. mes]],"Sem Projeção")</f>
        <v>1984</v>
      </c>
      <c r="O40" s="24">
        <f>IF(OR(Rapid[[#This Row],[Status]]="Em Linha",Rapid[[#This Row],[Status]]="Componente",Rapid[[#This Row],[Status]]="Materia Prima"),Rapid[[#This Row],[Proj. de V. No prox. mes]]*10,"-")</f>
        <v>10</v>
      </c>
      <c r="P40" s="34">
        <f>IF(OR(Rapid[[#This Row],[Status]]="Em Linha",Rapid[[#This Row],[Status]]="Componente",Rapid[[#This Row],[Status]]="Materia Prima"),Rapid[[#This Row],[estoque 10 meses]]-Rapid[[#This Row],[Estoque+Importação]],0)</f>
        <v>-1974</v>
      </c>
      <c r="Q40" s="75">
        <f>VLOOKUP(Rapid[[#This Row],[Código]],Projeção[#All],15,FALSE)</f>
        <v>1</v>
      </c>
      <c r="R40" s="39">
        <f>VLOOKUP(Rapid[[#This Row],[Código]],Projeção[#All],14,FALSE)</f>
        <v>0</v>
      </c>
      <c r="S40" s="39">
        <f>IFERROR(VLOOKUP(Rapid[[#This Row],[Código]],Venda_mes[],2,FALSE),0)</f>
        <v>0</v>
      </c>
      <c r="T40" s="44" t="str">
        <f>IFERROR(Rapid[[#This Row],[V. No mes]]/Rapid[[#This Row],[Proj. de V. No mes]],"")</f>
        <v/>
      </c>
      <c r="U40" s="43">
        <f>VLOOKUP(Rapid[[#This Row],[Código]],Projeção[#All],14,FALSE)+VLOOKUP(Rapid[[#This Row],[Código]],Projeção[#All],13,FALSE)+VLOOKUP(Rapid[[#This Row],[Código]],Projeção[#All],12,FALSE)</f>
        <v>0</v>
      </c>
      <c r="V40" s="39">
        <f>IFERROR(VLOOKUP(Rapid[[#This Row],[Código]],Venda_3meses[],2,FALSE),0)</f>
        <v>0</v>
      </c>
      <c r="W40" s="44" t="str">
        <f>IFERROR(Rapid[[#This Row],[V. 3 meses]]/Rapid[[#This Row],[Proj. de V. 3 meses]],"")</f>
        <v/>
      </c>
      <c r="X4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19.466666666666669</v>
      </c>
      <c r="Y40" s="39">
        <f>IFERROR(VLOOKUP(Rapid[[#This Row],[Código]],Venda_12meses[],2,FALSE),0)</f>
        <v>10</v>
      </c>
      <c r="Z40" s="44">
        <f>IFERROR(Rapid[[#This Row],[V. 12 meses]]/Rapid[[#This Row],[Proj. de V. 12 meses]],"")</f>
        <v>0.51369863013698625</v>
      </c>
      <c r="AA40" s="22"/>
    </row>
    <row r="41" spans="1:27" x14ac:dyDescent="0.25">
      <c r="A41" s="22" t="str">
        <f>VLOOKUP(Rapid[[#This Row],[Código]],BD_Produto[#All],7,FALSE)</f>
        <v>Em linha</v>
      </c>
      <c r="B41" s="22" t="str">
        <f>IF(OR(Rapid[[#This Row],[Status]]="Em linha",Rapid[[#This Row],[Status]]="Materia Prima",Rapid[[#This Row],[Status]]="Componente"),"ok",IF(Rapid[[#This Row],[Estoque+Importação]]&lt;1,"Tirar","ok"))</f>
        <v>ok</v>
      </c>
      <c r="C41" s="23">
        <v>33070561590</v>
      </c>
      <c r="D41" s="22" t="s">
        <v>592</v>
      </c>
      <c r="E41" s="22" t="str">
        <f>VLOOKUP(Rapid[[#This Row],[Código]],BD_Produto[],3,FALSE)</f>
        <v>Grampo</v>
      </c>
      <c r="F41" s="22" t="str">
        <f>VLOOKUP(Rapid[[#This Row],[Código]],BD_Produto[],4,FALSE)</f>
        <v>Grampeador Pistola</v>
      </c>
      <c r="G41" s="24"/>
      <c r="H41" s="25"/>
      <c r="I41" s="22"/>
      <c r="J41" s="24"/>
      <c r="K41" s="24" t="str">
        <f>IFERROR(VLOOKUP(Rapid[[#This Row],[Código]],Importação!P:R,3,FALSE),"")</f>
        <v/>
      </c>
      <c r="L41" s="24">
        <f>IFERROR(VLOOKUP(Rapid[[#This Row],[Código]],Saldo[],3,FALSE),0)</f>
        <v>1193</v>
      </c>
      <c r="M41" s="24">
        <f>SUM(Rapid[[#This Row],[Produção]:[Estoque]])</f>
        <v>1193</v>
      </c>
      <c r="N41" s="24">
        <f>IFERROR(Rapid[[#This Row],[Estoque+Importação]]/Rapid[[#This Row],[Proj. de V. No prox. mes]],"Sem Projeção")</f>
        <v>1988.3333333333335</v>
      </c>
      <c r="O41" s="24">
        <f>IF(OR(Rapid[[#This Row],[Status]]="Em Linha",Rapid[[#This Row],[Status]]="Componente",Rapid[[#This Row],[Status]]="Materia Prima"),Rapid[[#This Row],[Proj. de V. No prox. mes]]*10,"-")</f>
        <v>6</v>
      </c>
      <c r="P41" s="34">
        <f>IF(OR(Rapid[[#This Row],[Status]]="Em Linha",Rapid[[#This Row],[Status]]="Componente",Rapid[[#This Row],[Status]]="Materia Prima"),Rapid[[#This Row],[estoque 10 meses]]-Rapid[[#This Row],[Estoque+Importação]],0)</f>
        <v>-1187</v>
      </c>
      <c r="Q41" s="83">
        <f>VLOOKUP(Rapid[[#This Row],[Código]],Projeção[#All],15,FALSE)</f>
        <v>0.6</v>
      </c>
      <c r="R41" s="39">
        <f>VLOOKUP(Rapid[[#This Row],[Código]],Projeção[#All],14,FALSE)</f>
        <v>0</v>
      </c>
      <c r="S41" s="39">
        <f>IFERROR(VLOOKUP(Rapid[[#This Row],[Código]],Venda_mes[],2,FALSE),0)</f>
        <v>0</v>
      </c>
      <c r="T41" s="45" t="str">
        <f>IFERROR(Rapid[[#This Row],[V. No mes]]/Rapid[[#This Row],[Proj. de V. No mes]],"")</f>
        <v/>
      </c>
      <c r="U41" s="39">
        <f>VLOOKUP(Rapid[[#This Row],[Código]],Projeção[#All],14,FALSE)+VLOOKUP(Rapid[[#This Row],[Código]],Projeção[#All],13,FALSE)+VLOOKUP(Rapid[[#This Row],[Código]],Projeção[#All],12,FALSE)</f>
        <v>0.73333333333333328</v>
      </c>
      <c r="V41" s="39">
        <f>IFERROR(VLOOKUP(Rapid[[#This Row],[Código]],Venda_3meses[],2,FALSE),0)</f>
        <v>0</v>
      </c>
      <c r="W41" s="45">
        <f>IFERROR(Rapid[[#This Row],[V. 3 meses]]/Rapid[[#This Row],[Proj. de V. 3 meses]],"")</f>
        <v>0</v>
      </c>
      <c r="X41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5.5</v>
      </c>
      <c r="Y41" s="39">
        <f>IFERROR(VLOOKUP(Rapid[[#This Row],[Código]],Venda_12meses[],2,FALSE),0)</f>
        <v>6</v>
      </c>
      <c r="Z41" s="45">
        <f>IFERROR(Rapid[[#This Row],[V. 12 meses]]/Rapid[[#This Row],[Proj. de V. 12 meses]],"")</f>
        <v>1.0909090909090908</v>
      </c>
      <c r="AA41" s="22">
        <v>24071301</v>
      </c>
    </row>
    <row r="42" spans="1:27" x14ac:dyDescent="0.25">
      <c r="A42" s="22" t="str">
        <f>VLOOKUP(Rapid[[#This Row],[Código]],BD_Produto[#All],7,FALSE)</f>
        <v>Em linha</v>
      </c>
      <c r="B42" s="22" t="str">
        <f>IF(OR(Rapid[[#This Row],[Status]]="Em linha",Rapid[[#This Row],[Status]]="Materia Prima",Rapid[[#This Row],[Status]]="Componente"),"ok",IF(Rapid[[#This Row],[Estoque+Importação]]&lt;1,"Tirar","ok"))</f>
        <v>ok</v>
      </c>
      <c r="C42" s="23">
        <v>33070561588</v>
      </c>
      <c r="D42" s="22" t="s">
        <v>590</v>
      </c>
      <c r="E42" s="22" t="str">
        <f>VLOOKUP(Rapid[[#This Row],[Código]],BD_Produto[],3,FALSE)</f>
        <v>Grampo</v>
      </c>
      <c r="F42" s="22" t="str">
        <f>VLOOKUP(Rapid[[#This Row],[Código]],BD_Produto[],4,FALSE)</f>
        <v>Grampeador Pistola</v>
      </c>
      <c r="G42" s="24"/>
      <c r="H42" s="25"/>
      <c r="I42" s="22"/>
      <c r="J42" s="24"/>
      <c r="K42" s="24" t="str">
        <f>IFERROR(VLOOKUP(Rapid[[#This Row],[Código]],Importação!P:R,3,FALSE),"")</f>
        <v/>
      </c>
      <c r="L42" s="24">
        <f>IFERROR(VLOOKUP(Rapid[[#This Row],[Código]],Saldo[],3,FALSE),0)</f>
        <v>1718</v>
      </c>
      <c r="M42" s="24">
        <f>SUM(Rapid[[#This Row],[Produção]:[Estoque]])</f>
        <v>1718</v>
      </c>
      <c r="N42" s="24">
        <f>IFERROR(Rapid[[#This Row],[Estoque+Importação]]/Rapid[[#This Row],[Proj. de V. No prox. mes]],"Sem Projeção")</f>
        <v>4295</v>
      </c>
      <c r="O42" s="24">
        <f>IF(OR(Rapid[[#This Row],[Status]]="Em Linha",Rapid[[#This Row],[Status]]="Componente",Rapid[[#This Row],[Status]]="Materia Prima"),Rapid[[#This Row],[Proj. de V. No prox. mes]]*10,"-")</f>
        <v>3.9999999999999996</v>
      </c>
      <c r="P42" s="34">
        <f>IF(OR(Rapid[[#This Row],[Status]]="Em Linha",Rapid[[#This Row],[Status]]="Componente",Rapid[[#This Row],[Status]]="Materia Prima"),Rapid[[#This Row],[estoque 10 meses]]-Rapid[[#This Row],[Estoque+Importação]],0)</f>
        <v>-1714</v>
      </c>
      <c r="Q42" s="83">
        <f>VLOOKUP(Rapid[[#This Row],[Código]],Projeção[#All],15,FALSE)</f>
        <v>0.39999999999999997</v>
      </c>
      <c r="R42" s="39">
        <f>VLOOKUP(Rapid[[#This Row],[Código]],Projeção[#All],14,FALSE)</f>
        <v>0</v>
      </c>
      <c r="S42" s="39">
        <f>IFERROR(VLOOKUP(Rapid[[#This Row],[Código]],Venda_mes[],2,FALSE),0)</f>
        <v>0</v>
      </c>
      <c r="T42" s="45" t="str">
        <f>IFERROR(Rapid[[#This Row],[V. No mes]]/Rapid[[#This Row],[Proj. de V. No mes]],"")</f>
        <v/>
      </c>
      <c r="U42" s="39">
        <f>VLOOKUP(Rapid[[#This Row],[Código]],Projeção[#All],14,FALSE)+VLOOKUP(Rapid[[#This Row],[Código]],Projeção[#All],13,FALSE)+VLOOKUP(Rapid[[#This Row],[Código]],Projeção[#All],12,FALSE)</f>
        <v>6.6666666666666666E-2</v>
      </c>
      <c r="V42" s="39">
        <f>IFERROR(VLOOKUP(Rapid[[#This Row],[Código]],Venda_3meses[],2,FALSE),0)</f>
        <v>0</v>
      </c>
      <c r="W42" s="45">
        <f>IFERROR(Rapid[[#This Row],[V. 3 meses]]/Rapid[[#This Row],[Proj. de V. 3 meses]],"")</f>
        <v>0</v>
      </c>
      <c r="X42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9.1666666666666679</v>
      </c>
      <c r="Y42" s="39">
        <f>IFERROR(VLOOKUP(Rapid[[#This Row],[Código]],Venda_12meses[],2,FALSE),0)</f>
        <v>4</v>
      </c>
      <c r="Z42" s="45">
        <f>IFERROR(Rapid[[#This Row],[V. 12 meses]]/Rapid[[#This Row],[Proj. de V. 12 meses]],"")</f>
        <v>0.43636363636363629</v>
      </c>
      <c r="AA42" s="22">
        <v>24071300</v>
      </c>
    </row>
    <row r="43" spans="1:27" x14ac:dyDescent="0.25">
      <c r="A43" s="22" t="str">
        <f>VLOOKUP(Rapid[[#This Row],[Código]],BD_Produto[#All],7,FALSE)</f>
        <v>Em linha</v>
      </c>
      <c r="B43" s="22" t="str">
        <f>IF(OR(Rapid[[#This Row],[Status]]="Em linha",Rapid[[#This Row],[Status]]="Materia Prima",Rapid[[#This Row],[Status]]="Componente"),"ok",IF(Rapid[[#This Row],[Estoque+Importação]]&lt;1,"Tirar","ok"))</f>
        <v>ok</v>
      </c>
      <c r="C43" s="23">
        <v>33060163880</v>
      </c>
      <c r="D43" s="22" t="s">
        <v>208</v>
      </c>
      <c r="E43" s="22" t="str">
        <f>VLOOKUP(Rapid[[#This Row],[Código]],BD_Produto[],3,FALSE)</f>
        <v>Grampeador Eletrico</v>
      </c>
      <c r="F43" s="22" t="str">
        <f>VLOOKUP(Rapid[[#This Row],[Código]],BD_Produto[],4,FALSE)</f>
        <v>Grampeador Eletrico</v>
      </c>
      <c r="G43" s="24"/>
      <c r="H43" s="25"/>
      <c r="I43" s="22"/>
      <c r="J43" s="24"/>
      <c r="K43" s="24" t="str">
        <f>IFERROR(VLOOKUP(Rapid[[#This Row],[Código]],Importação!P:R,3,FALSE),"")</f>
        <v/>
      </c>
      <c r="L43" s="24">
        <f>IFERROR(VLOOKUP(Rapid[[#This Row],[Código]],Saldo[],3,FALSE),0)</f>
        <v>89</v>
      </c>
      <c r="M43" s="24">
        <f>SUM(Rapid[[#This Row],[Produção]:[Estoque]])</f>
        <v>89</v>
      </c>
      <c r="N43" s="24" t="str">
        <f>IFERROR(Rapid[[#This Row],[Estoque+Importação]]/Rapid[[#This Row],[Proj. de V. No prox. mes]],"Sem Projeção")</f>
        <v>Sem Projeção</v>
      </c>
      <c r="O43" s="24">
        <f>IF(OR(Rapid[[#This Row],[Status]]="Em Linha",Rapid[[#This Row],[Status]]="Componente",Rapid[[#This Row],[Status]]="Materia Prima"),Rapid[[#This Row],[Proj. de V. No prox. mes]]*10,"-")</f>
        <v>0</v>
      </c>
      <c r="P43" s="34">
        <f>IF(OR(Rapid[[#This Row],[Status]]="Em Linha",Rapid[[#This Row],[Status]]="Componente",Rapid[[#This Row],[Status]]="Materia Prima"),Rapid[[#This Row],[estoque 10 meses]]-Rapid[[#This Row],[Estoque+Importação]],0)</f>
        <v>-89</v>
      </c>
      <c r="Q43" s="83">
        <f>VLOOKUP(Rapid[[#This Row],[Código]],Projeção[#All],15,FALSE)</f>
        <v>0</v>
      </c>
      <c r="R43" s="39">
        <f>VLOOKUP(Rapid[[#This Row],[Código]],Projeção[#All],14,FALSE)</f>
        <v>0</v>
      </c>
      <c r="S43" s="39">
        <f>IFERROR(VLOOKUP(Rapid[[#This Row],[Código]],Venda_mes[],2,FALSE),0)</f>
        <v>0</v>
      </c>
      <c r="T43" s="45" t="str">
        <f>IFERROR(Rapid[[#This Row],[V. No mes]]/Rapid[[#This Row],[Proj. de V. No mes]],"")</f>
        <v/>
      </c>
      <c r="U43" s="39">
        <f>VLOOKUP(Rapid[[#This Row],[Código]],Projeção[#All],14,FALSE)+VLOOKUP(Rapid[[#This Row],[Código]],Projeção[#All],13,FALSE)+VLOOKUP(Rapid[[#This Row],[Código]],Projeção[#All],12,FALSE)</f>
        <v>0</v>
      </c>
      <c r="V43" s="39">
        <f>IFERROR(VLOOKUP(Rapid[[#This Row],[Código]],Venda_3meses[],2,FALSE),0)</f>
        <v>0</v>
      </c>
      <c r="W43" s="45" t="str">
        <f>IFERROR(Rapid[[#This Row],[V. 3 meses]]/Rapid[[#This Row],[Proj. de V. 3 meses]],"")</f>
        <v/>
      </c>
      <c r="X43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0.73333333333333328</v>
      </c>
      <c r="Y43" s="39">
        <f>IFERROR(VLOOKUP(Rapid[[#This Row],[Código]],Venda_12meses[],2,FALSE),0)</f>
        <v>0</v>
      </c>
      <c r="Z43" s="45">
        <f>IFERROR(Rapid[[#This Row],[V. 12 meses]]/Rapid[[#This Row],[Proj. de V. 12 meses]],"")</f>
        <v>0</v>
      </c>
      <c r="AA43" s="22" t="s">
        <v>1698</v>
      </c>
    </row>
    <row r="44" spans="1:27" x14ac:dyDescent="0.25">
      <c r="A44" s="22" t="str">
        <f>VLOOKUP(Rapid[[#This Row],[Código]],BD_Produto[#All],7,FALSE)</f>
        <v>Em Linha</v>
      </c>
      <c r="B44" s="22" t="str">
        <f>IF(OR(Rapid[[#This Row],[Status]]="Em linha",Rapid[[#This Row],[Status]]="Materia Prima",Rapid[[#This Row],[Status]]="Componente"),"ok",IF(Rapid[[#This Row],[Estoque+Importação]]&lt;1,"Tirar","ok"))</f>
        <v>ok</v>
      </c>
      <c r="C44" s="23">
        <v>33060163227</v>
      </c>
      <c r="D44" s="22" t="s">
        <v>206</v>
      </c>
      <c r="E44" s="22" t="str">
        <f>VLOOKUP(Rapid[[#This Row],[Código]],BD_Produto[],3,FALSE)</f>
        <v>Grampeador Eletrico</v>
      </c>
      <c r="F44" s="22" t="str">
        <f>VLOOKUP(Rapid[[#This Row],[Código]],BD_Produto[],4,FALSE)</f>
        <v>Grampeador Eletrico</v>
      </c>
      <c r="G44" s="24"/>
      <c r="H44" s="25"/>
      <c r="I44" s="22"/>
      <c r="J44" s="24"/>
      <c r="K44" s="24" t="str">
        <f>IFERROR(VLOOKUP(Rapid[[#This Row],[Código]],Importação!P:R,3,FALSE),"")</f>
        <v/>
      </c>
      <c r="L44" s="24">
        <f>IFERROR(VLOOKUP(Rapid[[#This Row],[Código]],Saldo[],3,FALSE),0)</f>
        <v>205</v>
      </c>
      <c r="M44" s="24">
        <f>SUM(Rapid[[#This Row],[Produção]:[Estoque]])</f>
        <v>205</v>
      </c>
      <c r="N44" s="24">
        <f>IFERROR(Rapid[[#This Row],[Estoque+Importação]]/Rapid[[#This Row],[Proj. de V. No prox. mes]],"Sem Projeção")</f>
        <v>149.99999999999997</v>
      </c>
      <c r="O44" s="24">
        <f>IF(OR(Rapid[[#This Row],[Status]]="Em Linha",Rapid[[#This Row],[Status]]="Componente",Rapid[[#This Row],[Status]]="Materia Prima"),Rapid[[#This Row],[Proj. de V. No prox. mes]]*10,"-")</f>
        <v>13.66666666666667</v>
      </c>
      <c r="P44" s="34">
        <f>IF(OR(Rapid[[#This Row],[Status]]="Em Linha",Rapid[[#This Row],[Status]]="Componente",Rapid[[#This Row],[Status]]="Materia Prima"),Rapid[[#This Row],[estoque 10 meses]]-Rapid[[#This Row],[Estoque+Importação]],0)</f>
        <v>-191.33333333333334</v>
      </c>
      <c r="Q44" s="83">
        <f>VLOOKUP(Rapid[[#This Row],[Código]],Projeção[#All],15,FALSE)</f>
        <v>1.3666666666666669</v>
      </c>
      <c r="R44" s="39">
        <f>VLOOKUP(Rapid[[#This Row],[Código]],Projeção[#All],14,FALSE)</f>
        <v>0</v>
      </c>
      <c r="S44" s="39">
        <f>IFERROR(VLOOKUP(Rapid[[#This Row],[Código]],Venda_mes[],2,FALSE),0)</f>
        <v>0</v>
      </c>
      <c r="T44" s="45" t="str">
        <f>IFERROR(Rapid[[#This Row],[V. No mes]]/Rapid[[#This Row],[Proj. de V. No mes]],"")</f>
        <v/>
      </c>
      <c r="U44" s="39">
        <f>VLOOKUP(Rapid[[#This Row],[Código]],Projeção[#All],14,FALSE)+VLOOKUP(Rapid[[#This Row],[Código]],Projeção[#All],13,FALSE)+VLOOKUP(Rapid[[#This Row],[Código]],Projeção[#All],12,FALSE)</f>
        <v>0</v>
      </c>
      <c r="V44" s="39">
        <f>IFERROR(VLOOKUP(Rapid[[#This Row],[Código]],Venda_3meses[],2,FALSE),0)</f>
        <v>5</v>
      </c>
      <c r="W44" s="45" t="str">
        <f>IFERROR(Rapid[[#This Row],[V. 3 meses]]/Rapid[[#This Row],[Proj. de V. 3 meses]],"")</f>
        <v/>
      </c>
      <c r="X44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1.2333333333333334</v>
      </c>
      <c r="Y44" s="39">
        <f>IFERROR(VLOOKUP(Rapid[[#This Row],[Código]],Venda_12meses[],2,FALSE),0)</f>
        <v>7</v>
      </c>
      <c r="Z44" s="45">
        <f>IFERROR(Rapid[[#This Row],[V. 12 meses]]/Rapid[[#This Row],[Proj. de V. 12 meses]],"")</f>
        <v>5.6756756756756754</v>
      </c>
      <c r="AA44" s="22"/>
    </row>
    <row r="45" spans="1:27" x14ac:dyDescent="0.25">
      <c r="A45" s="22" t="str">
        <f>VLOOKUP(Rapid[[#This Row],[Código]],BD_Produto[#All],7,FALSE)</f>
        <v>Em linha</v>
      </c>
      <c r="B45" s="22" t="str">
        <f>IF(OR(Rapid[[#This Row],[Status]]="Em linha",Rapid[[#This Row],[Status]]="Materia Prima",Rapid[[#This Row],[Status]]="Componente"),"ok",IF(Rapid[[#This Row],[Estoque+Importação]]&lt;1,"Tirar","ok"))</f>
        <v>ok</v>
      </c>
      <c r="C45" s="23">
        <v>33060514137</v>
      </c>
      <c r="D45" s="22" t="s">
        <v>307</v>
      </c>
      <c r="E45" s="22" t="str">
        <f>VLOOKUP(Rapid[[#This Row],[Código]],BD_Produto[],3,FALSE)</f>
        <v>Grampo</v>
      </c>
      <c r="F45" s="22" t="str">
        <f>VLOOKUP(Rapid[[#This Row],[Código]],BD_Produto[],4,FALSE)</f>
        <v>Grampeador Heavy Duty</v>
      </c>
      <c r="G45" s="24"/>
      <c r="H45" s="25"/>
      <c r="I45" s="22"/>
      <c r="J45" s="24"/>
      <c r="K45" s="24" t="str">
        <f>IFERROR(VLOOKUP(Rapid[[#This Row],[Código]],Importação!P:R,3,FALSE),"")</f>
        <v/>
      </c>
      <c r="L45" s="24">
        <f>IFERROR(VLOOKUP(Rapid[[#This Row],[Código]],Saldo[],3,FALSE),0)</f>
        <v>68</v>
      </c>
      <c r="M45" s="24">
        <f>SUM(Rapid[[#This Row],[Produção]:[Estoque]])</f>
        <v>68</v>
      </c>
      <c r="N45" s="24">
        <f>IFERROR(Rapid[[#This Row],[Estoque+Importação]]/Rapid[[#This Row],[Proj. de V. No prox. mes]],"Sem Projeção")</f>
        <v>68</v>
      </c>
      <c r="O45" s="24">
        <f>IF(OR(Rapid[[#This Row],[Status]]="Em Linha",Rapid[[#This Row],[Status]]="Componente",Rapid[[#This Row],[Status]]="Materia Prima"),Rapid[[#This Row],[Proj. de V. No prox. mes]]*10,"-")</f>
        <v>10</v>
      </c>
      <c r="P45" s="34">
        <f>IF(OR(Rapid[[#This Row],[Status]]="Em Linha",Rapid[[#This Row],[Status]]="Componente",Rapid[[#This Row],[Status]]="Materia Prima"),Rapid[[#This Row],[estoque 10 meses]]-Rapid[[#This Row],[Estoque+Importação]],0)</f>
        <v>-58</v>
      </c>
      <c r="Q45" s="83">
        <f>VLOOKUP(Rapid[[#This Row],[Código]],Projeção[#All],15,FALSE)</f>
        <v>1</v>
      </c>
      <c r="R45" s="39">
        <f>VLOOKUP(Rapid[[#This Row],[Código]],Projeção[#All],14,FALSE)</f>
        <v>0</v>
      </c>
      <c r="S45" s="39">
        <f>IFERROR(VLOOKUP(Rapid[[#This Row],[Código]],Venda_mes[],2,FALSE),0)</f>
        <v>0</v>
      </c>
      <c r="T45" s="45" t="str">
        <f>IFERROR(Rapid[[#This Row],[V. No mes]]/Rapid[[#This Row],[Proj. de V. No mes]],"")</f>
        <v/>
      </c>
      <c r="U45" s="39">
        <f>VLOOKUP(Rapid[[#This Row],[Código]],Projeção[#All],14,FALSE)+VLOOKUP(Rapid[[#This Row],[Código]],Projeção[#All],13,FALSE)+VLOOKUP(Rapid[[#This Row],[Código]],Projeção[#All],12,FALSE)</f>
        <v>0</v>
      </c>
      <c r="V45" s="39">
        <f>IFERROR(VLOOKUP(Rapid[[#This Row],[Código]],Venda_3meses[],2,FALSE),0)</f>
        <v>0</v>
      </c>
      <c r="W45" s="45" t="str">
        <f>IFERROR(Rapid[[#This Row],[V. 3 meses]]/Rapid[[#This Row],[Proj. de V. 3 meses]],"")</f>
        <v/>
      </c>
      <c r="X45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1.2999999999999998</v>
      </c>
      <c r="Y45" s="39">
        <f>IFERROR(VLOOKUP(Rapid[[#This Row],[Código]],Venda_12meses[],2,FALSE),0)</f>
        <v>10</v>
      </c>
      <c r="Z45" s="45">
        <f>IFERROR(Rapid[[#This Row],[V. 12 meses]]/Rapid[[#This Row],[Proj. de V. 12 meses]],"")</f>
        <v>7.6923076923076934</v>
      </c>
      <c r="AA45" s="22" t="s">
        <v>1697</v>
      </c>
    </row>
    <row r="46" spans="1:27" x14ac:dyDescent="0.25">
      <c r="A46" s="22" t="str">
        <f>VLOOKUP(Rapid[[#This Row],[Código]],BD_Produto[#All],7,FALSE)</f>
        <v>Em Linha</v>
      </c>
      <c r="B46" s="22" t="str">
        <f>IF(OR(Rapid[[#This Row],[Status]]="Em linha",Rapid[[#This Row],[Status]]="Materia Prima",Rapid[[#This Row],[Status]]="Componente"),"ok",IF(Rapid[[#This Row],[Estoque+Importação]]&lt;1,"Tirar","ok"))</f>
        <v>ok</v>
      </c>
      <c r="C46" s="23">
        <v>33060165093</v>
      </c>
      <c r="D46" s="22" t="s">
        <v>1403</v>
      </c>
      <c r="E46" s="22" t="str">
        <f>VLOOKUP(Rapid[[#This Row],[Código]],BD_Produto[],3,FALSE)</f>
        <v>Grampo</v>
      </c>
      <c r="F46" s="22" t="str">
        <f>VLOOKUP(Rapid[[#This Row],[Código]],BD_Produto[],4,FALSE)</f>
        <v>Grampeador Eletrico</v>
      </c>
      <c r="G46" s="24"/>
      <c r="H46" s="25"/>
      <c r="I46" s="22"/>
      <c r="J46" s="24"/>
      <c r="K46" s="24" t="str">
        <f>IFERROR(VLOOKUP(Rapid[[#This Row],[Código]],Importação!P:R,3,FALSE),"")</f>
        <v/>
      </c>
      <c r="L46" s="24">
        <f>IFERROR(VLOOKUP(Rapid[[#This Row],[Código]],Saldo[],3,FALSE),0)</f>
        <v>216</v>
      </c>
      <c r="M46" s="24">
        <f>SUM(Rapid[[#This Row],[Produção]:[Estoque]])</f>
        <v>216</v>
      </c>
      <c r="N46" s="24" t="str">
        <f>IFERROR(Rapid[[#This Row],[Estoque+Importação]]/Rapid[[#This Row],[Proj. de V. No prox. mes]],"Sem Projeção")</f>
        <v>Sem Projeção</v>
      </c>
      <c r="O46" s="24">
        <f>IF(OR(Rapid[[#This Row],[Status]]="Em Linha",Rapid[[#This Row],[Status]]="Componente",Rapid[[#This Row],[Status]]="Materia Prima"),Rapid[[#This Row],[Proj. de V. No prox. mes]]*10,"-")</f>
        <v>0</v>
      </c>
      <c r="P46" s="34">
        <f>IF(OR(Rapid[[#This Row],[Status]]="Em Linha",Rapid[[#This Row],[Status]]="Componente",Rapid[[#This Row],[Status]]="Materia Prima"),Rapid[[#This Row],[estoque 10 meses]]-Rapid[[#This Row],[Estoque+Importação]],0)</f>
        <v>-216</v>
      </c>
      <c r="Q46" s="83">
        <f>VLOOKUP(Rapid[[#This Row],[Código]],Projeção[#All],15,FALSE)</f>
        <v>0</v>
      </c>
      <c r="R46" s="39">
        <f>VLOOKUP(Rapid[[#This Row],[Código]],Projeção[#All],14,FALSE)</f>
        <v>0</v>
      </c>
      <c r="S46" s="39">
        <f>IFERROR(VLOOKUP(Rapid[[#This Row],[Código]],Venda_mes[],2,FALSE),0)</f>
        <v>0</v>
      </c>
      <c r="T46" s="45" t="str">
        <f>IFERROR(Rapid[[#This Row],[V. No mes]]/Rapid[[#This Row],[Proj. de V. No mes]],"")</f>
        <v/>
      </c>
      <c r="U46" s="39">
        <f>VLOOKUP(Rapid[[#This Row],[Código]],Projeção[#All],14,FALSE)+VLOOKUP(Rapid[[#This Row],[Código]],Projeção[#All],13,FALSE)+VLOOKUP(Rapid[[#This Row],[Código]],Projeção[#All],12,FALSE)</f>
        <v>0</v>
      </c>
      <c r="V46" s="39">
        <f>IFERROR(VLOOKUP(Rapid[[#This Row],[Código]],Venda_3meses[],2,FALSE),0)</f>
        <v>0</v>
      </c>
      <c r="W46" s="45" t="str">
        <f>IFERROR(Rapid[[#This Row],[V. 3 meses]]/Rapid[[#This Row],[Proj. de V. 3 meses]],"")</f>
        <v/>
      </c>
      <c r="X46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46" s="39">
        <f>IFERROR(VLOOKUP(Rapid[[#This Row],[Código]],Venda_12meses[],2,FALSE),0)</f>
        <v>0</v>
      </c>
      <c r="Z46" s="45" t="str">
        <f>IFERROR(Rapid[[#This Row],[V. 12 meses]]/Rapid[[#This Row],[Proj. de V. 12 meses]],"")</f>
        <v/>
      </c>
      <c r="AA46" s="22"/>
    </row>
    <row r="47" spans="1:27" x14ac:dyDescent="0.25">
      <c r="A47" s="22" t="str">
        <f>VLOOKUP(Rapid[[#This Row],[Código]],BD_Produto[#All],7,FALSE)</f>
        <v>Em Linha</v>
      </c>
      <c r="B47" s="22" t="str">
        <f>IF(OR(Rapid[[#This Row],[Status]]="Em linha",Rapid[[#This Row],[Status]]="Materia Prima",Rapid[[#This Row],[Status]]="Componente"),"ok",IF(Rapid[[#This Row],[Estoque+Importação]]&lt;1,"Tirar","ok"))</f>
        <v>ok</v>
      </c>
      <c r="C47" s="23">
        <v>33060163226</v>
      </c>
      <c r="D47" s="22" t="s">
        <v>887</v>
      </c>
      <c r="E47" s="22" t="str">
        <f>VLOOKUP(Rapid[[#This Row],[Código]],BD_Produto[],3,FALSE)</f>
        <v>Grampeador Eletrico</v>
      </c>
      <c r="F47" s="22" t="str">
        <f>VLOOKUP(Rapid[[#This Row],[Código]],BD_Produto[],4,FALSE)</f>
        <v>Grampeador Eletrico</v>
      </c>
      <c r="G47" s="24"/>
      <c r="H47" s="25"/>
      <c r="I47" s="22"/>
      <c r="J47" s="24"/>
      <c r="K47" s="24" t="str">
        <f>IFERROR(VLOOKUP(Rapid[[#This Row],[Código]],Importação!P:R,3,FALSE),"")</f>
        <v/>
      </c>
      <c r="L47" s="24">
        <f>IFERROR(VLOOKUP(Rapid[[#This Row],[Código]],Saldo[],3,FALSE),0)</f>
        <v>235</v>
      </c>
      <c r="M47" s="24">
        <f>SUM(Rapid[[#This Row],[Produção]:[Estoque]])</f>
        <v>235</v>
      </c>
      <c r="N47" s="24">
        <f>IFERROR(Rapid[[#This Row],[Estoque+Importação]]/Rapid[[#This Row],[Proj. de V. No prox. mes]],"Sem Projeção")</f>
        <v>167.85714285714283</v>
      </c>
      <c r="O47" s="24">
        <f>IF(OR(Rapid[[#This Row],[Status]]="Em Linha",Rapid[[#This Row],[Status]]="Componente",Rapid[[#This Row],[Status]]="Materia Prima"),Rapid[[#This Row],[Proj. de V. No prox. mes]]*10,"-")</f>
        <v>14.000000000000002</v>
      </c>
      <c r="P47" s="34">
        <f>IF(OR(Rapid[[#This Row],[Status]]="Em Linha",Rapid[[#This Row],[Status]]="Componente",Rapid[[#This Row],[Status]]="Materia Prima"),Rapid[[#This Row],[estoque 10 meses]]-Rapid[[#This Row],[Estoque+Importação]],0)</f>
        <v>-221</v>
      </c>
      <c r="Q47" s="83">
        <f>VLOOKUP(Rapid[[#This Row],[Código]],Projeção[#All],15,FALSE)</f>
        <v>1.4000000000000001</v>
      </c>
      <c r="R47" s="39">
        <f>VLOOKUP(Rapid[[#This Row],[Código]],Projeção[#All],14,FALSE)</f>
        <v>0</v>
      </c>
      <c r="S47" s="39">
        <f>IFERROR(VLOOKUP(Rapid[[#This Row],[Código]],Venda_mes[],2,FALSE),0)</f>
        <v>0</v>
      </c>
      <c r="T47" s="45" t="str">
        <f>IFERROR(Rapid[[#This Row],[V. No mes]]/Rapid[[#This Row],[Proj. de V. No mes]],"")</f>
        <v/>
      </c>
      <c r="U47" s="39">
        <f>VLOOKUP(Rapid[[#This Row],[Código]],Projeção[#All],14,FALSE)+VLOOKUP(Rapid[[#This Row],[Código]],Projeção[#All],13,FALSE)+VLOOKUP(Rapid[[#This Row],[Código]],Projeção[#All],12,FALSE)</f>
        <v>0</v>
      </c>
      <c r="V47" s="39">
        <f>IFERROR(VLOOKUP(Rapid[[#This Row],[Código]],Venda_3meses[],2,FALSE),0)</f>
        <v>3</v>
      </c>
      <c r="W47" s="45" t="str">
        <f>IFERROR(Rapid[[#This Row],[V. 3 meses]]/Rapid[[#This Row],[Proj. de V. 3 meses]],"")</f>
        <v/>
      </c>
      <c r="X47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47" s="39">
        <f>IFERROR(VLOOKUP(Rapid[[#This Row],[Código]],Venda_12meses[],2,FALSE),0)</f>
        <v>10</v>
      </c>
      <c r="Z47" s="45" t="str">
        <f>IFERROR(Rapid[[#This Row],[V. 12 meses]]/Rapid[[#This Row],[Proj. de V. 12 meses]],"")</f>
        <v/>
      </c>
      <c r="AA47" s="22"/>
    </row>
    <row r="48" spans="1:27" x14ac:dyDescent="0.25">
      <c r="A48" s="22" t="str">
        <f>VLOOKUP(Rapid[[#This Row],[Código]],BD_Produto[#All],7,FALSE)</f>
        <v>Fora de linha</v>
      </c>
      <c r="B4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48" s="23">
        <v>33060114902</v>
      </c>
      <c r="D48" s="22" t="s">
        <v>168</v>
      </c>
      <c r="E48" s="22" t="str">
        <f>VLOOKUP(Rapid[[#This Row],[Código]],BD_Produto[],3,FALSE)</f>
        <v>Grampeador de Mesa</v>
      </c>
      <c r="F48" s="22" t="str">
        <f>VLOOKUP(Rapid[[#This Row],[Código]],BD_Produto[],4,FALSE)</f>
        <v>Grampeador de Mesa</v>
      </c>
      <c r="G48" s="24"/>
      <c r="H48" s="25"/>
      <c r="I48" s="22"/>
      <c r="J48" s="24"/>
      <c r="K48" s="24" t="str">
        <f>IFERROR(VLOOKUP(Rapid[[#This Row],[Código]],Importação!P:R,3,FALSE),"")</f>
        <v/>
      </c>
      <c r="L48" s="24">
        <f>IFERROR(VLOOKUP(Rapid[[#This Row],[Código]],Saldo[],3,FALSE),0)</f>
        <v>0</v>
      </c>
      <c r="M48" s="24">
        <f>SUM(Rapid[[#This Row],[Produção]:[Estoque]])</f>
        <v>0</v>
      </c>
      <c r="N48" s="24">
        <f>IFERROR(Rapid[[#This Row],[Estoque+Importação]]/Rapid[[#This Row],[Proj. de V. No prox. mes]],"Sem Projeção")</f>
        <v>0</v>
      </c>
      <c r="O48" s="24" t="str">
        <f>IF(OR(Rapid[[#This Row],[Status]]="Em Linha",Rapid[[#This Row],[Status]]="Componente",Rapid[[#This Row],[Status]]="Materia Prima"),Rapid[[#This Row],[Proj. de V. No prox. mes]]*10,"-")</f>
        <v>-</v>
      </c>
      <c r="P4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48" s="83">
        <f>VLOOKUP(Rapid[[#This Row],[Código]],Projeção[#All],15,FALSE)</f>
        <v>0.33333333333333331</v>
      </c>
      <c r="R48" s="39">
        <f>VLOOKUP(Rapid[[#This Row],[Código]],Projeção[#All],14,FALSE)</f>
        <v>4.4666666666666668</v>
      </c>
      <c r="S48" s="39">
        <f>IFERROR(VLOOKUP(Rapid[[#This Row],[Código]],Venda_mes[],2,FALSE),0)</f>
        <v>0</v>
      </c>
      <c r="T48" s="45">
        <f>IFERROR(Rapid[[#This Row],[V. No mes]]/Rapid[[#This Row],[Proj. de V. No mes]],"")</f>
        <v>0</v>
      </c>
      <c r="U48" s="39">
        <f>VLOOKUP(Rapid[[#This Row],[Código]],Projeção[#All],14,FALSE)+VLOOKUP(Rapid[[#This Row],[Código]],Projeção[#All],13,FALSE)+VLOOKUP(Rapid[[#This Row],[Código]],Projeção[#All],12,FALSE)</f>
        <v>15.399999999999999</v>
      </c>
      <c r="V48" s="39">
        <f>IFERROR(VLOOKUP(Rapid[[#This Row],[Código]],Venda_3meses[],2,FALSE),0)</f>
        <v>0</v>
      </c>
      <c r="W48" s="45">
        <f>IFERROR(Rapid[[#This Row],[V. 3 meses]]/Rapid[[#This Row],[Proj. de V. 3 meses]],"")</f>
        <v>0</v>
      </c>
      <c r="X48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94.566666666666663</v>
      </c>
      <c r="Y48" s="39">
        <f>IFERROR(VLOOKUP(Rapid[[#This Row],[Código]],Venda_12meses[],2,FALSE),0)</f>
        <v>10</v>
      </c>
      <c r="Z48" s="45">
        <f>IFERROR(Rapid[[#This Row],[V. 12 meses]]/Rapid[[#This Row],[Proj. de V. 12 meses]],"")</f>
        <v>0.10574550581600282</v>
      </c>
      <c r="AA48" s="22"/>
    </row>
    <row r="49" spans="1:27" x14ac:dyDescent="0.25">
      <c r="A49" s="22" t="str">
        <f>VLOOKUP(Rapid[[#This Row],[Código]],BD_Produto[#All],7,FALSE)</f>
        <v>Fora de linha</v>
      </c>
      <c r="B4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49" s="23">
        <v>33060763223</v>
      </c>
      <c r="D49" s="22" t="s">
        <v>334</v>
      </c>
      <c r="E49" s="22" t="str">
        <f>VLOOKUP(Rapid[[#This Row],[Código]],BD_Produto[],3,FALSE)</f>
        <v>Perfurador</v>
      </c>
      <c r="F49" s="22" t="str">
        <f>VLOOKUP(Rapid[[#This Row],[Código]],BD_Produto[],4,FALSE)</f>
        <v>Perfurador</v>
      </c>
      <c r="G49" s="24"/>
      <c r="H49" s="25"/>
      <c r="I49" s="22"/>
      <c r="J49" s="24"/>
      <c r="K49" s="24" t="str">
        <f>IFERROR(VLOOKUP(Rapid[[#This Row],[Código]],Importação!P:R,3,FALSE),"")</f>
        <v/>
      </c>
      <c r="L49" s="24">
        <f>IFERROR(VLOOKUP(Rapid[[#This Row],[Código]],Saldo[],3,FALSE),0)</f>
        <v>0</v>
      </c>
      <c r="M49" s="24">
        <f>SUM(Rapid[[#This Row],[Produção]:[Estoque]])</f>
        <v>0</v>
      </c>
      <c r="N49" s="24">
        <f>IFERROR(Rapid[[#This Row],[Estoque+Importação]]/Rapid[[#This Row],[Proj. de V. No prox. mes]],"Sem Projeção")</f>
        <v>0</v>
      </c>
      <c r="O49" s="24" t="str">
        <f>IF(OR(Rapid[[#This Row],[Status]]="Em Linha",Rapid[[#This Row],[Status]]="Componente",Rapid[[#This Row],[Status]]="Materia Prima"),Rapid[[#This Row],[Proj. de V. No prox. mes]]*10,"-")</f>
        <v>-</v>
      </c>
      <c r="P4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49" s="75">
        <f>VLOOKUP(Rapid[[#This Row],[Código]],Projeção[#All],15,FALSE)</f>
        <v>30.099999999999998</v>
      </c>
      <c r="R49" s="39">
        <f>VLOOKUP(Rapid[[#This Row],[Código]],Projeção[#All],14,FALSE)</f>
        <v>44.866666666666667</v>
      </c>
      <c r="S49" s="39">
        <f>IFERROR(VLOOKUP(Rapid[[#This Row],[Código]],Venda_mes[],2,FALSE),0)</f>
        <v>0</v>
      </c>
      <c r="T49" s="44">
        <f>IFERROR(Rapid[[#This Row],[V. No mes]]/Rapid[[#This Row],[Proj. de V. No mes]],"")</f>
        <v>0</v>
      </c>
      <c r="U49" s="43">
        <f>VLOOKUP(Rapid[[#This Row],[Código]],Projeção[#All],14,FALSE)+VLOOKUP(Rapid[[#This Row],[Código]],Projeção[#All],13,FALSE)+VLOOKUP(Rapid[[#This Row],[Código]],Projeção[#All],12,FALSE)</f>
        <v>132.26666666666668</v>
      </c>
      <c r="V49" s="39">
        <f>IFERROR(VLOOKUP(Rapid[[#This Row],[Código]],Venda_3meses[],2,FALSE),0)</f>
        <v>75</v>
      </c>
      <c r="W49" s="44">
        <f>IFERROR(Rapid[[#This Row],[V. 3 meses]]/Rapid[[#This Row],[Proj. de V. 3 meses]],"")</f>
        <v>0.56703629032258063</v>
      </c>
      <c r="X4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316.69999999999993</v>
      </c>
      <c r="Y49" s="39">
        <f>IFERROR(VLOOKUP(Rapid[[#This Row],[Código]],Venda_12meses[],2,FALSE),0)</f>
        <v>401</v>
      </c>
      <c r="Z49" s="44">
        <f>IFERROR(Rapid[[#This Row],[V. 12 meses]]/Rapid[[#This Row],[Proj. de V. 12 meses]],"")</f>
        <v>1.2661825071045156</v>
      </c>
      <c r="AA49" s="22"/>
    </row>
    <row r="50" spans="1:27" x14ac:dyDescent="0.25">
      <c r="A50" s="22" t="str">
        <f>VLOOKUP(Rapid[[#This Row],[Código]],BD_Produto[#All],7,FALSE)</f>
        <v>Fora de linha</v>
      </c>
      <c r="B5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50" s="23">
        <v>33060160515</v>
      </c>
      <c r="D50" s="22" t="s">
        <v>184</v>
      </c>
      <c r="E50" s="22" t="str">
        <f>VLOOKUP(Rapid[[#This Row],[Código]],BD_Produto[],3,FALSE)</f>
        <v>Grampeador de Mesa</v>
      </c>
      <c r="F50" s="22" t="str">
        <f>VLOOKUP(Rapid[[#This Row],[Código]],BD_Produto[],4,FALSE)</f>
        <v>Grampeador de Mesa</v>
      </c>
      <c r="G50" s="24"/>
      <c r="H50" s="25"/>
      <c r="I50" s="22"/>
      <c r="J50" s="24"/>
      <c r="K50" s="24" t="str">
        <f>IFERROR(VLOOKUP(Rapid[[#This Row],[Código]],Importação!P:R,3,FALSE),"")</f>
        <v/>
      </c>
      <c r="L50" s="24">
        <f>IFERROR(VLOOKUP(Rapid[[#This Row],[Código]],Saldo[],3,FALSE),0)</f>
        <v>0</v>
      </c>
      <c r="M50" s="24">
        <f>SUM(Rapid[[#This Row],[Produção]:[Estoque]])</f>
        <v>0</v>
      </c>
      <c r="N50" s="24">
        <f>IFERROR(Rapid[[#This Row],[Estoque+Importação]]/Rapid[[#This Row],[Proj. de V. No prox. mes]],"Sem Projeção")</f>
        <v>0</v>
      </c>
      <c r="O50" s="24" t="str">
        <f>IF(OR(Rapid[[#This Row],[Status]]="Em Linha",Rapid[[#This Row],[Status]]="Componente",Rapid[[#This Row],[Status]]="Materia Prima"),Rapid[[#This Row],[Proj. de V. No prox. mes]]*10,"-")</f>
        <v>-</v>
      </c>
      <c r="P5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0" s="83">
        <f>VLOOKUP(Rapid[[#This Row],[Código]],Projeção[#All],15,FALSE)</f>
        <v>288.93333333333328</v>
      </c>
      <c r="R50" s="39">
        <f>VLOOKUP(Rapid[[#This Row],[Código]],Projeção[#All],14,FALSE)</f>
        <v>563.73333333333335</v>
      </c>
      <c r="S50" s="39">
        <f>IFERROR(VLOOKUP(Rapid[[#This Row],[Código]],Venda_mes[],2,FALSE),0)</f>
        <v>0</v>
      </c>
      <c r="T50" s="45">
        <f>IFERROR(Rapid[[#This Row],[V. No mes]]/Rapid[[#This Row],[Proj. de V. No mes]],"")</f>
        <v>0</v>
      </c>
      <c r="U50" s="39">
        <f>VLOOKUP(Rapid[[#This Row],[Código]],Projeção[#All],14,FALSE)+VLOOKUP(Rapid[[#This Row],[Código]],Projeção[#All],13,FALSE)+VLOOKUP(Rapid[[#This Row],[Código]],Projeção[#All],12,FALSE)</f>
        <v>1580.9666666666667</v>
      </c>
      <c r="V50" s="39">
        <f>IFERROR(VLOOKUP(Rapid[[#This Row],[Código]],Venda_3meses[],2,FALSE),0)</f>
        <v>231</v>
      </c>
      <c r="W50" s="45">
        <f>IFERROR(Rapid[[#This Row],[V. 3 meses]]/Rapid[[#This Row],[Proj. de V. 3 meses]],"")</f>
        <v>0.14611313753188976</v>
      </c>
      <c r="X50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5184.4666666666672</v>
      </c>
      <c r="Y50" s="39">
        <f>IFERROR(VLOOKUP(Rapid[[#This Row],[Código]],Venda_12meses[],2,FALSE),0)</f>
        <v>4554</v>
      </c>
      <c r="Z50" s="45">
        <f>IFERROR(Rapid[[#This Row],[V. 12 meses]]/Rapid[[#This Row],[Proj. de V. 12 meses]],"")</f>
        <v>0.87839314876490016</v>
      </c>
      <c r="AA50" s="22"/>
    </row>
    <row r="51" spans="1:27" x14ac:dyDescent="0.25">
      <c r="A51" s="22" t="str">
        <f>VLOOKUP(Rapid[[#This Row],[Código]],BD_Produto[#All],7,FALSE)</f>
        <v>Fora de linha</v>
      </c>
      <c r="B51" s="22" t="str">
        <f>IF(OR(Rapid[[#This Row],[Status]]="Em linha",Rapid[[#This Row],[Status]]="Materia Prima",Rapid[[#This Row],[Status]]="Componente"),"ok",IF(Rapid[[#This Row],[Estoque+Importação]]&lt;1,"Tirar","ok"))</f>
        <v>ok</v>
      </c>
      <c r="C51" s="23">
        <v>33060160538</v>
      </c>
      <c r="D51" s="22" t="s">
        <v>191</v>
      </c>
      <c r="E51" s="22" t="str">
        <f>VLOOKUP(Rapid[[#This Row],[Código]],BD_Produto[],3,FALSE)</f>
        <v>Grampeador de Mesa</v>
      </c>
      <c r="F51" s="22" t="str">
        <f>VLOOKUP(Rapid[[#This Row],[Código]],BD_Produto[],4,FALSE)</f>
        <v>Grampeador de Mesa</v>
      </c>
      <c r="G51" s="24"/>
      <c r="H51" s="25"/>
      <c r="I51" s="22"/>
      <c r="J51" s="24"/>
      <c r="K51" s="24" t="str">
        <f>IFERROR(VLOOKUP(Rapid[[#This Row],[Código]],Importação!P:R,3,FALSE),"")</f>
        <v/>
      </c>
      <c r="L51" s="24">
        <f>IFERROR(VLOOKUP(Rapid[[#This Row],[Código]],Saldo[],3,FALSE),0)</f>
        <v>2</v>
      </c>
      <c r="M51" s="24">
        <f>SUM(Rapid[[#This Row],[Produção]:[Estoque]])</f>
        <v>2</v>
      </c>
      <c r="N51" s="24">
        <f>IFERROR(Rapid[[#This Row],[Estoque+Importação]]/Rapid[[#This Row],[Proj. de V. No prox. mes]],"Sem Projeção")</f>
        <v>0.78947368421052633</v>
      </c>
      <c r="O51" s="24" t="str">
        <f>IF(OR(Rapid[[#This Row],[Status]]="Em Linha",Rapid[[#This Row],[Status]]="Componente",Rapid[[#This Row],[Status]]="Materia Prima"),Rapid[[#This Row],[Proj. de V. No prox. mes]]*10,"-")</f>
        <v>-</v>
      </c>
      <c r="P5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1" s="83">
        <f>VLOOKUP(Rapid[[#This Row],[Código]],Projeção[#All],15,FALSE)</f>
        <v>2.5333333333333332</v>
      </c>
      <c r="R51" s="39">
        <f>VLOOKUP(Rapid[[#This Row],[Código]],Projeção[#All],14,FALSE)</f>
        <v>4.4666666666666668</v>
      </c>
      <c r="S51" s="39">
        <f>IFERROR(VLOOKUP(Rapid[[#This Row],[Código]],Venda_mes[],2,FALSE),0)</f>
        <v>0</v>
      </c>
      <c r="T51" s="45">
        <f>IFERROR(Rapid[[#This Row],[V. No mes]]/Rapid[[#This Row],[Proj. de V. No mes]],"")</f>
        <v>0</v>
      </c>
      <c r="U51" s="39">
        <f>VLOOKUP(Rapid[[#This Row],[Código]],Projeção[#All],14,FALSE)+VLOOKUP(Rapid[[#This Row],[Código]],Projeção[#All],13,FALSE)+VLOOKUP(Rapid[[#This Row],[Código]],Projeção[#All],12,FALSE)</f>
        <v>10.6</v>
      </c>
      <c r="V51" s="39">
        <f>IFERROR(VLOOKUP(Rapid[[#This Row],[Código]],Venda_3meses[],2,FALSE),0)</f>
        <v>6</v>
      </c>
      <c r="W51" s="45">
        <f>IFERROR(Rapid[[#This Row],[V. 3 meses]]/Rapid[[#This Row],[Proj. de V. 3 meses]],"")</f>
        <v>0.56603773584905659</v>
      </c>
      <c r="X51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29.033333333333331</v>
      </c>
      <c r="Y51" s="39">
        <f>IFERROR(VLOOKUP(Rapid[[#This Row],[Código]],Venda_12meses[],2,FALSE),0)</f>
        <v>28</v>
      </c>
      <c r="Z51" s="45">
        <f>IFERROR(Rapid[[#This Row],[V. 12 meses]]/Rapid[[#This Row],[Proj. de V. 12 meses]],"")</f>
        <v>0.96440872560275548</v>
      </c>
      <c r="AA51" s="22"/>
    </row>
    <row r="52" spans="1:27" x14ac:dyDescent="0.25">
      <c r="A52" s="22" t="str">
        <f>VLOOKUP(Rapid[[#This Row],[Código]],BD_Produto[#All],7,FALSE)</f>
        <v>Fora de linha</v>
      </c>
      <c r="B52" s="22" t="str">
        <f>IF(OR(Rapid[[#This Row],[Status]]="Em linha",Rapid[[#This Row],[Status]]="Materia Prima",Rapid[[#This Row],[Status]]="Componente"),"ok",IF(Rapid[[#This Row],[Estoque+Importação]]&lt;1,"Tirar","ok"))</f>
        <v>Tirar</v>
      </c>
      <c r="C52" s="23">
        <v>33060163879</v>
      </c>
      <c r="D52" s="22" t="s">
        <v>1170</v>
      </c>
      <c r="E52" s="22" t="str">
        <f>VLOOKUP(Rapid[[#This Row],[Código]],BD_Produto[],3,FALSE)</f>
        <v>Grampeador Eletrico</v>
      </c>
      <c r="F52" s="22" t="str">
        <f>VLOOKUP(Rapid[[#This Row],[Código]],BD_Produto[],4,FALSE)</f>
        <v>Grampeador Eletrico</v>
      </c>
      <c r="G52" s="24"/>
      <c r="H52" s="25"/>
      <c r="I52" s="22"/>
      <c r="J52" s="24"/>
      <c r="K52" s="24" t="str">
        <f>IFERROR(VLOOKUP(Rapid[[#This Row],[Código]],Importação!P:R,3,FALSE),"")</f>
        <v/>
      </c>
      <c r="L52" s="24">
        <f>IFERROR(VLOOKUP(Rapid[[#This Row],[Código]],Saldo[],3,FALSE),0)</f>
        <v>0</v>
      </c>
      <c r="M52" s="24">
        <f>SUM(Rapid[[#This Row],[Produção]:[Estoque]])</f>
        <v>0</v>
      </c>
      <c r="N52" s="24">
        <f>IFERROR(Rapid[[#This Row],[Estoque+Importação]]/Rapid[[#This Row],[Proj. de V. No prox. mes]],"Sem Projeção")</f>
        <v>0</v>
      </c>
      <c r="O52" s="24" t="str">
        <f>IF(OR(Rapid[[#This Row],[Status]]="Em Linha",Rapid[[#This Row],[Status]]="Componente",Rapid[[#This Row],[Status]]="Materia Prima"),Rapid[[#This Row],[Proj. de V. No prox. mes]]*10,"-")</f>
        <v>-</v>
      </c>
      <c r="P5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2" s="83">
        <f>VLOOKUP(Rapid[[#This Row],[Código]],Projeção[#All],15,FALSE)</f>
        <v>2.6999999999999997</v>
      </c>
      <c r="R52" s="39">
        <f>VLOOKUP(Rapid[[#This Row],[Código]],Projeção[#All],14,FALSE)</f>
        <v>3.9</v>
      </c>
      <c r="S52" s="39">
        <f>IFERROR(VLOOKUP(Rapid[[#This Row],[Código]],Venda_mes[],2,FALSE),0)</f>
        <v>0</v>
      </c>
      <c r="T52" s="45">
        <f>IFERROR(Rapid[[#This Row],[V. No mes]]/Rapid[[#This Row],[Proj. de V. No mes]],"")</f>
        <v>0</v>
      </c>
      <c r="U52" s="39">
        <f>VLOOKUP(Rapid[[#This Row],[Código]],Projeção[#All],14,FALSE)+VLOOKUP(Rapid[[#This Row],[Código]],Projeção[#All],13,FALSE)+VLOOKUP(Rapid[[#This Row],[Código]],Projeção[#All],12,FALSE)</f>
        <v>10.4</v>
      </c>
      <c r="V52" s="39">
        <f>IFERROR(VLOOKUP(Rapid[[#This Row],[Código]],Venda_3meses[],2,FALSE),0)</f>
        <v>0</v>
      </c>
      <c r="W52" s="45">
        <f>IFERROR(Rapid[[#This Row],[V. 3 meses]]/Rapid[[#This Row],[Proj. de V. 3 meses]],"")</f>
        <v>0</v>
      </c>
      <c r="X52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46.8</v>
      </c>
      <c r="Y52" s="39">
        <f>IFERROR(VLOOKUP(Rapid[[#This Row],[Código]],Venda_12meses[],2,FALSE),0)</f>
        <v>41</v>
      </c>
      <c r="Z52" s="45">
        <f>IFERROR(Rapid[[#This Row],[V. 12 meses]]/Rapid[[#This Row],[Proj. de V. 12 meses]],"")</f>
        <v>0.87606837606837618</v>
      </c>
      <c r="AA52" s="22" t="s">
        <v>1690</v>
      </c>
    </row>
    <row r="53" spans="1:27" x14ac:dyDescent="0.25">
      <c r="A53" s="22" t="str">
        <f>VLOOKUP(Rapid[[#This Row],[Código]],BD_Produto[#All],7,FALSE)</f>
        <v>Fora de linha</v>
      </c>
      <c r="B53" s="22" t="str">
        <f>IF(OR(Rapid[[#This Row],[Status]]="Em linha",Rapid[[#This Row],[Status]]="Materia Prima",Rapid[[#This Row],[Status]]="Componente"),"ok",IF(Rapid[[#This Row],[Estoque+Importação]]&lt;1,"Tirar","ok"))</f>
        <v>ok</v>
      </c>
      <c r="C53" s="23">
        <v>33060761591</v>
      </c>
      <c r="D53" s="22" t="s">
        <v>332</v>
      </c>
      <c r="E53" s="22" t="str">
        <f>VLOOKUP(Rapid[[#This Row],[Código]],BD_Produto[],3,FALSE)</f>
        <v>Perfurador</v>
      </c>
      <c r="F53" s="22" t="str">
        <f>VLOOKUP(Rapid[[#This Row],[Código]],BD_Produto[],4,FALSE)</f>
        <v>Perfurador</v>
      </c>
      <c r="G53" s="24"/>
      <c r="H53" s="25"/>
      <c r="I53" s="22"/>
      <c r="J53" s="24"/>
      <c r="K53" s="24" t="str">
        <f>IFERROR(VLOOKUP(Rapid[[#This Row],[Código]],Importação!P:R,3,FALSE),"")</f>
        <v/>
      </c>
      <c r="L53" s="24">
        <f>IFERROR(VLOOKUP(Rapid[[#This Row],[Código]],Saldo[],3,FALSE),0)</f>
        <v>236</v>
      </c>
      <c r="M53" s="24">
        <f>SUM(Rapid[[#This Row],[Produção]:[Estoque]])</f>
        <v>236</v>
      </c>
      <c r="N53" s="24">
        <f>IFERROR(Rapid[[#This Row],[Estoque+Importação]]/Rapid[[#This Row],[Proj. de V. No prox. mes]],"Sem Projeção")</f>
        <v>58.512396694214878</v>
      </c>
      <c r="O53" s="24" t="str">
        <f>IF(OR(Rapid[[#This Row],[Status]]="Em Linha",Rapid[[#This Row],[Status]]="Componente",Rapid[[#This Row],[Status]]="Materia Prima"),Rapid[[#This Row],[Proj. de V. No prox. mes]]*10,"-")</f>
        <v>-</v>
      </c>
      <c r="P5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3" s="83">
        <f>VLOOKUP(Rapid[[#This Row],[Código]],Projeção[#All],15,FALSE)</f>
        <v>4.0333333333333332</v>
      </c>
      <c r="R53" s="39">
        <f>VLOOKUP(Rapid[[#This Row],[Código]],Projeção[#All],14,FALSE)</f>
        <v>30</v>
      </c>
      <c r="S53" s="39">
        <f>IFERROR(VLOOKUP(Rapid[[#This Row],[Código]],Venda_mes[],2,FALSE),0)</f>
        <v>0</v>
      </c>
      <c r="T53" s="45">
        <f>IFERROR(Rapid[[#This Row],[V. No mes]]/Rapid[[#This Row],[Proj. de V. No mes]],"")</f>
        <v>0</v>
      </c>
      <c r="U53" s="39">
        <f>VLOOKUP(Rapid[[#This Row],[Código]],Projeção[#All],14,FALSE)+VLOOKUP(Rapid[[#This Row],[Código]],Projeção[#All],13,FALSE)+VLOOKUP(Rapid[[#This Row],[Código]],Projeção[#All],12,FALSE)</f>
        <v>48.3</v>
      </c>
      <c r="V53" s="39">
        <f>IFERROR(VLOOKUP(Rapid[[#This Row],[Código]],Venda_3meses[],2,FALSE),0)</f>
        <v>0</v>
      </c>
      <c r="W53" s="45">
        <f>IFERROR(Rapid[[#This Row],[V. 3 meses]]/Rapid[[#This Row],[Proj. de V. 3 meses]],"")</f>
        <v>0</v>
      </c>
      <c r="X53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83.73333333333332</v>
      </c>
      <c r="Y53" s="39">
        <f>IFERROR(VLOOKUP(Rapid[[#This Row],[Código]],Venda_12meses[],2,FALSE),0)</f>
        <v>121</v>
      </c>
      <c r="Z53" s="45">
        <f>IFERROR(Rapid[[#This Row],[V. 12 meses]]/Rapid[[#This Row],[Proj. de V. 12 meses]],"")</f>
        <v>1.4450636942675161</v>
      </c>
      <c r="AA53" s="22">
        <v>23000600</v>
      </c>
    </row>
    <row r="54" spans="1:27" x14ac:dyDescent="0.25">
      <c r="A54" s="22" t="str">
        <f>VLOOKUP(Rapid[[#This Row],[Código]],BD_Produto[#All],7,FALSE)</f>
        <v>Fora de linha</v>
      </c>
      <c r="B5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54" s="23">
        <v>33060114904</v>
      </c>
      <c r="D54" s="22" t="s">
        <v>169</v>
      </c>
      <c r="E54" s="22" t="str">
        <f>VLOOKUP(Rapid[[#This Row],[Código]],BD_Produto[],3,FALSE)</f>
        <v>Grampeador de Mesa</v>
      </c>
      <c r="F54" s="22" t="str">
        <f>VLOOKUP(Rapid[[#This Row],[Código]],BD_Produto[],4,FALSE)</f>
        <v>Grampeador de Mesa</v>
      </c>
      <c r="G54" s="24"/>
      <c r="H54" s="25"/>
      <c r="I54" s="22"/>
      <c r="J54" s="24"/>
      <c r="K54" s="24" t="str">
        <f>IFERROR(VLOOKUP(Rapid[[#This Row],[Código]],Importação!P:R,3,FALSE),"")</f>
        <v/>
      </c>
      <c r="L54" s="24">
        <f>IFERROR(VLOOKUP(Rapid[[#This Row],[Código]],Saldo[],3,FALSE),0)</f>
        <v>0</v>
      </c>
      <c r="M54" s="24">
        <f>SUM(Rapid[[#This Row],[Produção]:[Estoque]])</f>
        <v>0</v>
      </c>
      <c r="N54" s="24">
        <f>IFERROR(Rapid[[#This Row],[Estoque+Importação]]/Rapid[[#This Row],[Proj. de V. No prox. mes]],"Sem Projeção")</f>
        <v>0</v>
      </c>
      <c r="O54" s="24" t="str">
        <f>IF(OR(Rapid[[#This Row],[Status]]="Em Linha",Rapid[[#This Row],[Status]]="Componente",Rapid[[#This Row],[Status]]="Materia Prima"),Rapid[[#This Row],[Proj. de V. No prox. mes]]*10,"-")</f>
        <v>-</v>
      </c>
      <c r="P5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4" s="75">
        <f>VLOOKUP(Rapid[[#This Row],[Código]],Projeção[#All],15,FALSE)</f>
        <v>9</v>
      </c>
      <c r="R54" s="39">
        <f>VLOOKUP(Rapid[[#This Row],[Código]],Projeção[#All],14,FALSE)</f>
        <v>11.133333333333331</v>
      </c>
      <c r="S54" s="39">
        <f>IFERROR(VLOOKUP(Rapid[[#This Row],[Código]],Venda_mes[],2,FALSE),0)</f>
        <v>0</v>
      </c>
      <c r="T54" s="44">
        <f>IFERROR(Rapid[[#This Row],[V. No mes]]/Rapid[[#This Row],[Proj. de V. No mes]],"")</f>
        <v>0</v>
      </c>
      <c r="U54" s="43">
        <f>VLOOKUP(Rapid[[#This Row],[Código]],Projeção[#All],14,FALSE)+VLOOKUP(Rapid[[#This Row],[Código]],Projeção[#All],13,FALSE)+VLOOKUP(Rapid[[#This Row],[Código]],Projeção[#All],12,FALSE)</f>
        <v>34.733333333333334</v>
      </c>
      <c r="V54" s="39">
        <f>IFERROR(VLOOKUP(Rapid[[#This Row],[Código]],Venda_3meses[],2,FALSE),0)</f>
        <v>20</v>
      </c>
      <c r="W54" s="44">
        <f>IFERROR(Rapid[[#This Row],[V. 3 meses]]/Rapid[[#This Row],[Proj. de V. 3 meses]],"")</f>
        <v>0.57581573896353166</v>
      </c>
      <c r="X5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118.06666666666668</v>
      </c>
      <c r="Y54" s="39">
        <f>IFERROR(VLOOKUP(Rapid[[#This Row],[Código]],Venda_12meses[],2,FALSE),0)</f>
        <v>110</v>
      </c>
      <c r="Z54" s="44">
        <f>IFERROR(Rapid[[#This Row],[V. 12 meses]]/Rapid[[#This Row],[Proj. de V. 12 meses]],"")</f>
        <v>0.93167701863354024</v>
      </c>
      <c r="AA54" s="22"/>
    </row>
    <row r="55" spans="1:27" x14ac:dyDescent="0.25">
      <c r="A55" s="22" t="str">
        <f>VLOOKUP(Rapid[[#This Row],[Código]],BD_Produto[#All],7,FALSE)</f>
        <v>Fora de linha</v>
      </c>
      <c r="B55" s="22" t="str">
        <f>IF(OR(Rapid[[#This Row],[Status]]="Em linha",Rapid[[#This Row],[Status]]="Materia Prima",Rapid[[#This Row],[Status]]="Componente"),"ok",IF(Rapid[[#This Row],[Estoque+Importação]]&lt;1,"Tirar","ok"))</f>
        <v>ok</v>
      </c>
      <c r="C55" s="23">
        <v>33060163222</v>
      </c>
      <c r="D55" s="22" t="s">
        <v>204</v>
      </c>
      <c r="E55" s="22" t="str">
        <f>VLOOKUP(Rapid[[#This Row],[Código]],BD_Produto[],3,FALSE)</f>
        <v>Grampeador de Mesa</v>
      </c>
      <c r="F55" s="22" t="str">
        <f>VLOOKUP(Rapid[[#This Row],[Código]],BD_Produto[],4,FALSE)</f>
        <v>Grampeador de Mesa</v>
      </c>
      <c r="G55" s="24"/>
      <c r="H55" s="25"/>
      <c r="I55" s="22"/>
      <c r="J55" s="24"/>
      <c r="K55" s="24" t="str">
        <f>IFERROR(VLOOKUP(Rapid[[#This Row],[Código]],Importação!P:R,3,FALSE),"")</f>
        <v/>
      </c>
      <c r="L55" s="24">
        <f>IFERROR(VLOOKUP(Rapid[[#This Row],[Código]],Saldo[],3,FALSE),0)</f>
        <v>212</v>
      </c>
      <c r="M55" s="24">
        <f>SUM(Rapid[[#This Row],[Produção]:[Estoque]])</f>
        <v>212</v>
      </c>
      <c r="N55" s="24">
        <f>IFERROR(Rapid[[#This Row],[Estoque+Importação]]/Rapid[[#This Row],[Proj. de V. No prox. mes]],"Sem Projeção")</f>
        <v>5.949485500467727</v>
      </c>
      <c r="O55" s="24" t="str">
        <f>IF(OR(Rapid[[#This Row],[Status]]="Em Linha",Rapid[[#This Row],[Status]]="Componente",Rapid[[#This Row],[Status]]="Materia Prima"),Rapid[[#This Row],[Proj. de V. No prox. mes]]*10,"-")</f>
        <v>-</v>
      </c>
      <c r="P5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5" s="75">
        <f>VLOOKUP(Rapid[[#This Row],[Código]],Projeção[#All],15,FALSE)</f>
        <v>35.633333333333333</v>
      </c>
      <c r="R55" s="39">
        <f>VLOOKUP(Rapid[[#This Row],[Código]],Projeção[#All],14,FALSE)</f>
        <v>40.333333333333336</v>
      </c>
      <c r="S55" s="39">
        <f>IFERROR(VLOOKUP(Rapid[[#This Row],[Código]],Venda_mes[],2,FALSE),0)</f>
        <v>15</v>
      </c>
      <c r="T55" s="44">
        <f>IFERROR(Rapid[[#This Row],[V. No mes]]/Rapid[[#This Row],[Proj. de V. No mes]],"")</f>
        <v>0.37190082644628097</v>
      </c>
      <c r="U55" s="43">
        <f>VLOOKUP(Rapid[[#This Row],[Código]],Projeção[#All],14,FALSE)+VLOOKUP(Rapid[[#This Row],[Código]],Projeção[#All],13,FALSE)+VLOOKUP(Rapid[[#This Row],[Código]],Projeção[#All],12,FALSE)</f>
        <v>103.8</v>
      </c>
      <c r="V55" s="39">
        <f>IFERROR(VLOOKUP(Rapid[[#This Row],[Código]],Venda_3meses[],2,FALSE),0)</f>
        <v>64</v>
      </c>
      <c r="W55" s="44">
        <f>IFERROR(Rapid[[#This Row],[V. 3 meses]]/Rapid[[#This Row],[Proj. de V. 3 meses]],"")</f>
        <v>0.61657032755298657</v>
      </c>
      <c r="X5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384.0333333333333</v>
      </c>
      <c r="Y55" s="39">
        <f>IFERROR(VLOOKUP(Rapid[[#This Row],[Código]],Venda_12meses[],2,FALSE),0)</f>
        <v>565</v>
      </c>
      <c r="Z55" s="44">
        <f>IFERROR(Rapid[[#This Row],[V. 12 meses]]/Rapid[[#This Row],[Proj. de V. 12 meses]],"")</f>
        <v>1.4712264560368025</v>
      </c>
      <c r="AA55" s="22"/>
    </row>
    <row r="56" spans="1:27" x14ac:dyDescent="0.25">
      <c r="A56" s="22" t="str">
        <f>VLOOKUP(Rapid[[#This Row],[Código]],BD_Produto[#All],7,FALSE)</f>
        <v>Fora de linha</v>
      </c>
      <c r="B56" s="22" t="str">
        <f>IF(OR(Rapid[[#This Row],[Status]]="Em linha",Rapid[[#This Row],[Status]]="Materia Prima",Rapid[[#This Row],[Status]]="Componente"),"ok",IF(Rapid[[#This Row],[Estoque+Importação]]&lt;1,"Tirar","ok"))</f>
        <v>ok</v>
      </c>
      <c r="C56" s="23">
        <v>33060714900</v>
      </c>
      <c r="D56" s="22" t="s">
        <v>973</v>
      </c>
      <c r="E56" s="22" t="str">
        <f>VLOOKUP(Rapid[[#This Row],[Código]],BD_Produto[],3,FALSE)</f>
        <v>Perfurador</v>
      </c>
      <c r="F56" s="22" t="str">
        <f>VLOOKUP(Rapid[[#This Row],[Código]],BD_Produto[],4,FALSE)</f>
        <v>Perfurador</v>
      </c>
      <c r="G56" s="24"/>
      <c r="H56" s="25"/>
      <c r="I56" s="22"/>
      <c r="J56" s="24"/>
      <c r="K56" s="24" t="str">
        <f>IFERROR(VLOOKUP(Rapid[[#This Row],[Código]],Importação!P:R,3,FALSE),"")</f>
        <v/>
      </c>
      <c r="L56" s="24">
        <f>IFERROR(VLOOKUP(Rapid[[#This Row],[Código]],Saldo[],3,FALSE),0)</f>
        <v>8</v>
      </c>
      <c r="M56" s="24">
        <f>SUM(Rapid[[#This Row],[Produção]:[Estoque]])</f>
        <v>8</v>
      </c>
      <c r="N56" s="24" t="str">
        <f>IFERROR(Rapid[[#This Row],[Estoque+Importação]]/Rapid[[#This Row],[Proj. de V. No prox. mes]],"Sem Projeção")</f>
        <v>Sem Projeção</v>
      </c>
      <c r="O56" s="24" t="str">
        <f>IF(OR(Rapid[[#This Row],[Status]]="Em Linha",Rapid[[#This Row],[Status]]="Componente",Rapid[[#This Row],[Status]]="Materia Prima"),Rapid[[#This Row],[Proj. de V. No prox. mes]]*10,"-")</f>
        <v>-</v>
      </c>
      <c r="P5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6" s="75">
        <f>VLOOKUP(Rapid[[#This Row],[Código]],Projeção[#All],15,FALSE)</f>
        <v>0</v>
      </c>
      <c r="R56" s="39">
        <f>VLOOKUP(Rapid[[#This Row],[Código]],Projeção[#All],14,FALSE)</f>
        <v>1.2</v>
      </c>
      <c r="S56" s="39">
        <f>IFERROR(VLOOKUP(Rapid[[#This Row],[Código]],Venda_mes[],2,FALSE),0)</f>
        <v>0</v>
      </c>
      <c r="T56" s="44">
        <f>IFERROR(Rapid[[#This Row],[V. No mes]]/Rapid[[#This Row],[Proj. de V. No mes]],"")</f>
        <v>0</v>
      </c>
      <c r="U56" s="43">
        <f>VLOOKUP(Rapid[[#This Row],[Código]],Projeção[#All],14,FALSE)+VLOOKUP(Rapid[[#This Row],[Código]],Projeção[#All],13,FALSE)+VLOOKUP(Rapid[[#This Row],[Código]],Projeção[#All],12,FALSE)</f>
        <v>3.0666666666666664</v>
      </c>
      <c r="V56" s="39">
        <f>IFERROR(VLOOKUP(Rapid[[#This Row],[Código]],Venda_3meses[],2,FALSE),0)</f>
        <v>0</v>
      </c>
      <c r="W56" s="44">
        <f>IFERROR(Rapid[[#This Row],[V. 3 meses]]/Rapid[[#This Row],[Proj. de V. 3 meses]],"")</f>
        <v>0</v>
      </c>
      <c r="X5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21.599999999999998</v>
      </c>
      <c r="Y56" s="39">
        <f>IFERROR(VLOOKUP(Rapid[[#This Row],[Código]],Venda_12meses[],2,FALSE),0)</f>
        <v>0</v>
      </c>
      <c r="Z56" s="44">
        <f>IFERROR(Rapid[[#This Row],[V. 12 meses]]/Rapid[[#This Row],[Proj. de V. 12 meses]],"")</f>
        <v>0</v>
      </c>
      <c r="AA56" s="22"/>
    </row>
    <row r="57" spans="1:27" x14ac:dyDescent="0.25">
      <c r="A57" s="22" t="str">
        <f>VLOOKUP(Rapid[[#This Row],[Código]],BD_Produto[#All],7,FALSE)</f>
        <v>Fora de linha</v>
      </c>
      <c r="B57" s="22" t="str">
        <f>IF(OR(Rapid[[#This Row],[Status]]="Em linha",Rapid[[#This Row],[Status]]="Materia Prima",Rapid[[#This Row],[Status]]="Componente"),"ok",IF(Rapid[[#This Row],[Estoque+Importação]]&lt;1,"Tirar","ok"))</f>
        <v>ok</v>
      </c>
      <c r="C57" s="23">
        <v>33060714901</v>
      </c>
      <c r="D57" s="22" t="s">
        <v>893</v>
      </c>
      <c r="E57" s="22" t="str">
        <f>VLOOKUP(Rapid[[#This Row],[Código]],BD_Produto[],3,FALSE)</f>
        <v>Perfurador</v>
      </c>
      <c r="F57" s="22" t="str">
        <f>VLOOKUP(Rapid[[#This Row],[Código]],BD_Produto[],4,FALSE)</f>
        <v>Perfurador</v>
      </c>
      <c r="G57" s="24"/>
      <c r="H57" s="25"/>
      <c r="I57" s="22"/>
      <c r="J57" s="24"/>
      <c r="K57" s="24" t="str">
        <f>IFERROR(VLOOKUP(Rapid[[#This Row],[Código]],Importação!P:R,3,FALSE),"")</f>
        <v/>
      </c>
      <c r="L57" s="24">
        <f>IFERROR(VLOOKUP(Rapid[[#This Row],[Código]],Saldo[],3,FALSE),0)</f>
        <v>10</v>
      </c>
      <c r="M57" s="24">
        <f>SUM(Rapid[[#This Row],[Produção]:[Estoque]])</f>
        <v>10</v>
      </c>
      <c r="N57" s="24" t="str">
        <f>IFERROR(Rapid[[#This Row],[Estoque+Importação]]/Rapid[[#This Row],[Proj. de V. No prox. mes]],"Sem Projeção")</f>
        <v>Sem Projeção</v>
      </c>
      <c r="O57" s="24" t="str">
        <f>IF(OR(Rapid[[#This Row],[Status]]="Em Linha",Rapid[[#This Row],[Status]]="Componente",Rapid[[#This Row],[Status]]="Materia Prima"),Rapid[[#This Row],[Proj. de V. No prox. mes]]*10,"-")</f>
        <v>-</v>
      </c>
      <c r="P5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7" s="83">
        <f>VLOOKUP(Rapid[[#This Row],[Código]],Projeção[#All],15,FALSE)</f>
        <v>0</v>
      </c>
      <c r="R57" s="39">
        <f>VLOOKUP(Rapid[[#This Row],[Código]],Projeção[#All],14,FALSE)</f>
        <v>1.5999999999999999</v>
      </c>
      <c r="S57" s="39">
        <f>IFERROR(VLOOKUP(Rapid[[#This Row],[Código]],Venda_mes[],2,FALSE),0)</f>
        <v>0</v>
      </c>
      <c r="T57" s="45">
        <f>IFERROR(Rapid[[#This Row],[V. No mes]]/Rapid[[#This Row],[Proj. de V. No mes]],"")</f>
        <v>0</v>
      </c>
      <c r="U57" s="39">
        <f>VLOOKUP(Rapid[[#This Row],[Código]],Projeção[#All],14,FALSE)+VLOOKUP(Rapid[[#This Row],[Código]],Projeção[#All],13,FALSE)+VLOOKUP(Rapid[[#This Row],[Código]],Projeção[#All],12,FALSE)</f>
        <v>3.9999999999999996</v>
      </c>
      <c r="V57" s="39">
        <f>IFERROR(VLOOKUP(Rapid[[#This Row],[Código]],Venda_3meses[],2,FALSE),0)</f>
        <v>0</v>
      </c>
      <c r="W57" s="45">
        <f>IFERROR(Rapid[[#This Row],[V. 3 meses]]/Rapid[[#This Row],[Proj. de V. 3 meses]],"")</f>
        <v>0</v>
      </c>
      <c r="X57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25.2</v>
      </c>
      <c r="Y57" s="39">
        <f>IFERROR(VLOOKUP(Rapid[[#This Row],[Código]],Venda_12meses[],2,FALSE),0)</f>
        <v>0</v>
      </c>
      <c r="Z57" s="45">
        <f>IFERROR(Rapid[[#This Row],[V. 12 meses]]/Rapid[[#This Row],[Proj. de V. 12 meses]],"")</f>
        <v>0</v>
      </c>
      <c r="AA57" s="22"/>
    </row>
    <row r="58" spans="1:27" x14ac:dyDescent="0.25">
      <c r="A58" s="22" t="str">
        <f>VLOOKUP(Rapid[[#This Row],[Código]],BD_Produto[#All],7,FALSE)</f>
        <v>Fora de linha</v>
      </c>
      <c r="B58" s="22" t="str">
        <f>IF(OR(Rapid[[#This Row],[Status]]="Em linha",Rapid[[#This Row],[Status]]="Materia Prima",Rapid[[#This Row],[Status]]="Componente"),"ok",IF(Rapid[[#This Row],[Estoque+Importação]]&lt;1,"Tirar","ok"))</f>
        <v>ok</v>
      </c>
      <c r="C58" s="23">
        <v>33060763224</v>
      </c>
      <c r="D58" s="22" t="s">
        <v>335</v>
      </c>
      <c r="E58" s="22" t="str">
        <f>VLOOKUP(Rapid[[#This Row],[Código]],BD_Produto[],3,FALSE)</f>
        <v>Perfurador</v>
      </c>
      <c r="F58" s="22" t="str">
        <f>VLOOKUP(Rapid[[#This Row],[Código]],BD_Produto[],4,FALSE)</f>
        <v>Perfurador</v>
      </c>
      <c r="G58" s="24"/>
      <c r="H58" s="25"/>
      <c r="I58" s="22"/>
      <c r="J58" s="24"/>
      <c r="K58" s="24" t="str">
        <f>IFERROR(VLOOKUP(Rapid[[#This Row],[Código]],Importação!P:R,3,FALSE),"")</f>
        <v/>
      </c>
      <c r="L58" s="24">
        <f>IFERROR(VLOOKUP(Rapid[[#This Row],[Código]],Saldo[],3,FALSE),0)</f>
        <v>107</v>
      </c>
      <c r="M58" s="24">
        <f>SUM(Rapid[[#This Row],[Produção]:[Estoque]])</f>
        <v>107</v>
      </c>
      <c r="N58" s="24">
        <f>IFERROR(Rapid[[#This Row],[Estoque+Importação]]/Rapid[[#This Row],[Proj. de V. No prox. mes]],"Sem Projeção")</f>
        <v>2.8083989501312336</v>
      </c>
      <c r="O58" s="24" t="str">
        <f>IF(OR(Rapid[[#This Row],[Status]]="Em Linha",Rapid[[#This Row],[Status]]="Componente",Rapid[[#This Row],[Status]]="Materia Prima"),Rapid[[#This Row],[Proj. de V. No prox. mes]]*10,"-")</f>
        <v>-</v>
      </c>
      <c r="P5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8" s="75">
        <f>VLOOKUP(Rapid[[#This Row],[Código]],Projeção[#All],15,FALSE)</f>
        <v>38.1</v>
      </c>
      <c r="R58" s="39">
        <f>VLOOKUP(Rapid[[#This Row],[Código]],Projeção[#All],14,FALSE)</f>
        <v>21.133333333333333</v>
      </c>
      <c r="S58" s="39">
        <f>IFERROR(VLOOKUP(Rapid[[#This Row],[Código]],Venda_mes[],2,FALSE),0)</f>
        <v>0</v>
      </c>
      <c r="T58" s="44">
        <f>IFERROR(Rapid[[#This Row],[V. No mes]]/Rapid[[#This Row],[Proj. de V. No mes]],"")</f>
        <v>0</v>
      </c>
      <c r="U58" s="43">
        <f>VLOOKUP(Rapid[[#This Row],[Código]],Projeção[#All],14,FALSE)+VLOOKUP(Rapid[[#This Row],[Código]],Projeção[#All],13,FALSE)+VLOOKUP(Rapid[[#This Row],[Código]],Projeção[#All],12,FALSE)</f>
        <v>56.733333333333327</v>
      </c>
      <c r="V58" s="39">
        <f>IFERROR(VLOOKUP(Rapid[[#This Row],[Código]],Venda_3meses[],2,FALSE),0)</f>
        <v>48</v>
      </c>
      <c r="W58" s="44">
        <f>IFERROR(Rapid[[#This Row],[V. 3 meses]]/Rapid[[#This Row],[Proj. de V. 3 meses]],"")</f>
        <v>0.84606345475910705</v>
      </c>
      <c r="X5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169.33333333333334</v>
      </c>
      <c r="Y58" s="39">
        <f>IFERROR(VLOOKUP(Rapid[[#This Row],[Código]],Venda_12meses[],2,FALSE),0)</f>
        <v>425</v>
      </c>
      <c r="Z58" s="44">
        <f>IFERROR(Rapid[[#This Row],[V. 12 meses]]/Rapid[[#This Row],[Proj. de V. 12 meses]],"")</f>
        <v>2.5098425196850394</v>
      </c>
      <c r="AA58" s="22"/>
    </row>
    <row r="59" spans="1:27" x14ac:dyDescent="0.25">
      <c r="A59" s="22" t="str">
        <f>VLOOKUP(Rapid[[#This Row],[Código]],BD_Produto[#All],7,FALSE)</f>
        <v>Fora de linha</v>
      </c>
      <c r="B59" s="22" t="str">
        <f>IF(OR(Rapid[[#This Row],[Status]]="Em linha",Rapid[[#This Row],[Status]]="Materia Prima",Rapid[[#This Row],[Status]]="Componente"),"ok",IF(Rapid[[#This Row],[Estoque+Importação]]&lt;1,"Tirar","ok"))</f>
        <v>ok</v>
      </c>
      <c r="C59" s="23">
        <v>33060160540</v>
      </c>
      <c r="D59" s="22" t="s">
        <v>193</v>
      </c>
      <c r="E59" s="22" t="str">
        <f>VLOOKUP(Rapid[[#This Row],[Código]],BD_Produto[],3,FALSE)</f>
        <v>Grampeador de Mesa</v>
      </c>
      <c r="F59" s="22" t="str">
        <f>VLOOKUP(Rapid[[#This Row],[Código]],BD_Produto[],4,FALSE)</f>
        <v>Grampeador de Mesa</v>
      </c>
      <c r="G59" s="24"/>
      <c r="H59" s="25"/>
      <c r="I59" s="22"/>
      <c r="J59" s="24"/>
      <c r="K59" s="24" t="str">
        <f>IFERROR(VLOOKUP(Rapid[[#This Row],[Código]],Importação!P:R,3,FALSE),"")</f>
        <v/>
      </c>
      <c r="L59" s="24">
        <f>IFERROR(VLOOKUP(Rapid[[#This Row],[Código]],Saldo[],3,FALSE),0)</f>
        <v>21</v>
      </c>
      <c r="M59" s="24">
        <f>SUM(Rapid[[#This Row],[Produção]:[Estoque]])</f>
        <v>21</v>
      </c>
      <c r="N59" s="24">
        <f>IFERROR(Rapid[[#This Row],[Estoque+Importação]]/Rapid[[#This Row],[Proj. de V. No prox. mes]],"Sem Projeção")</f>
        <v>157.5</v>
      </c>
      <c r="O59" s="24" t="str">
        <f>IF(OR(Rapid[[#This Row],[Status]]="Em Linha",Rapid[[#This Row],[Status]]="Componente",Rapid[[#This Row],[Status]]="Materia Prima"),Rapid[[#This Row],[Proj. de V. No prox. mes]]*10,"-")</f>
        <v>-</v>
      </c>
      <c r="P5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59" s="83">
        <f>VLOOKUP(Rapid[[#This Row],[Código]],Projeção[#All],15,FALSE)</f>
        <v>0.13333333333333333</v>
      </c>
      <c r="R59" s="39">
        <f>VLOOKUP(Rapid[[#This Row],[Código]],Projeção[#All],14,FALSE)</f>
        <v>1.8666666666666663</v>
      </c>
      <c r="S59" s="39">
        <f>IFERROR(VLOOKUP(Rapid[[#This Row],[Código]],Venda_mes[],2,FALSE),0)</f>
        <v>0</v>
      </c>
      <c r="T59" s="45">
        <f>IFERROR(Rapid[[#This Row],[V. No mes]]/Rapid[[#This Row],[Proj. de V. No mes]],"")</f>
        <v>0</v>
      </c>
      <c r="U59" s="39">
        <f>VLOOKUP(Rapid[[#This Row],[Código]],Projeção[#All],14,FALSE)+VLOOKUP(Rapid[[#This Row],[Código]],Projeção[#All],13,FALSE)+VLOOKUP(Rapid[[#This Row],[Código]],Projeção[#All],12,FALSE)</f>
        <v>3.5999999999999996</v>
      </c>
      <c r="V59" s="39">
        <f>IFERROR(VLOOKUP(Rapid[[#This Row],[Código]],Venda_3meses[],2,FALSE),0)</f>
        <v>0</v>
      </c>
      <c r="W59" s="45">
        <f>IFERROR(Rapid[[#This Row],[V. 3 meses]]/Rapid[[#This Row],[Proj. de V. 3 meses]],"")</f>
        <v>0</v>
      </c>
      <c r="X59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18.93333333333333</v>
      </c>
      <c r="Y59" s="39">
        <f>IFERROR(VLOOKUP(Rapid[[#This Row],[Código]],Venda_12meses[],2,FALSE),0)</f>
        <v>4</v>
      </c>
      <c r="Z59" s="45">
        <f>IFERROR(Rapid[[#This Row],[V. 12 meses]]/Rapid[[#This Row],[Proj. de V. 12 meses]],"")</f>
        <v>0.21126760563380284</v>
      </c>
      <c r="AA59" s="22"/>
    </row>
    <row r="60" spans="1:27" x14ac:dyDescent="0.25">
      <c r="A60" s="22" t="str">
        <f>VLOOKUP(Rapid[[#This Row],[Código]],BD_Produto[#All],7,FALSE)</f>
        <v>Fora de linha</v>
      </c>
      <c r="B6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60" s="23">
        <v>33060161830</v>
      </c>
      <c r="D60" s="22" t="s">
        <v>201</v>
      </c>
      <c r="E60" s="22" t="str">
        <f>VLOOKUP(Rapid[[#This Row],[Código]],BD_Produto[],3,FALSE)</f>
        <v>Grampeador de Mesa</v>
      </c>
      <c r="F60" s="22" t="str">
        <f>VLOOKUP(Rapid[[#This Row],[Código]],BD_Produto[],4,FALSE)</f>
        <v>Grampeador de Mesa</v>
      </c>
      <c r="G60" s="24"/>
      <c r="H60" s="25"/>
      <c r="I60" s="22"/>
      <c r="J60" s="24"/>
      <c r="K60" s="24" t="str">
        <f>IFERROR(VLOOKUP(Rapid[[#This Row],[Código]],Importação!P:R,3,FALSE),"")</f>
        <v/>
      </c>
      <c r="L60" s="24">
        <f>IFERROR(VLOOKUP(Rapid[[#This Row],[Código]],Saldo[],3,FALSE),0)</f>
        <v>0</v>
      </c>
      <c r="M60" s="24">
        <f>SUM(Rapid[[#This Row],[Produção]:[Estoque]])</f>
        <v>0</v>
      </c>
      <c r="N60" s="24">
        <f>IFERROR(Rapid[[#This Row],[Estoque+Importação]]/Rapid[[#This Row],[Proj. de V. No prox. mes]],"Sem Projeção")</f>
        <v>0</v>
      </c>
      <c r="O60" s="24" t="str">
        <f>IF(OR(Rapid[[#This Row],[Status]]="Em Linha",Rapid[[#This Row],[Status]]="Componente",Rapid[[#This Row],[Status]]="Materia Prima"),Rapid[[#This Row],[Proj. de V. No prox. mes]]*10,"-")</f>
        <v>-</v>
      </c>
      <c r="P6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0" s="83">
        <f>VLOOKUP(Rapid[[#This Row],[Código]],Projeção[#All],15,FALSE)</f>
        <v>121.46666666666667</v>
      </c>
      <c r="R60" s="39">
        <f>VLOOKUP(Rapid[[#This Row],[Código]],Projeção[#All],14,FALSE)</f>
        <v>98.3</v>
      </c>
      <c r="S60" s="39">
        <f>IFERROR(VLOOKUP(Rapid[[#This Row],[Código]],Venda_mes[],2,FALSE),0)</f>
        <v>77</v>
      </c>
      <c r="T60" s="45">
        <f>IFERROR(Rapid[[#This Row],[V. No mes]]/Rapid[[#This Row],[Proj. de V. No mes]],"")</f>
        <v>0.78331637843336721</v>
      </c>
      <c r="U60" s="39">
        <f>VLOOKUP(Rapid[[#This Row],[Código]],Projeção[#All],14,FALSE)+VLOOKUP(Rapid[[#This Row],[Código]],Projeção[#All],13,FALSE)+VLOOKUP(Rapid[[#This Row],[Código]],Projeção[#All],12,FALSE)</f>
        <v>176.60000000000002</v>
      </c>
      <c r="V60" s="39">
        <f>IFERROR(VLOOKUP(Rapid[[#This Row],[Código]],Venda_3meses[],2,FALSE),0)</f>
        <v>233</v>
      </c>
      <c r="W60" s="45">
        <f>IFERROR(Rapid[[#This Row],[V. 3 meses]]/Rapid[[#This Row],[Proj. de V. 3 meses]],"")</f>
        <v>1.319365798414496</v>
      </c>
      <c r="X60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609.33333333333326</v>
      </c>
      <c r="Y60" s="39">
        <f>IFERROR(VLOOKUP(Rapid[[#This Row],[Código]],Venda_12meses[],2,FALSE),0)</f>
        <v>2176</v>
      </c>
      <c r="Z60" s="45">
        <f>IFERROR(Rapid[[#This Row],[V. 12 meses]]/Rapid[[#This Row],[Proj. de V. 12 meses]],"")</f>
        <v>3.5711159737417946</v>
      </c>
      <c r="AA60" s="22"/>
    </row>
    <row r="61" spans="1:27" x14ac:dyDescent="0.25">
      <c r="A61" s="22" t="str">
        <f>VLOOKUP(Rapid[[#This Row],[Código]],BD_Produto[#All],7,FALSE)</f>
        <v>Fora de linha</v>
      </c>
      <c r="B61" s="22" t="str">
        <f>IF(OR(Rapid[[#This Row],[Status]]="Em linha",Rapid[[#This Row],[Status]]="Materia Prima",Rapid[[#This Row],[Status]]="Componente"),"ok",IF(Rapid[[#This Row],[Estoque+Importação]]&lt;1,"Tirar","ok"))</f>
        <v>ok</v>
      </c>
      <c r="C61" s="23">
        <v>33070114769</v>
      </c>
      <c r="D61" s="22" t="s">
        <v>495</v>
      </c>
      <c r="E61" s="22" t="str">
        <f>VLOOKUP(Rapid[[#This Row],[Código]],BD_Produto[],3,FALSE)</f>
        <v>Grampeador Pistola</v>
      </c>
      <c r="F61" s="22" t="str">
        <f>VLOOKUP(Rapid[[#This Row],[Código]],BD_Produto[],4,FALSE)</f>
        <v>Grampeador Pistola</v>
      </c>
      <c r="G61" s="24"/>
      <c r="H61" s="25"/>
      <c r="I61" s="22"/>
      <c r="J61" s="24"/>
      <c r="K61" s="24" t="str">
        <f>IFERROR(VLOOKUP(Rapid[[#This Row],[Código]],Importação!P:R,3,FALSE),"")</f>
        <v/>
      </c>
      <c r="L61" s="24">
        <f>IFERROR(VLOOKUP(Rapid[[#This Row],[Código]],Saldo[],3,FALSE),0)</f>
        <v>212</v>
      </c>
      <c r="M61" s="24">
        <f>SUM(Rapid[[#This Row],[Produção]:[Estoque]])</f>
        <v>212</v>
      </c>
      <c r="N61" s="24">
        <f>IFERROR(Rapid[[#This Row],[Estoque+Importação]]/Rapid[[#This Row],[Proj. de V. No prox. mes]],"Sem Projeção")</f>
        <v>117.77777777777779</v>
      </c>
      <c r="O61" s="24" t="str">
        <f>IF(OR(Rapid[[#This Row],[Status]]="Em Linha",Rapid[[#This Row],[Status]]="Componente",Rapid[[#This Row],[Status]]="Materia Prima"),Rapid[[#This Row],[Proj. de V. No prox. mes]]*10,"-")</f>
        <v>-</v>
      </c>
      <c r="P6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1" s="75">
        <f>VLOOKUP(Rapid[[#This Row],[Código]],Projeção[#All],15,FALSE)</f>
        <v>1.7999999999999998</v>
      </c>
      <c r="R61" s="39">
        <f>VLOOKUP(Rapid[[#This Row],[Código]],Projeção[#All],14,FALSE)</f>
        <v>9.3666666666666671</v>
      </c>
      <c r="S61" s="39">
        <f>IFERROR(VLOOKUP(Rapid[[#This Row],[Código]],Venda_mes[],2,FALSE),0)</f>
        <v>0</v>
      </c>
      <c r="T61" s="44">
        <f>IFERROR(Rapid[[#This Row],[V. No mes]]/Rapid[[#This Row],[Proj. de V. No mes]],"")</f>
        <v>0</v>
      </c>
      <c r="U61" s="43">
        <f>VLOOKUP(Rapid[[#This Row],[Código]],Projeção[#All],14,FALSE)+VLOOKUP(Rapid[[#This Row],[Código]],Projeção[#All],13,FALSE)+VLOOKUP(Rapid[[#This Row],[Código]],Projeção[#All],12,FALSE)</f>
        <v>25.033333333333331</v>
      </c>
      <c r="V61" s="39">
        <f>IFERROR(VLOOKUP(Rapid[[#This Row],[Código]],Venda_3meses[],2,FALSE),0)</f>
        <v>0</v>
      </c>
      <c r="W61" s="44">
        <f>IFERROR(Rapid[[#This Row],[V. 3 meses]]/Rapid[[#This Row],[Proj. de V. 3 meses]],"")</f>
        <v>0</v>
      </c>
      <c r="X6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150.23333333333332</v>
      </c>
      <c r="Y61" s="39">
        <f>IFERROR(VLOOKUP(Rapid[[#This Row],[Código]],Venda_12meses[],2,FALSE),0)</f>
        <v>48</v>
      </c>
      <c r="Z61" s="44">
        <f>IFERROR(Rapid[[#This Row],[V. 12 meses]]/Rapid[[#This Row],[Proj. de V. 12 meses]],"")</f>
        <v>0.31950299534058135</v>
      </c>
      <c r="AA61" s="22"/>
    </row>
    <row r="62" spans="1:27" x14ac:dyDescent="0.25">
      <c r="A62" s="22" t="str">
        <f>VLOOKUP(Rapid[[#This Row],[Código]],BD_Produto[#All],7,FALSE)</f>
        <v>Fora de linha</v>
      </c>
      <c r="B62" s="22" t="str">
        <f>IF(OR(Rapid[[#This Row],[Status]]="Em linha",Rapid[[#This Row],[Status]]="Materia Prima",Rapid[[#This Row],[Status]]="Componente"),"ok",IF(Rapid[[#This Row],[Estoque+Importação]]&lt;1,"Tirar","ok"))</f>
        <v>ok</v>
      </c>
      <c r="C62" s="23">
        <v>33060160537</v>
      </c>
      <c r="D62" s="22" t="s">
        <v>190</v>
      </c>
      <c r="E62" s="22" t="str">
        <f>VLOOKUP(Rapid[[#This Row],[Código]],BD_Produto[],3,FALSE)</f>
        <v>Grampeador de Mesa</v>
      </c>
      <c r="F62" s="22" t="str">
        <f>VLOOKUP(Rapid[[#This Row],[Código]],BD_Produto[],4,FALSE)</f>
        <v>Grampeador de Mesa</v>
      </c>
      <c r="G62" s="24"/>
      <c r="H62" s="25"/>
      <c r="I62" s="22"/>
      <c r="J62" s="24"/>
      <c r="K62" s="24" t="str">
        <f>IFERROR(VLOOKUP(Rapid[[#This Row],[Código]],Importação!P:R,3,FALSE),"")</f>
        <v/>
      </c>
      <c r="L62" s="24">
        <f>IFERROR(VLOOKUP(Rapid[[#This Row],[Código]],Saldo[],3,FALSE),0)</f>
        <v>47</v>
      </c>
      <c r="M62" s="24">
        <f>SUM(Rapid[[#This Row],[Produção]:[Estoque]])</f>
        <v>47</v>
      </c>
      <c r="N62" s="24">
        <f>IFERROR(Rapid[[#This Row],[Estoque+Importação]]/Rapid[[#This Row],[Proj. de V. No prox. mes]],"Sem Projeção")</f>
        <v>34.390243902439032</v>
      </c>
      <c r="O62" s="24" t="str">
        <f>IF(OR(Rapid[[#This Row],[Status]]="Em Linha",Rapid[[#This Row],[Status]]="Componente",Rapid[[#This Row],[Status]]="Materia Prima"),Rapid[[#This Row],[Proj. de V. No prox. mes]]*10,"-")</f>
        <v>-</v>
      </c>
      <c r="P6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2" s="75">
        <f>VLOOKUP(Rapid[[#This Row],[Código]],Projeção[#All],15,FALSE)</f>
        <v>1.3666666666666665</v>
      </c>
      <c r="R62" s="39">
        <f>VLOOKUP(Rapid[[#This Row],[Código]],Projeção[#All],14,FALSE)</f>
        <v>3.1666666666666665</v>
      </c>
      <c r="S62" s="39">
        <f>IFERROR(VLOOKUP(Rapid[[#This Row],[Código]],Venda_mes[],2,FALSE),0)</f>
        <v>2</v>
      </c>
      <c r="T62" s="44">
        <f>IFERROR(Rapid[[#This Row],[V. No mes]]/Rapid[[#This Row],[Proj. de V. No mes]],"")</f>
        <v>0.63157894736842113</v>
      </c>
      <c r="U62" s="43">
        <f>VLOOKUP(Rapid[[#This Row],[Código]],Projeção[#All],14,FALSE)+VLOOKUP(Rapid[[#This Row],[Código]],Projeção[#All],13,FALSE)+VLOOKUP(Rapid[[#This Row],[Código]],Projeção[#All],12,FALSE)</f>
        <v>9.1</v>
      </c>
      <c r="V62" s="39">
        <f>IFERROR(VLOOKUP(Rapid[[#This Row],[Código]],Venda_3meses[],2,FALSE),0)</f>
        <v>2</v>
      </c>
      <c r="W62" s="44">
        <f>IFERROR(Rapid[[#This Row],[V. 3 meses]]/Rapid[[#This Row],[Proj. de V. 3 meses]],"")</f>
        <v>0.21978021978021978</v>
      </c>
      <c r="X6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17.93333333333333</v>
      </c>
      <c r="Y62" s="39">
        <f>IFERROR(VLOOKUP(Rapid[[#This Row],[Código]],Venda_12meses[],2,FALSE),0)</f>
        <v>21</v>
      </c>
      <c r="Z62" s="44">
        <f>IFERROR(Rapid[[#This Row],[V. 12 meses]]/Rapid[[#This Row],[Proj. de V. 12 meses]],"")</f>
        <v>1.1710037174721191</v>
      </c>
      <c r="AA62" s="22"/>
    </row>
    <row r="63" spans="1:27" x14ac:dyDescent="0.25">
      <c r="A63" s="22" t="str">
        <f>VLOOKUP(Rapid[[#This Row],[Código]],BD_Produto[#All],7,FALSE)</f>
        <v>Fora de linha</v>
      </c>
      <c r="B63" s="22" t="str">
        <f>IF(OR(Rapid[[#This Row],[Status]]="Em linha",Rapid[[#This Row],[Status]]="Materia Prima",Rapid[[#This Row],[Status]]="Componente"),"ok",IF(Rapid[[#This Row],[Estoque+Importação]]&lt;1,"Tirar","ok"))</f>
        <v>ok</v>
      </c>
      <c r="C63" s="23">
        <v>33060114635</v>
      </c>
      <c r="D63" s="22" t="s">
        <v>150</v>
      </c>
      <c r="E63" s="22" t="str">
        <f>VLOOKUP(Rapid[[#This Row],[Código]],BD_Produto[],3,FALSE)</f>
        <v>Grampeador Alicate</v>
      </c>
      <c r="F63" s="22" t="str">
        <f>VLOOKUP(Rapid[[#This Row],[Código]],BD_Produto[],4,FALSE)</f>
        <v>Grampeador Alicate</v>
      </c>
      <c r="G63" s="24"/>
      <c r="H63" s="25"/>
      <c r="I63" s="22"/>
      <c r="J63" s="24"/>
      <c r="K63" s="24" t="str">
        <f>IFERROR(VLOOKUP(Rapid[[#This Row],[Código]],Importação!P:R,3,FALSE),"")</f>
        <v/>
      </c>
      <c r="L63" s="24">
        <f>IFERROR(VLOOKUP(Rapid[[#This Row],[Código]],Saldo[],3,FALSE),0)</f>
        <v>4</v>
      </c>
      <c r="M63" s="24">
        <f>SUM(Rapid[[#This Row],[Produção]:[Estoque]])</f>
        <v>4</v>
      </c>
      <c r="N63" s="24" t="str">
        <f>IFERROR(Rapid[[#This Row],[Estoque+Importação]]/Rapid[[#This Row],[Proj. de V. No prox. mes]],"Sem Projeção")</f>
        <v>Sem Projeção</v>
      </c>
      <c r="O63" s="24" t="str">
        <f>IF(OR(Rapid[[#This Row],[Status]]="Em Linha",Rapid[[#This Row],[Status]]="Componente",Rapid[[#This Row],[Status]]="Materia Prima"),Rapid[[#This Row],[Proj. de V. No prox. mes]]*10,"-")</f>
        <v>-</v>
      </c>
      <c r="P6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3" s="75">
        <f>VLOOKUP(Rapid[[#This Row],[Código]],Projeção[#All],15,FALSE)</f>
        <v>0</v>
      </c>
      <c r="R63" s="39">
        <f>VLOOKUP(Rapid[[#This Row],[Código]],Projeção[#All],14,FALSE)</f>
        <v>9.9999999999999992E-2</v>
      </c>
      <c r="S63" s="39">
        <f>IFERROR(VLOOKUP(Rapid[[#This Row],[Código]],Venda_mes[],2,FALSE),0)</f>
        <v>0</v>
      </c>
      <c r="T63" s="44">
        <f>IFERROR(Rapid[[#This Row],[V. No mes]]/Rapid[[#This Row],[Proj. de V. No mes]],"")</f>
        <v>0</v>
      </c>
      <c r="U63" s="43">
        <f>VLOOKUP(Rapid[[#This Row],[Código]],Projeção[#All],14,FALSE)+VLOOKUP(Rapid[[#This Row],[Código]],Projeção[#All],13,FALSE)+VLOOKUP(Rapid[[#This Row],[Código]],Projeção[#All],12,FALSE)</f>
        <v>0.3</v>
      </c>
      <c r="V63" s="39">
        <f>IFERROR(VLOOKUP(Rapid[[#This Row],[Código]],Venda_3meses[],2,FALSE),0)</f>
        <v>0</v>
      </c>
      <c r="W63" s="44">
        <f>IFERROR(Rapid[[#This Row],[V. 3 meses]]/Rapid[[#This Row],[Proj. de V. 3 meses]],"")</f>
        <v>0</v>
      </c>
      <c r="X6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4.7333333333333334</v>
      </c>
      <c r="Y63" s="39">
        <f>IFERROR(VLOOKUP(Rapid[[#This Row],[Código]],Venda_12meses[],2,FALSE),0)</f>
        <v>0</v>
      </c>
      <c r="Z63" s="44">
        <f>IFERROR(Rapid[[#This Row],[V. 12 meses]]/Rapid[[#This Row],[Proj. de V. 12 meses]],"")</f>
        <v>0</v>
      </c>
      <c r="AA63" s="22" t="s">
        <v>1689</v>
      </c>
    </row>
    <row r="64" spans="1:27" x14ac:dyDescent="0.25">
      <c r="A64" s="22" t="str">
        <f>VLOOKUP(Rapid[[#This Row],[Código]],BD_Produto[#All],7,FALSE)</f>
        <v>Fora de linha</v>
      </c>
      <c r="B64" s="22" t="str">
        <f>IF(OR(Rapid[[#This Row],[Status]]="Em linha",Rapid[[#This Row],[Status]]="Materia Prima",Rapid[[#This Row],[Status]]="Componente"),"ok",IF(Rapid[[#This Row],[Estoque+Importação]]&lt;1,"Tirar","ok"))</f>
        <v>ok</v>
      </c>
      <c r="C64" s="23">
        <v>33060160517</v>
      </c>
      <c r="D64" s="22" t="s">
        <v>186</v>
      </c>
      <c r="E64" s="22" t="str">
        <f>VLOOKUP(Rapid[[#This Row],[Código]],BD_Produto[],3,FALSE)</f>
        <v>Grampeador Alicate</v>
      </c>
      <c r="F64" s="22" t="str">
        <f>VLOOKUP(Rapid[[#This Row],[Código]],BD_Produto[],4,FALSE)</f>
        <v>Grampeador Alicate</v>
      </c>
      <c r="G64" s="24"/>
      <c r="H64" s="25"/>
      <c r="I64" s="22"/>
      <c r="J64" s="24"/>
      <c r="K64" s="24" t="str">
        <f>IFERROR(VLOOKUP(Rapid[[#This Row],[Código]],Importação!P:R,3,FALSE),"")</f>
        <v/>
      </c>
      <c r="L64" s="24">
        <f>IFERROR(VLOOKUP(Rapid[[#This Row],[Código]],Saldo[],3,FALSE),0)</f>
        <v>4136</v>
      </c>
      <c r="M64" s="24">
        <f>SUM(Rapid[[#This Row],[Produção]:[Estoque]])</f>
        <v>4136</v>
      </c>
      <c r="N64" s="24">
        <f>IFERROR(Rapid[[#This Row],[Estoque+Importação]]/Rapid[[#This Row],[Proj. de V. No prox. mes]],"Sem Projeção")</f>
        <v>16.240837696335081</v>
      </c>
      <c r="O64" s="24" t="str">
        <f>IF(OR(Rapid[[#This Row],[Status]]="Em Linha",Rapid[[#This Row],[Status]]="Componente",Rapid[[#This Row],[Status]]="Materia Prima"),Rapid[[#This Row],[Proj. de V. No prox. mes]]*10,"-")</f>
        <v>-</v>
      </c>
      <c r="P6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4" s="75">
        <f>VLOOKUP(Rapid[[#This Row],[Código]],Projeção[#All],15,FALSE)</f>
        <v>254.66666666666663</v>
      </c>
      <c r="R64" s="39">
        <f>VLOOKUP(Rapid[[#This Row],[Código]],Projeção[#All],14,FALSE)</f>
        <v>149.83333333333331</v>
      </c>
      <c r="S64" s="39">
        <f>IFERROR(VLOOKUP(Rapid[[#This Row],[Código]],Venda_mes[],2,FALSE),0)</f>
        <v>207</v>
      </c>
      <c r="T64" s="44">
        <f>IFERROR(Rapid[[#This Row],[V. No mes]]/Rapid[[#This Row],[Proj. de V. No mes]],"")</f>
        <v>1.381535038932147</v>
      </c>
      <c r="U64" s="43">
        <f>VLOOKUP(Rapid[[#This Row],[Código]],Projeção[#All],14,FALSE)+VLOOKUP(Rapid[[#This Row],[Código]],Projeção[#All],13,FALSE)+VLOOKUP(Rapid[[#This Row],[Código]],Projeção[#All],12,FALSE)</f>
        <v>342.0333333333333</v>
      </c>
      <c r="V64" s="39">
        <f>IFERROR(VLOOKUP(Rapid[[#This Row],[Código]],Venda_3meses[],2,FALSE),0)</f>
        <v>716</v>
      </c>
      <c r="W64" s="44">
        <f>IFERROR(Rapid[[#This Row],[V. 3 meses]]/Rapid[[#This Row],[Proj. de V. 3 meses]],"")</f>
        <v>2.0933632199590684</v>
      </c>
      <c r="X6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1163.5333333333333</v>
      </c>
      <c r="Y64" s="39">
        <f>IFERROR(VLOOKUP(Rapid[[#This Row],[Código]],Venda_12meses[],2,FALSE),0)</f>
        <v>2222</v>
      </c>
      <c r="Z64" s="44">
        <f>IFERROR(Rapid[[#This Row],[V. 12 meses]]/Rapid[[#This Row],[Proj. de V. 12 meses]],"")</f>
        <v>1.9097003380507649</v>
      </c>
      <c r="AA64" s="22"/>
    </row>
    <row r="65" spans="1:27" x14ac:dyDescent="0.25">
      <c r="A65" s="22" t="str">
        <f>VLOOKUP(Rapid[[#This Row],[Código]],BD_Produto[#All],7,FALSE)</f>
        <v>Fora de linha</v>
      </c>
      <c r="B65" s="22" t="str">
        <f>IF(OR(Rapid[[#This Row],[Status]]="Em linha",Rapid[[#This Row],[Status]]="Materia Prima",Rapid[[#This Row],[Status]]="Componente"),"ok",IF(Rapid[[#This Row],[Estoque+Importação]]&lt;1,"Tirar","ok"))</f>
        <v>ok</v>
      </c>
      <c r="C65" s="23">
        <v>33060160516</v>
      </c>
      <c r="D65" s="22" t="s">
        <v>185</v>
      </c>
      <c r="E65" s="22" t="str">
        <f>VLOOKUP(Rapid[[#This Row],[Código]],BD_Produto[],3,FALSE)</f>
        <v>Grampeador de Mesa</v>
      </c>
      <c r="F65" s="22" t="str">
        <f>VLOOKUP(Rapid[[#This Row],[Código]],BD_Produto[],4,FALSE)</f>
        <v>Grampeador de Mesa</v>
      </c>
      <c r="G65" s="24"/>
      <c r="H65" s="25"/>
      <c r="I65" s="22"/>
      <c r="J65" s="24"/>
      <c r="K65" s="24" t="str">
        <f>IFERROR(VLOOKUP(Rapid[[#This Row],[Código]],Importação!P:R,3,FALSE),"")</f>
        <v/>
      </c>
      <c r="L65" s="24">
        <f>IFERROR(VLOOKUP(Rapid[[#This Row],[Código]],Saldo[],3,FALSE),0)</f>
        <v>2813</v>
      </c>
      <c r="M65" s="24">
        <f>SUM(Rapid[[#This Row],[Produção]:[Estoque]])</f>
        <v>2813</v>
      </c>
      <c r="N65" s="24">
        <f>IFERROR(Rapid[[#This Row],[Estoque+Importação]]/Rapid[[#This Row],[Proj. de V. No prox. mes]],"Sem Projeção")</f>
        <v>48.893395133256078</v>
      </c>
      <c r="O65" s="24" t="str">
        <f>IF(OR(Rapid[[#This Row],[Status]]="Em Linha",Rapid[[#This Row],[Status]]="Componente",Rapid[[#This Row],[Status]]="Materia Prima"),Rapid[[#This Row],[Proj. de V. No prox. mes]]*10,"-")</f>
        <v>-</v>
      </c>
      <c r="P6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5" s="75">
        <f>VLOOKUP(Rapid[[#This Row],[Código]],Projeção[#All],15,FALSE)</f>
        <v>57.533333333333339</v>
      </c>
      <c r="R65" s="39">
        <f>VLOOKUP(Rapid[[#This Row],[Código]],Projeção[#All],14,FALSE)</f>
        <v>96.133333333333312</v>
      </c>
      <c r="S65" s="39">
        <f>IFERROR(VLOOKUP(Rapid[[#This Row],[Código]],Venda_mes[],2,FALSE),0)</f>
        <v>45</v>
      </c>
      <c r="T65" s="44">
        <f>IFERROR(Rapid[[#This Row],[V. No mes]]/Rapid[[#This Row],[Proj. de V. No mes]],"")</f>
        <v>0.46809986130374492</v>
      </c>
      <c r="U65" s="43">
        <f>VLOOKUP(Rapid[[#This Row],[Código]],Projeção[#All],14,FALSE)+VLOOKUP(Rapid[[#This Row],[Código]],Projeção[#All],13,FALSE)+VLOOKUP(Rapid[[#This Row],[Código]],Projeção[#All],12,FALSE)</f>
        <v>261.09999999999997</v>
      </c>
      <c r="V65" s="39">
        <f>IFERROR(VLOOKUP(Rapid[[#This Row],[Código]],Venda_3meses[],2,FALSE),0)</f>
        <v>137</v>
      </c>
      <c r="W65" s="44">
        <f>IFERROR(Rapid[[#This Row],[V. 3 meses]]/Rapid[[#This Row],[Proj. de V. 3 meses]],"")</f>
        <v>0.5247031788586749</v>
      </c>
      <c r="X6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1715.0333333333333</v>
      </c>
      <c r="Y65" s="39">
        <f>IFERROR(VLOOKUP(Rapid[[#This Row],[Código]],Venda_12meses[],2,FALSE),0)</f>
        <v>610</v>
      </c>
      <c r="Z65" s="44">
        <f>IFERROR(Rapid[[#This Row],[V. 12 meses]]/Rapid[[#This Row],[Proj. de V. 12 meses]],"")</f>
        <v>0.35567821811043515</v>
      </c>
      <c r="AA65" s="22"/>
    </row>
    <row r="66" spans="1:27" x14ac:dyDescent="0.25">
      <c r="A66" s="22" t="str">
        <f>VLOOKUP(Rapid[[#This Row],[Código]],BD_Produto[#All],7,FALSE)</f>
        <v>Fora de linha</v>
      </c>
      <c r="B66" s="22" t="str">
        <f>IF(OR(Rapid[[#This Row],[Status]]="Em linha",Rapid[[#This Row],[Status]]="Materia Prima",Rapid[[#This Row],[Status]]="Componente"),"ok",IF(Rapid[[#This Row],[Estoque+Importação]]&lt;1,"Tirar","ok"))</f>
        <v>ok</v>
      </c>
      <c r="C66" s="23">
        <v>33060114943</v>
      </c>
      <c r="D66" s="22" t="s">
        <v>172</v>
      </c>
      <c r="E66" s="22" t="str">
        <f>VLOOKUP(Rapid[[#This Row],[Código]],BD_Produto[],3,FALSE)</f>
        <v>Grampeador Alicate</v>
      </c>
      <c r="F66" s="22" t="str">
        <f>VLOOKUP(Rapid[[#This Row],[Código]],BD_Produto[],4,FALSE)</f>
        <v>Grampeador Alicate</v>
      </c>
      <c r="G66" s="24"/>
      <c r="H66" s="25"/>
      <c r="I66" s="22"/>
      <c r="J66" s="24"/>
      <c r="K66" s="24" t="str">
        <f>IFERROR(VLOOKUP(Rapid[[#This Row],[Código]],Importação!P:R,3,FALSE),"")</f>
        <v/>
      </c>
      <c r="L66" s="24">
        <f>IFERROR(VLOOKUP(Rapid[[#This Row],[Código]],Saldo[],3,FALSE),0)</f>
        <v>805</v>
      </c>
      <c r="M66" s="24">
        <f>SUM(Rapid[[#This Row],[Produção]:[Estoque]])</f>
        <v>805</v>
      </c>
      <c r="N66" s="24">
        <f>IFERROR(Rapid[[#This Row],[Estoque+Importação]]/Rapid[[#This Row],[Proj. de V. No prox. mes]],"Sem Projeção")</f>
        <v>107.33333333333333</v>
      </c>
      <c r="O66" s="24" t="str">
        <f>IF(OR(Rapid[[#This Row],[Status]]="Em Linha",Rapid[[#This Row],[Status]]="Componente",Rapid[[#This Row],[Status]]="Materia Prima"),Rapid[[#This Row],[Proj. de V. No prox. mes]]*10,"-")</f>
        <v>-</v>
      </c>
      <c r="P6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6" s="75">
        <f>VLOOKUP(Rapid[[#This Row],[Código]],Projeção[#All],15,FALSE)</f>
        <v>7.5</v>
      </c>
      <c r="R66" s="39">
        <f>VLOOKUP(Rapid[[#This Row],[Código]],Projeção[#All],14,FALSE)</f>
        <v>16.5</v>
      </c>
      <c r="S66" s="39">
        <f>IFERROR(VLOOKUP(Rapid[[#This Row],[Código]],Venda_mes[],2,FALSE),0)</f>
        <v>0</v>
      </c>
      <c r="T66" s="44">
        <f>IFERROR(Rapid[[#This Row],[V. No mes]]/Rapid[[#This Row],[Proj. de V. No mes]],"")</f>
        <v>0</v>
      </c>
      <c r="U66" s="43">
        <f>VLOOKUP(Rapid[[#This Row],[Código]],Projeção[#All],14,FALSE)+VLOOKUP(Rapid[[#This Row],[Código]],Projeção[#All],13,FALSE)+VLOOKUP(Rapid[[#This Row],[Código]],Projeção[#All],12,FALSE)</f>
        <v>49.933333333333337</v>
      </c>
      <c r="V66" s="39">
        <f>IFERROR(VLOOKUP(Rapid[[#This Row],[Código]],Venda_3meses[],2,FALSE),0)</f>
        <v>10</v>
      </c>
      <c r="W66" s="44">
        <f>IFERROR(Rapid[[#This Row],[V. 3 meses]]/Rapid[[#This Row],[Proj. de V. 3 meses]],"")</f>
        <v>0.20026702269692923</v>
      </c>
      <c r="X6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353.2</v>
      </c>
      <c r="Y66" s="39">
        <f>IFERROR(VLOOKUP(Rapid[[#This Row],[Código]],Venda_12meses[],2,FALSE),0)</f>
        <v>141</v>
      </c>
      <c r="Z66" s="44">
        <f>IFERROR(Rapid[[#This Row],[V. 12 meses]]/Rapid[[#This Row],[Proj. de V. 12 meses]],"")</f>
        <v>0.39920724801812008</v>
      </c>
      <c r="AA66" s="22"/>
    </row>
    <row r="67" spans="1:27" x14ac:dyDescent="0.25">
      <c r="A67" s="22" t="str">
        <f>VLOOKUP(Rapid[[#This Row],[Código]],BD_Produto[#All],7,FALSE)</f>
        <v>Fora de linha</v>
      </c>
      <c r="B67" s="22" t="str">
        <f>IF(OR(Rapid[[#This Row],[Status]]="Em linha",Rapid[[#This Row],[Status]]="Materia Prima",Rapid[[#This Row],[Status]]="Componente"),"ok",IF(Rapid[[#This Row],[Estoque+Importação]]&lt;1,"Tirar","ok"))</f>
        <v>ok</v>
      </c>
      <c r="C67" s="23">
        <v>33070160714</v>
      </c>
      <c r="D67" s="22" t="s">
        <v>526</v>
      </c>
      <c r="E67" s="22" t="str">
        <f>VLOOKUP(Rapid[[#This Row],[Código]],BD_Produto[],3,FALSE)</f>
        <v>Grampeador Pistola</v>
      </c>
      <c r="F67" s="22" t="str">
        <f>VLOOKUP(Rapid[[#This Row],[Código]],BD_Produto[],4,FALSE)</f>
        <v>Grampeador Pistola</v>
      </c>
      <c r="G67" s="24"/>
      <c r="H67" s="25"/>
      <c r="I67" s="22"/>
      <c r="J67" s="24"/>
      <c r="K67" s="24" t="str">
        <f>IFERROR(VLOOKUP(Rapid[[#This Row],[Código]],Importação!P:R,3,FALSE),"")</f>
        <v/>
      </c>
      <c r="L67" s="24">
        <f>IFERROR(VLOOKUP(Rapid[[#This Row],[Código]],Saldo[],3,FALSE),0)</f>
        <v>670</v>
      </c>
      <c r="M67" s="24">
        <f>SUM(Rapid[[#This Row],[Produção]:[Estoque]])</f>
        <v>670</v>
      </c>
      <c r="N67" s="24">
        <f>IFERROR(Rapid[[#This Row],[Estoque+Importação]]/Rapid[[#This Row],[Proj. de V. No prox. mes]],"Sem Projeção")</f>
        <v>211.57894736842107</v>
      </c>
      <c r="O67" s="24" t="str">
        <f>IF(OR(Rapid[[#This Row],[Status]]="Em Linha",Rapid[[#This Row],[Status]]="Componente",Rapid[[#This Row],[Status]]="Materia Prima"),Rapid[[#This Row],[Proj. de V. No prox. mes]]*10,"-")</f>
        <v>-</v>
      </c>
      <c r="P6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7" s="75">
        <f>VLOOKUP(Rapid[[#This Row],[Código]],Projeção[#All],15,FALSE)</f>
        <v>3.1666666666666665</v>
      </c>
      <c r="R67" s="39">
        <f>VLOOKUP(Rapid[[#This Row],[Código]],Projeção[#All],14,FALSE)</f>
        <v>5.2333333333333334</v>
      </c>
      <c r="S67" s="39">
        <f>IFERROR(VLOOKUP(Rapid[[#This Row],[Código]],Venda_mes[],2,FALSE),0)</f>
        <v>0</v>
      </c>
      <c r="T67" s="44">
        <f>IFERROR(Rapid[[#This Row],[V. No mes]]/Rapid[[#This Row],[Proj. de V. No mes]],"")</f>
        <v>0</v>
      </c>
      <c r="U67" s="43">
        <f>VLOOKUP(Rapid[[#This Row],[Código]],Projeção[#All],14,FALSE)+VLOOKUP(Rapid[[#This Row],[Código]],Projeção[#All],13,FALSE)+VLOOKUP(Rapid[[#This Row],[Código]],Projeção[#All],12,FALSE)</f>
        <v>15.166666666666668</v>
      </c>
      <c r="V67" s="39">
        <f>IFERROR(VLOOKUP(Rapid[[#This Row],[Código]],Venda_3meses[],2,FALSE),0)</f>
        <v>2</v>
      </c>
      <c r="W67" s="44">
        <f>IFERROR(Rapid[[#This Row],[V. 3 meses]]/Rapid[[#This Row],[Proj. de V. 3 meses]],"")</f>
        <v>0.13186813186813187</v>
      </c>
      <c r="X6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49.233333333333327</v>
      </c>
      <c r="Y67" s="39">
        <f>IFERROR(VLOOKUP(Rapid[[#This Row],[Código]],Venda_12meses[],2,FALSE),0)</f>
        <v>81</v>
      </c>
      <c r="Z67" s="44">
        <f>IFERROR(Rapid[[#This Row],[V. 12 meses]]/Rapid[[#This Row],[Proj. de V. 12 meses]],"")</f>
        <v>1.6452268111035886</v>
      </c>
      <c r="AA67" s="22"/>
    </row>
    <row r="68" spans="1:27" x14ac:dyDescent="0.25">
      <c r="A68" s="22" t="str">
        <f>VLOOKUP(Rapid[[#This Row],[Código]],BD_Produto[#All],7,FALSE)</f>
        <v>Fora de linha</v>
      </c>
      <c r="B68" s="22" t="str">
        <f>IF(OR(Rapid[[#This Row],[Status]]="Em linha",Rapid[[#This Row],[Status]]="Materia Prima",Rapid[[#This Row],[Status]]="Componente"),"ok",IF(Rapid[[#This Row],[Estoque+Importação]]&lt;1,"Tirar","ok"))</f>
        <v>ok</v>
      </c>
      <c r="C68" s="23">
        <v>33060161827</v>
      </c>
      <c r="D68" s="22" t="s">
        <v>198</v>
      </c>
      <c r="E68" s="22" t="str">
        <f>VLOOKUP(Rapid[[#This Row],[Código]],BD_Produto[],3,FALSE)</f>
        <v>Grampeador Pistola</v>
      </c>
      <c r="F68" s="22" t="str">
        <f>VLOOKUP(Rapid[[#This Row],[Código]],BD_Produto[],4,FALSE)</f>
        <v>Grampeador Pistola</v>
      </c>
      <c r="G68" s="24"/>
      <c r="H68" s="25"/>
      <c r="I68" s="22"/>
      <c r="J68" s="24"/>
      <c r="K68" s="24" t="str">
        <f>IFERROR(VLOOKUP(Rapid[[#This Row],[Código]],Importação!P:R,3,FALSE),"")</f>
        <v/>
      </c>
      <c r="L68" s="24">
        <f>IFERROR(VLOOKUP(Rapid[[#This Row],[Código]],Saldo[],3,FALSE),0)</f>
        <v>427</v>
      </c>
      <c r="M68" s="24">
        <f>SUM(Rapid[[#This Row],[Produção]:[Estoque]])</f>
        <v>427</v>
      </c>
      <c r="N68" s="24">
        <f>IFERROR(Rapid[[#This Row],[Estoque+Importação]]/Rapid[[#This Row],[Proj. de V. No prox. mes]],"Sem Projeção")</f>
        <v>44.94736842105263</v>
      </c>
      <c r="O68" s="24" t="str">
        <f>IF(OR(Rapid[[#This Row],[Status]]="Em Linha",Rapid[[#This Row],[Status]]="Componente",Rapid[[#This Row],[Status]]="Materia Prima"),Rapid[[#This Row],[Proj. de V. No prox. mes]]*10,"-")</f>
        <v>-</v>
      </c>
      <c r="P6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8" s="75">
        <f>VLOOKUP(Rapid[[#This Row],[Código]],Projeção[#All],15,FALSE)</f>
        <v>9.5</v>
      </c>
      <c r="R68" s="39">
        <f>VLOOKUP(Rapid[[#This Row],[Código]],Projeção[#All],14,FALSE)</f>
        <v>7.9666666666666659</v>
      </c>
      <c r="S68" s="39">
        <f>IFERROR(VLOOKUP(Rapid[[#This Row],[Código]],Venda_mes[],2,FALSE),0)</f>
        <v>17</v>
      </c>
      <c r="T68" s="44">
        <f>IFERROR(Rapid[[#This Row],[V. No mes]]/Rapid[[#This Row],[Proj. de V. No mes]],"")</f>
        <v>2.1338912133891217</v>
      </c>
      <c r="U68" s="43">
        <f>VLOOKUP(Rapid[[#This Row],[Código]],Projeção[#All],14,FALSE)+VLOOKUP(Rapid[[#This Row],[Código]],Projeção[#All],13,FALSE)+VLOOKUP(Rapid[[#This Row],[Código]],Projeção[#All],12,FALSE)</f>
        <v>25.366666666666664</v>
      </c>
      <c r="V68" s="39">
        <f>IFERROR(VLOOKUP(Rapid[[#This Row],[Código]],Venda_3meses[],2,FALSE),0)</f>
        <v>25</v>
      </c>
      <c r="W68" s="44">
        <f>IFERROR(Rapid[[#This Row],[V. 3 meses]]/Rapid[[#This Row],[Proj. de V. 3 meses]],"")</f>
        <v>0.98554533508541409</v>
      </c>
      <c r="X6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167.23333333333335</v>
      </c>
      <c r="Y68" s="39">
        <f>IFERROR(VLOOKUP(Rapid[[#This Row],[Código]],Venda_12meses[],2,FALSE),0)</f>
        <v>93</v>
      </c>
      <c r="Z68" s="44">
        <f>IFERROR(Rapid[[#This Row],[V. 12 meses]]/Rapid[[#This Row],[Proj. de V. 12 meses]],"")</f>
        <v>0.55610922862268286</v>
      </c>
      <c r="AA68" s="22"/>
    </row>
    <row r="69" spans="1:27" x14ac:dyDescent="0.25">
      <c r="A69" s="22" t="str">
        <f>VLOOKUP(Rapid[[#This Row],[Código]],BD_Produto[#All],7,FALSE)</f>
        <v>Fora de linha</v>
      </c>
      <c r="B6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69" s="23">
        <v>32060144116</v>
      </c>
      <c r="D69" s="22" t="s">
        <v>1021</v>
      </c>
      <c r="E69" s="22" t="str">
        <f>VLOOKUP(Rapid[[#This Row],[Código]],BD_Produto[],3,FALSE)</f>
        <v>Grampeador de Mesa</v>
      </c>
      <c r="F69" s="22" t="str">
        <f>VLOOKUP(Rapid[[#This Row],[Código]],BD_Produto[],4,FALSE)</f>
        <v>Grampeador de Mesa</v>
      </c>
      <c r="G69" s="24"/>
      <c r="H69" s="25"/>
      <c r="I69" s="22"/>
      <c r="J69" s="24"/>
      <c r="K69" s="24" t="str">
        <f>IFERROR(VLOOKUP(Rapid[[#This Row],[Código]],Importação!P:R,3,FALSE),"")</f>
        <v/>
      </c>
      <c r="L69" s="24">
        <f>IFERROR(VLOOKUP(Rapid[[#This Row],[Código]],Saldo[],3,FALSE),0)</f>
        <v>0</v>
      </c>
      <c r="M69" s="24">
        <f>SUM(Rapid[[#This Row],[Produção]:[Estoque]])</f>
        <v>0</v>
      </c>
      <c r="N69" s="24" t="str">
        <f>IFERROR(Rapid[[#This Row],[Estoque+Importação]]/Rapid[[#This Row],[Proj. de V. No prox. mes]],"Sem Projeção")</f>
        <v>Sem Projeção</v>
      </c>
      <c r="O69" s="24" t="str">
        <f>IF(OR(Rapid[[#This Row],[Status]]="Em Linha",Rapid[[#This Row],[Status]]="Componente",Rapid[[#This Row],[Status]]="Materia Prima"),Rapid[[#This Row],[Proj. de V. No prox. mes]]*10,"-")</f>
        <v>-</v>
      </c>
      <c r="P6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69" s="75">
        <f>VLOOKUP(Rapid[[#This Row],[Código]],Projeção[#All],15,FALSE)</f>
        <v>0</v>
      </c>
      <c r="R69" s="39">
        <f>VLOOKUP(Rapid[[#This Row],[Código]],Projeção[#All],14,FALSE)</f>
        <v>1.9</v>
      </c>
      <c r="S69" s="39">
        <f>IFERROR(VLOOKUP(Rapid[[#This Row],[Código]],Venda_mes[],2,FALSE),0)</f>
        <v>0</v>
      </c>
      <c r="T69" s="44">
        <f>IFERROR(Rapid[[#This Row],[V. No mes]]/Rapid[[#This Row],[Proj. de V. No mes]],"")</f>
        <v>0</v>
      </c>
      <c r="U69" s="43">
        <f>VLOOKUP(Rapid[[#This Row],[Código]],Projeção[#All],14,FALSE)+VLOOKUP(Rapid[[#This Row],[Código]],Projeção[#All],13,FALSE)+VLOOKUP(Rapid[[#This Row],[Código]],Projeção[#All],12,FALSE)</f>
        <v>6.6999999999999993</v>
      </c>
      <c r="V69" s="39">
        <f>IFERROR(VLOOKUP(Rapid[[#This Row],[Código]],Venda_3meses[],2,FALSE),0)</f>
        <v>0</v>
      </c>
      <c r="W69" s="44">
        <f>IFERROR(Rapid[[#This Row],[V. 3 meses]]/Rapid[[#This Row],[Proj. de V. 3 meses]],"")</f>
        <v>0</v>
      </c>
      <c r="X6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31.600000000000005</v>
      </c>
      <c r="Y69" s="39">
        <f>IFERROR(VLOOKUP(Rapid[[#This Row],[Código]],Venda_12meses[],2,FALSE),0)</f>
        <v>0</v>
      </c>
      <c r="Z69" s="44">
        <f>IFERROR(Rapid[[#This Row],[V. 12 meses]]/Rapid[[#This Row],[Proj. de V. 12 meses]],"")</f>
        <v>0</v>
      </c>
      <c r="AA69" s="22"/>
    </row>
    <row r="70" spans="1:27" x14ac:dyDescent="0.25">
      <c r="A70" s="22" t="str">
        <f>VLOOKUP(Rapid[[#This Row],[Código]],BD_Produto[#All],7,FALSE)</f>
        <v>Fora de linha</v>
      </c>
      <c r="B70" s="22" t="str">
        <f>IF(OR(Rapid[[#This Row],[Status]]="Em linha",Rapid[[#This Row],[Status]]="Materia Prima",Rapid[[#This Row],[Status]]="Componente"),"ok",IF(Rapid[[#This Row],[Estoque+Importação]]&lt;1,"Tirar","ok"))</f>
        <v>ok</v>
      </c>
      <c r="C70" s="23">
        <v>33060114992</v>
      </c>
      <c r="D70" s="22" t="s">
        <v>177</v>
      </c>
      <c r="E70" s="22" t="str">
        <f>VLOOKUP(Rapid[[#This Row],[Código]],BD_Produto[],3,FALSE)</f>
        <v>Grampeador de Mesa</v>
      </c>
      <c r="F70" s="22" t="str">
        <f>VLOOKUP(Rapid[[#This Row],[Código]],BD_Produto[],4,FALSE)</f>
        <v>Grampeador de Mesa</v>
      </c>
      <c r="G70" s="24"/>
      <c r="H70" s="25"/>
      <c r="I70" s="22"/>
      <c r="J70" s="24"/>
      <c r="K70" s="24" t="str">
        <f>IFERROR(VLOOKUP(Rapid[[#This Row],[Código]],Importação!P:R,3,FALSE),"")</f>
        <v/>
      </c>
      <c r="L70" s="24">
        <f>IFERROR(VLOOKUP(Rapid[[#This Row],[Código]],Saldo[],3,FALSE),0)</f>
        <v>440</v>
      </c>
      <c r="M70" s="24">
        <f>SUM(Rapid[[#This Row],[Produção]:[Estoque]])</f>
        <v>440</v>
      </c>
      <c r="N70" s="24">
        <f>IFERROR(Rapid[[#This Row],[Estoque+Importação]]/Rapid[[#This Row],[Proj. de V. No prox. mes]],"Sem Projeção")</f>
        <v>15.511163337250295</v>
      </c>
      <c r="O70" s="24" t="str">
        <f>IF(OR(Rapid[[#This Row],[Status]]="Em Linha",Rapid[[#This Row],[Status]]="Componente",Rapid[[#This Row],[Status]]="Materia Prima"),Rapid[[#This Row],[Proj. de V. No prox. mes]]*10,"-")</f>
        <v>-</v>
      </c>
      <c r="P7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0" s="75">
        <f>VLOOKUP(Rapid[[#This Row],[Código]],Projeção[#All],15,FALSE)</f>
        <v>28.366666666666664</v>
      </c>
      <c r="R70" s="39">
        <f>VLOOKUP(Rapid[[#This Row],[Código]],Projeção[#All],14,FALSE)</f>
        <v>7.466666666666665</v>
      </c>
      <c r="S70" s="39">
        <f>IFERROR(VLOOKUP(Rapid[[#This Row],[Código]],Venda_mes[],2,FALSE),0)</f>
        <v>2</v>
      </c>
      <c r="T70" s="44">
        <f>IFERROR(Rapid[[#This Row],[V. No mes]]/Rapid[[#This Row],[Proj. de V. No mes]],"")</f>
        <v>0.2678571428571429</v>
      </c>
      <c r="U70" s="43">
        <f>VLOOKUP(Rapid[[#This Row],[Código]],Projeção[#All],14,FALSE)+VLOOKUP(Rapid[[#This Row],[Código]],Projeção[#All],13,FALSE)+VLOOKUP(Rapid[[#This Row],[Código]],Projeção[#All],12,FALSE)</f>
        <v>19.866666666666664</v>
      </c>
      <c r="V70" s="39">
        <f>IFERROR(VLOOKUP(Rapid[[#This Row],[Código]],Venda_3meses[],2,FALSE),0)</f>
        <v>11</v>
      </c>
      <c r="W70" s="44">
        <f>IFERROR(Rapid[[#This Row],[V. 3 meses]]/Rapid[[#This Row],[Proj. de V. 3 meses]],"")</f>
        <v>0.55369127516778527</v>
      </c>
      <c r="X7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96.5</v>
      </c>
      <c r="Y70" s="39">
        <f>IFERROR(VLOOKUP(Rapid[[#This Row],[Código]],Venda_12meses[],2,FALSE),0)</f>
        <v>395</v>
      </c>
      <c r="Z70" s="44">
        <f>IFERROR(Rapid[[#This Row],[V. 12 meses]]/Rapid[[#This Row],[Proj. de V. 12 meses]],"")</f>
        <v>4.0932642487046635</v>
      </c>
      <c r="AA70" s="22"/>
    </row>
    <row r="71" spans="1:27" x14ac:dyDescent="0.25">
      <c r="A71" s="22" t="str">
        <f>VLOOKUP(Rapid[[#This Row],[Código]],BD_Produto[#All],7,FALSE)</f>
        <v>Fora de linha</v>
      </c>
      <c r="B71" s="22" t="str">
        <f>IF(OR(Rapid[[#This Row],[Status]]="Em linha",Rapid[[#This Row],[Status]]="Materia Prima",Rapid[[#This Row],[Status]]="Componente"),"ok",IF(Rapid[[#This Row],[Estoque+Importação]]&lt;1,"Tirar","ok"))</f>
        <v>ok</v>
      </c>
      <c r="C71" s="23">
        <v>33060161114</v>
      </c>
      <c r="D71" s="22" t="s">
        <v>196</v>
      </c>
      <c r="E71" s="22" t="str">
        <f>VLOOKUP(Rapid[[#This Row],[Código]],BD_Produto[],3,FALSE)</f>
        <v>Grampeador de Mesa</v>
      </c>
      <c r="F71" s="22" t="str">
        <f>VLOOKUP(Rapid[[#This Row],[Código]],BD_Produto[],4,FALSE)</f>
        <v>Grampeador de Mesa</v>
      </c>
      <c r="G71" s="24"/>
      <c r="H71" s="25"/>
      <c r="I71" s="22"/>
      <c r="J71" s="24"/>
      <c r="K71" s="24" t="str">
        <f>IFERROR(VLOOKUP(Rapid[[#This Row],[Código]],Importação!P:R,3,FALSE),"")</f>
        <v/>
      </c>
      <c r="L71" s="24">
        <f>IFERROR(VLOOKUP(Rapid[[#This Row],[Código]],Saldo[],3,FALSE),0)</f>
        <v>8936</v>
      </c>
      <c r="M71" s="24">
        <f>SUM(Rapid[[#This Row],[Produção]:[Estoque]])</f>
        <v>8936</v>
      </c>
      <c r="N71" s="24">
        <f>IFERROR(Rapid[[#This Row],[Estoque+Importação]]/Rapid[[#This Row],[Proj. de V. No prox. mes]],"Sem Projeção")</f>
        <v>67.49244712990938</v>
      </c>
      <c r="O71" s="24" t="str">
        <f>IF(OR(Rapid[[#This Row],[Status]]="Em Linha",Rapid[[#This Row],[Status]]="Componente",Rapid[[#This Row],[Status]]="Materia Prima"),Rapid[[#This Row],[Proj. de V. No prox. mes]]*10,"-")</f>
        <v>-</v>
      </c>
      <c r="P7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1" s="75">
        <f>VLOOKUP(Rapid[[#This Row],[Código]],Projeção[#All],15,FALSE)</f>
        <v>132.39999999999998</v>
      </c>
      <c r="R71" s="39">
        <f>VLOOKUP(Rapid[[#This Row],[Código]],Projeção[#All],14,FALSE)</f>
        <v>137.13333333333333</v>
      </c>
      <c r="S71" s="39">
        <f>IFERROR(VLOOKUP(Rapid[[#This Row],[Código]],Venda_mes[],2,FALSE),0)</f>
        <v>100</v>
      </c>
      <c r="T71" s="44">
        <f>IFERROR(Rapid[[#This Row],[V. No mes]]/Rapid[[#This Row],[Proj. de V. No mes]],"")</f>
        <v>0.7292173067574137</v>
      </c>
      <c r="U71" s="43">
        <f>VLOOKUP(Rapid[[#This Row],[Código]],Projeção[#All],14,FALSE)+VLOOKUP(Rapid[[#This Row],[Código]],Projeção[#All],13,FALSE)+VLOOKUP(Rapid[[#This Row],[Código]],Projeção[#All],12,FALSE)</f>
        <v>350.86666666666667</v>
      </c>
      <c r="V71" s="39">
        <f>IFERROR(VLOOKUP(Rapid[[#This Row],[Código]],Venda_3meses[],2,FALSE),0)</f>
        <v>307</v>
      </c>
      <c r="W71" s="44">
        <f>IFERROR(Rapid[[#This Row],[V. 3 meses]]/Rapid[[#This Row],[Proj. de V. 3 meses]],"")</f>
        <v>0.87497624928747864</v>
      </c>
      <c r="X7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1030.0666666666668</v>
      </c>
      <c r="Y71" s="39">
        <f>IFERROR(VLOOKUP(Rapid[[#This Row],[Código]],Venda_12meses[],2,FALSE),0)</f>
        <v>1688</v>
      </c>
      <c r="Z71" s="44">
        <f>IFERROR(Rapid[[#This Row],[V. 12 meses]]/Rapid[[#This Row],[Proj. de V. 12 meses]],"")</f>
        <v>1.6387288848618209</v>
      </c>
      <c r="AA71" s="22"/>
    </row>
    <row r="72" spans="1:27" x14ac:dyDescent="0.25">
      <c r="A72" s="22" t="str">
        <f>VLOOKUP(Rapid[[#This Row],[Código]],BD_Produto[#All],7,FALSE)</f>
        <v>Fora de linha</v>
      </c>
      <c r="B72" s="22" t="str">
        <f>IF(OR(Rapid[[#This Row],[Status]]="Em linha",Rapid[[#This Row],[Status]]="Materia Prima",Rapid[[#This Row],[Status]]="Componente"),"ok",IF(Rapid[[#This Row],[Estoque+Importação]]&lt;1,"Tirar","ok"))</f>
        <v>ok</v>
      </c>
      <c r="C72" s="23">
        <v>33060161826</v>
      </c>
      <c r="D72" s="22" t="s">
        <v>197</v>
      </c>
      <c r="E72" s="22" t="str">
        <f>VLOOKUP(Rapid[[#This Row],[Código]],BD_Produto[],3,FALSE)</f>
        <v>Grampeador Alicate</v>
      </c>
      <c r="F72" s="22" t="str">
        <f>VLOOKUP(Rapid[[#This Row],[Código]],BD_Produto[],4,FALSE)</f>
        <v>Grampeador Alicate</v>
      </c>
      <c r="G72" s="24"/>
      <c r="H72" s="25"/>
      <c r="I72" s="22"/>
      <c r="J72" s="24"/>
      <c r="K72" s="24" t="str">
        <f>IFERROR(VLOOKUP(Rapid[[#This Row],[Código]],Importação!P:R,3,FALSE),"")</f>
        <v/>
      </c>
      <c r="L72" s="24">
        <f>IFERROR(VLOOKUP(Rapid[[#This Row],[Código]],Saldo[],3,FALSE),0)</f>
        <v>2333</v>
      </c>
      <c r="M72" s="24">
        <f>SUM(Rapid[[#This Row],[Produção]:[Estoque]])</f>
        <v>2333</v>
      </c>
      <c r="N72" s="24">
        <f>IFERROR(Rapid[[#This Row],[Estoque+Importação]]/Rapid[[#This Row],[Proj. de V. No prox. mes]],"Sem Projeção")</f>
        <v>123.00527240773285</v>
      </c>
      <c r="O72" s="24" t="str">
        <f>IF(OR(Rapid[[#This Row],[Status]]="Em Linha",Rapid[[#This Row],[Status]]="Componente",Rapid[[#This Row],[Status]]="Materia Prima"),Rapid[[#This Row],[Proj. de V. No prox. mes]]*10,"-")</f>
        <v>-</v>
      </c>
      <c r="P7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2" s="75">
        <f>VLOOKUP(Rapid[[#This Row],[Código]],Projeção[#All],15,FALSE)</f>
        <v>18.966666666666669</v>
      </c>
      <c r="R72" s="39">
        <f>VLOOKUP(Rapid[[#This Row],[Código]],Projeção[#All],14,FALSE)</f>
        <v>48.733333333333334</v>
      </c>
      <c r="S72" s="39">
        <f>IFERROR(VLOOKUP(Rapid[[#This Row],[Código]],Venda_mes[],2,FALSE),0)</f>
        <v>16</v>
      </c>
      <c r="T72" s="44">
        <f>IFERROR(Rapid[[#This Row],[V. No mes]]/Rapid[[#This Row],[Proj. de V. No mes]],"")</f>
        <v>0.32831737346101231</v>
      </c>
      <c r="U72" s="43">
        <f>VLOOKUP(Rapid[[#This Row],[Código]],Projeção[#All],14,FALSE)+VLOOKUP(Rapid[[#This Row],[Código]],Projeção[#All],13,FALSE)+VLOOKUP(Rapid[[#This Row],[Código]],Projeção[#All],12,FALSE)</f>
        <v>111.4</v>
      </c>
      <c r="V72" s="39">
        <f>IFERROR(VLOOKUP(Rapid[[#This Row],[Código]],Venda_3meses[],2,FALSE),0)</f>
        <v>31</v>
      </c>
      <c r="W72" s="44">
        <f>IFERROR(Rapid[[#This Row],[V. 3 meses]]/Rapid[[#This Row],[Proj. de V. 3 meses]],"")</f>
        <v>0.27827648114901254</v>
      </c>
      <c r="X7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468.56666666666672</v>
      </c>
      <c r="Y72" s="39">
        <f>IFERROR(VLOOKUP(Rapid[[#This Row],[Código]],Venda_12meses[],2,FALSE),0)</f>
        <v>259</v>
      </c>
      <c r="Z72" s="44">
        <f>IFERROR(Rapid[[#This Row],[V. 12 meses]]/Rapid[[#This Row],[Proj. de V. 12 meses]],"")</f>
        <v>0.55274951981219311</v>
      </c>
      <c r="AA72" s="22"/>
    </row>
    <row r="73" spans="1:27" x14ac:dyDescent="0.25">
      <c r="A73" s="22" t="str">
        <f>VLOOKUP(Rapid[[#This Row],[Código]],BD_Produto[#All],7,FALSE)</f>
        <v>Fora de linha</v>
      </c>
      <c r="B73" s="22" t="str">
        <f>IF(OR(Rapid[[#This Row],[Status]]="Em linha",Rapid[[#This Row],[Status]]="Materia Prima",Rapid[[#This Row],[Status]]="Componente"),"ok",IF(Rapid[[#This Row],[Estoque+Importação]]&lt;1,"Tirar","ok"))</f>
        <v>ok</v>
      </c>
      <c r="C73" s="23">
        <v>33060714636</v>
      </c>
      <c r="D73" s="22" t="s">
        <v>889</v>
      </c>
      <c r="E73" s="22" t="str">
        <f>VLOOKUP(Rapid[[#This Row],[Código]],BD_Produto[],3,FALSE)</f>
        <v>Perfurador</v>
      </c>
      <c r="F73" s="22" t="str">
        <f>VLOOKUP(Rapid[[#This Row],[Código]],BD_Produto[],4,FALSE)</f>
        <v>Perfurador</v>
      </c>
      <c r="G73" s="24"/>
      <c r="H73" s="25"/>
      <c r="I73" s="22"/>
      <c r="J73" s="24"/>
      <c r="K73" s="24" t="str">
        <f>IFERROR(VLOOKUP(Rapid[[#This Row],[Código]],Importação!P:R,3,FALSE),"")</f>
        <v/>
      </c>
      <c r="L73" s="24">
        <f>IFERROR(VLOOKUP(Rapid[[#This Row],[Código]],Saldo[],3,FALSE),0)</f>
        <v>30</v>
      </c>
      <c r="M73" s="24">
        <f>SUM(Rapid[[#This Row],[Produção]:[Estoque]])</f>
        <v>30</v>
      </c>
      <c r="N73" s="24" t="str">
        <f>IFERROR(Rapid[[#This Row],[Estoque+Importação]]/Rapid[[#This Row],[Proj. de V. No prox. mes]],"Sem Projeção")</f>
        <v>Sem Projeção</v>
      </c>
      <c r="O73" s="24" t="str">
        <f>IF(OR(Rapid[[#This Row],[Status]]="Em Linha",Rapid[[#This Row],[Status]]="Componente",Rapid[[#This Row],[Status]]="Materia Prima"),Rapid[[#This Row],[Proj. de V. No prox. mes]]*10,"-")</f>
        <v>-</v>
      </c>
      <c r="P7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3" s="75">
        <f>VLOOKUP(Rapid[[#This Row],[Código]],Projeção[#All],15,FALSE)</f>
        <v>0</v>
      </c>
      <c r="R73" s="39">
        <f>VLOOKUP(Rapid[[#This Row],[Código]],Projeção[#All],14,FALSE)</f>
        <v>0.39999999999999997</v>
      </c>
      <c r="S73" s="39">
        <f>IFERROR(VLOOKUP(Rapid[[#This Row],[Código]],Venda_mes[],2,FALSE),0)</f>
        <v>0</v>
      </c>
      <c r="T73" s="44">
        <f>IFERROR(Rapid[[#This Row],[V. No mes]]/Rapid[[#This Row],[Proj. de V. No mes]],"")</f>
        <v>0</v>
      </c>
      <c r="U73" s="43">
        <f>VLOOKUP(Rapid[[#This Row],[Código]],Projeção[#All],14,FALSE)+VLOOKUP(Rapid[[#This Row],[Código]],Projeção[#All],13,FALSE)+VLOOKUP(Rapid[[#This Row],[Código]],Projeção[#All],12,FALSE)</f>
        <v>1.2</v>
      </c>
      <c r="V73" s="39">
        <f>IFERROR(VLOOKUP(Rapid[[#This Row],[Código]],Venda_3meses[],2,FALSE),0)</f>
        <v>0</v>
      </c>
      <c r="W73" s="44">
        <f>IFERROR(Rapid[[#This Row],[V. 3 meses]]/Rapid[[#This Row],[Proj. de V. 3 meses]],"")</f>
        <v>0</v>
      </c>
      <c r="X7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14.399999999999999</v>
      </c>
      <c r="Y73" s="39">
        <f>IFERROR(VLOOKUP(Rapid[[#This Row],[Código]],Venda_12meses[],2,FALSE),0)</f>
        <v>0</v>
      </c>
      <c r="Z73" s="44">
        <f>IFERROR(Rapid[[#This Row],[V. 12 meses]]/Rapid[[#This Row],[Proj. de V. 12 meses]],"")</f>
        <v>0</v>
      </c>
      <c r="AA73" s="22"/>
    </row>
    <row r="74" spans="1:27" x14ac:dyDescent="0.25">
      <c r="A74" s="22" t="str">
        <f>VLOOKUP(Rapid[[#This Row],[Código]],BD_Produto[#All],7,FALSE)</f>
        <v>Fora de linha</v>
      </c>
      <c r="B74" s="22" t="str">
        <f>IF(OR(Rapid[[#This Row],[Status]]="Em linha",Rapid[[#This Row],[Status]]="Materia Prima",Rapid[[#This Row],[Status]]="Componente"),"ok",IF(Rapid[[#This Row],[Estoque+Importação]]&lt;1,"Tirar","ok"))</f>
        <v>ok</v>
      </c>
      <c r="C74" s="23">
        <v>33060163221</v>
      </c>
      <c r="D74" s="22" t="s">
        <v>203</v>
      </c>
      <c r="E74" s="22" t="str">
        <f>VLOOKUP(Rapid[[#This Row],[Código]],BD_Produto[],3,FALSE)</f>
        <v>Grampeador de Mesa</v>
      </c>
      <c r="F74" s="22" t="str">
        <f>VLOOKUP(Rapid[[#This Row],[Código]],BD_Produto[],4,FALSE)</f>
        <v>Grampeador de Mesa</v>
      </c>
      <c r="G74" s="24"/>
      <c r="H74" s="25"/>
      <c r="I74" s="22"/>
      <c r="J74" s="24"/>
      <c r="K74" s="24" t="str">
        <f>IFERROR(VLOOKUP(Rapid[[#This Row],[Código]],Importação!P:R,3,FALSE),"")</f>
        <v/>
      </c>
      <c r="L74" s="24">
        <f>IFERROR(VLOOKUP(Rapid[[#This Row],[Código]],Saldo[],3,FALSE),0)</f>
        <v>3115</v>
      </c>
      <c r="M74" s="24">
        <f>SUM(Rapid[[#This Row],[Produção]:[Estoque]])</f>
        <v>3115</v>
      </c>
      <c r="N74" s="24">
        <f>IFERROR(Rapid[[#This Row],[Estoque+Importação]]/Rapid[[#This Row],[Proj. de V. No prox. mes]],"Sem Projeção")</f>
        <v>45.921375921375926</v>
      </c>
      <c r="O74" s="24" t="str">
        <f>IF(OR(Rapid[[#This Row],[Status]]="Em Linha",Rapid[[#This Row],[Status]]="Componente",Rapid[[#This Row],[Status]]="Materia Prima"),Rapid[[#This Row],[Proj. de V. No prox. mes]]*10,"-")</f>
        <v>-</v>
      </c>
      <c r="P7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4" s="75">
        <f>VLOOKUP(Rapid[[#This Row],[Código]],Projeção[#All],15,FALSE)</f>
        <v>67.833333333333329</v>
      </c>
      <c r="R74" s="39">
        <f>VLOOKUP(Rapid[[#This Row],[Código]],Projeção[#All],14,FALSE)</f>
        <v>44.733333333333334</v>
      </c>
      <c r="S74" s="39">
        <f>IFERROR(VLOOKUP(Rapid[[#This Row],[Código]],Venda_mes[],2,FALSE),0)</f>
        <v>29</v>
      </c>
      <c r="T74" s="44">
        <f>IFERROR(Rapid[[#This Row],[V. No mes]]/Rapid[[#This Row],[Proj. de V. No mes]],"")</f>
        <v>0.64828614008941876</v>
      </c>
      <c r="U74" s="43">
        <f>VLOOKUP(Rapid[[#This Row],[Código]],Projeção[#All],14,FALSE)+VLOOKUP(Rapid[[#This Row],[Código]],Projeção[#All],13,FALSE)+VLOOKUP(Rapid[[#This Row],[Código]],Projeção[#All],12,FALSE)</f>
        <v>129</v>
      </c>
      <c r="V74" s="39">
        <f>IFERROR(VLOOKUP(Rapid[[#This Row],[Código]],Venda_3meses[],2,FALSE),0)</f>
        <v>183</v>
      </c>
      <c r="W74" s="44">
        <f>IFERROR(Rapid[[#This Row],[V. 3 meses]]/Rapid[[#This Row],[Proj. de V. 3 meses]],"")</f>
        <v>1.4186046511627908</v>
      </c>
      <c r="X7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505.3</v>
      </c>
      <c r="Y74" s="39">
        <f>IFERROR(VLOOKUP(Rapid[[#This Row],[Código]],Venda_12meses[],2,FALSE),0)</f>
        <v>671</v>
      </c>
      <c r="Z74" s="44">
        <f>IFERROR(Rapid[[#This Row],[V. 12 meses]]/Rapid[[#This Row],[Proj. de V. 12 meses]],"")</f>
        <v>1.3279240055412627</v>
      </c>
      <c r="AA74" s="22"/>
    </row>
    <row r="75" spans="1:27" x14ac:dyDescent="0.25">
      <c r="A75" s="22" t="str">
        <f>VLOOKUP(Rapid[[#This Row],[Código]],BD_Produto[#All],7,FALSE)</f>
        <v>Fora de linha</v>
      </c>
      <c r="B75" s="22" t="str">
        <f>IF(OR(Rapid[[#This Row],[Status]]="Em linha",Rapid[[#This Row],[Status]]="Materia Prima",Rapid[[#This Row],[Status]]="Componente"),"ok",IF(Rapid[[#This Row],[Estoque+Importação]]&lt;1,"Tirar","ok"))</f>
        <v>ok</v>
      </c>
      <c r="C75" s="23">
        <v>33060114804</v>
      </c>
      <c r="D75" s="22" t="s">
        <v>1171</v>
      </c>
      <c r="E75" s="22" t="str">
        <f>VLOOKUP(Rapid[[#This Row],[Código]],BD_Produto[],3,FALSE)</f>
        <v>Grampeador de Mesa</v>
      </c>
      <c r="F75" s="22" t="str">
        <f>VLOOKUP(Rapid[[#This Row],[Código]],BD_Produto[],4,FALSE)</f>
        <v>Grampeador de Mesa</v>
      </c>
      <c r="G75" s="24"/>
      <c r="H75" s="25"/>
      <c r="I75" s="22"/>
      <c r="J75" s="24"/>
      <c r="K75" s="24" t="str">
        <f>IFERROR(VLOOKUP(Rapid[[#This Row],[Código]],Importação!P:R,3,FALSE),"")</f>
        <v/>
      </c>
      <c r="L75" s="24">
        <f>IFERROR(VLOOKUP(Rapid[[#This Row],[Código]],Saldo[],3,FALSE),0)</f>
        <v>117</v>
      </c>
      <c r="M75" s="24">
        <f>SUM(Rapid[[#This Row],[Produção]:[Estoque]])</f>
        <v>117</v>
      </c>
      <c r="N75" s="24">
        <f>IFERROR(Rapid[[#This Row],[Estoque+Importação]]/Rapid[[#This Row],[Proj. de V. No prox. mes]],"Sem Projeção")</f>
        <v>41.785714285714285</v>
      </c>
      <c r="O75" s="24" t="str">
        <f>IF(OR(Rapid[[#This Row],[Status]]="Em Linha",Rapid[[#This Row],[Status]]="Componente",Rapid[[#This Row],[Status]]="Materia Prima"),Rapid[[#This Row],[Proj. de V. No prox. mes]]*10,"-")</f>
        <v>-</v>
      </c>
      <c r="P7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5" s="75">
        <f>VLOOKUP(Rapid[[#This Row],[Código]],Projeção[#All],15,FALSE)</f>
        <v>2.8000000000000003</v>
      </c>
      <c r="R75" s="39">
        <f>VLOOKUP(Rapid[[#This Row],[Código]],Projeção[#All],14,FALSE)</f>
        <v>2.4</v>
      </c>
      <c r="S75" s="39">
        <f>IFERROR(VLOOKUP(Rapid[[#This Row],[Código]],Venda_mes[],2,FALSE),0)</f>
        <v>0</v>
      </c>
      <c r="T75" s="44">
        <f>IFERROR(Rapid[[#This Row],[V. No mes]]/Rapid[[#This Row],[Proj. de V. No mes]],"")</f>
        <v>0</v>
      </c>
      <c r="U75" s="43">
        <f>VLOOKUP(Rapid[[#This Row],[Código]],Projeção[#All],14,FALSE)+VLOOKUP(Rapid[[#This Row],[Código]],Projeção[#All],13,FALSE)+VLOOKUP(Rapid[[#This Row],[Código]],Projeção[#All],12,FALSE)</f>
        <v>4.9666666666666659</v>
      </c>
      <c r="V75" s="39">
        <f>IFERROR(VLOOKUP(Rapid[[#This Row],[Código]],Venda_3meses[],2,FALSE),0)</f>
        <v>10</v>
      </c>
      <c r="W75" s="44">
        <f>IFERROR(Rapid[[#This Row],[V. 3 meses]]/Rapid[[#This Row],[Proj. de V. 3 meses]],"")</f>
        <v>2.0134228187919465</v>
      </c>
      <c r="X7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27.233333333333327</v>
      </c>
      <c r="Y75" s="39">
        <f>IFERROR(VLOOKUP(Rapid[[#This Row],[Código]],Venda_12meses[],2,FALSE),0)</f>
        <v>24</v>
      </c>
      <c r="Z75" s="44">
        <f>IFERROR(Rapid[[#This Row],[V. 12 meses]]/Rapid[[#This Row],[Proj. de V. 12 meses]],"")</f>
        <v>0.8812729498164017</v>
      </c>
      <c r="AA75" s="22"/>
    </row>
    <row r="76" spans="1:27" x14ac:dyDescent="0.25">
      <c r="A76" s="22" t="str">
        <f>VLOOKUP(Rapid[[#This Row],[Código]],BD_Produto[#All],7,FALSE)</f>
        <v>Fora de linha</v>
      </c>
      <c r="B76" s="22" t="str">
        <f>IF(OR(Rapid[[#This Row],[Status]]="Em linha",Rapid[[#This Row],[Status]]="Materia Prima",Rapid[[#This Row],[Status]]="Componente"),"ok",IF(Rapid[[#This Row],[Estoque+Importação]]&lt;1,"Tirar","ok"))</f>
        <v>ok</v>
      </c>
      <c r="C76" s="23">
        <v>33060163220</v>
      </c>
      <c r="D76" s="22" t="s">
        <v>202</v>
      </c>
      <c r="E76" s="22" t="str">
        <f>VLOOKUP(Rapid[[#This Row],[Código]],BD_Produto[],3,FALSE)</f>
        <v>Grampeador de Mesa</v>
      </c>
      <c r="F76" s="22" t="str">
        <f>VLOOKUP(Rapid[[#This Row],[Código]],BD_Produto[],4,FALSE)</f>
        <v>Grampeador de Mesa</v>
      </c>
      <c r="G76" s="24"/>
      <c r="H76" s="25"/>
      <c r="I76" s="22"/>
      <c r="J76" s="24"/>
      <c r="K76" s="24" t="str">
        <f>IFERROR(VLOOKUP(Rapid[[#This Row],[Código]],Importação!P:R,3,FALSE),"")</f>
        <v/>
      </c>
      <c r="L76" s="24">
        <f>IFERROR(VLOOKUP(Rapid[[#This Row],[Código]],Saldo[],3,FALSE),0)</f>
        <v>6714</v>
      </c>
      <c r="M76" s="24">
        <f>SUM(Rapid[[#This Row],[Produção]:[Estoque]])</f>
        <v>6714</v>
      </c>
      <c r="N76" s="24">
        <f>IFERROR(Rapid[[#This Row],[Estoque+Importação]]/Rapid[[#This Row],[Proj. de V. No prox. mes]],"Sem Projeção")</f>
        <v>49.019226089072767</v>
      </c>
      <c r="O76" s="24" t="str">
        <f>IF(OR(Rapid[[#This Row],[Status]]="Em Linha",Rapid[[#This Row],[Status]]="Componente",Rapid[[#This Row],[Status]]="Materia Prima"),Rapid[[#This Row],[Proj. de V. No prox. mes]]*10,"-")</f>
        <v>-</v>
      </c>
      <c r="P7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6" s="75">
        <f>VLOOKUP(Rapid[[#This Row],[Código]],Projeção[#All],15,FALSE)</f>
        <v>136.96666666666667</v>
      </c>
      <c r="R76" s="39">
        <f>VLOOKUP(Rapid[[#This Row],[Código]],Projeção[#All],14,FALSE)</f>
        <v>99.5</v>
      </c>
      <c r="S76" s="39">
        <f>IFERROR(VLOOKUP(Rapid[[#This Row],[Código]],Venda_mes[],2,FALSE),0)</f>
        <v>230</v>
      </c>
      <c r="T76" s="44">
        <f>IFERROR(Rapid[[#This Row],[V. No mes]]/Rapid[[#This Row],[Proj. de V. No mes]],"")</f>
        <v>2.3115577889447234</v>
      </c>
      <c r="U76" s="43">
        <f>VLOOKUP(Rapid[[#This Row],[Código]],Projeção[#All],14,FALSE)+VLOOKUP(Rapid[[#This Row],[Código]],Projeção[#All],13,FALSE)+VLOOKUP(Rapid[[#This Row],[Código]],Projeção[#All],12,FALSE)</f>
        <v>224.5333333333333</v>
      </c>
      <c r="V76" s="39">
        <f>IFERROR(VLOOKUP(Rapid[[#This Row],[Código]],Venda_3meses[],2,FALSE),0)</f>
        <v>436</v>
      </c>
      <c r="W76" s="44">
        <f>IFERROR(Rapid[[#This Row],[V. 3 meses]]/Rapid[[#This Row],[Proj. de V. 3 meses]],"")</f>
        <v>1.941805225653207</v>
      </c>
      <c r="X7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637.86666666666667</v>
      </c>
      <c r="Y76" s="39">
        <f>IFERROR(VLOOKUP(Rapid[[#This Row],[Código]],Venda_12meses[],2,FALSE),0)</f>
        <v>1183</v>
      </c>
      <c r="Z76" s="44">
        <f>IFERROR(Rapid[[#This Row],[V. 12 meses]]/Rapid[[#This Row],[Proj. de V. 12 meses]],"")</f>
        <v>1.8546195652173914</v>
      </c>
      <c r="AA76" s="22"/>
    </row>
    <row r="77" spans="1:27" x14ac:dyDescent="0.25">
      <c r="A77" s="22" t="str">
        <f>VLOOKUP(Rapid[[#This Row],[Código]],BD_Produto[#All],7,FALSE)</f>
        <v>Fora de linha</v>
      </c>
      <c r="B77" s="22" t="str">
        <f>IF(OR(Rapid[[#This Row],[Status]]="Em linha",Rapid[[#This Row],[Status]]="Materia Prima",Rapid[[#This Row],[Status]]="Componente"),"ok",IF(Rapid[[#This Row],[Estoque+Importação]]&lt;1,"Tirar","ok"))</f>
        <v>ok</v>
      </c>
      <c r="C77" s="23">
        <v>33060754032</v>
      </c>
      <c r="D77" s="22" t="s">
        <v>1235</v>
      </c>
      <c r="E77" s="22" t="str">
        <f>VLOOKUP(Rapid[[#This Row],[Código]],BD_Produto[],3,FALSE)</f>
        <v>Perfurador</v>
      </c>
      <c r="F77" s="22" t="str">
        <f>VLOOKUP(Rapid[[#This Row],[Código]],BD_Produto[],4,FALSE)</f>
        <v>Perfurador</v>
      </c>
      <c r="G77" s="24"/>
      <c r="H77" s="25"/>
      <c r="I77" s="22"/>
      <c r="J77" s="24"/>
      <c r="K77" s="24" t="str">
        <f>IFERROR(VLOOKUP(Rapid[[#This Row],[Código]],Importação!P:R,3,FALSE),"")</f>
        <v/>
      </c>
      <c r="L77" s="24">
        <f>IFERROR(VLOOKUP(Rapid[[#This Row],[Código]],Saldo[],3,FALSE),0)</f>
        <v>1621</v>
      </c>
      <c r="M77" s="24">
        <f>SUM(Rapid[[#This Row],[Produção]:[Estoque]])</f>
        <v>1621</v>
      </c>
      <c r="N77" s="24">
        <f>IFERROR(Rapid[[#This Row],[Estoque+Importação]]/Rapid[[#This Row],[Proj. de V. No prox. mes]],"Sem Projeção")</f>
        <v>116.61870503597122</v>
      </c>
      <c r="O77" s="24" t="str">
        <f>IF(OR(Rapid[[#This Row],[Status]]="Em Linha",Rapid[[#This Row],[Status]]="Componente",Rapid[[#This Row],[Status]]="Materia Prima"),Rapid[[#This Row],[Proj. de V. No prox. mes]]*10,"-")</f>
        <v>-</v>
      </c>
      <c r="P7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7" s="75">
        <f>VLOOKUP(Rapid[[#This Row],[Código]],Projeção[#All],15,FALSE)</f>
        <v>13.9</v>
      </c>
      <c r="R77" s="39">
        <f>VLOOKUP(Rapid[[#This Row],[Código]],Projeção[#All],14,FALSE)</f>
        <v>16.733333333333334</v>
      </c>
      <c r="S77" s="39">
        <f>IFERROR(VLOOKUP(Rapid[[#This Row],[Código]],Venda_mes[],2,FALSE),0)</f>
        <v>5</v>
      </c>
      <c r="T77" s="44">
        <f>IFERROR(Rapid[[#This Row],[V. No mes]]/Rapid[[#This Row],[Proj. de V. No mes]],"")</f>
        <v>0.29880478087649398</v>
      </c>
      <c r="U77" s="43">
        <f>VLOOKUP(Rapid[[#This Row],[Código]],Projeção[#All],14,FALSE)+VLOOKUP(Rapid[[#This Row],[Código]],Projeção[#All],13,FALSE)+VLOOKUP(Rapid[[#This Row],[Código]],Projeção[#All],12,FALSE)</f>
        <v>46.733333333333334</v>
      </c>
      <c r="V77" s="39">
        <f>IFERROR(VLOOKUP(Rapid[[#This Row],[Código]],Venda_3meses[],2,FALSE),0)</f>
        <v>37</v>
      </c>
      <c r="W77" s="44">
        <f>IFERROR(Rapid[[#This Row],[V. 3 meses]]/Rapid[[#This Row],[Proj. de V. 3 meses]],"")</f>
        <v>0.79172610556348078</v>
      </c>
      <c r="X7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310.33333333333337</v>
      </c>
      <c r="Y77" s="39">
        <f>IFERROR(VLOOKUP(Rapid[[#This Row],[Código]],Venda_12meses[],2,FALSE),0)</f>
        <v>173</v>
      </c>
      <c r="Z77" s="44">
        <f>IFERROR(Rapid[[#This Row],[V. 12 meses]]/Rapid[[#This Row],[Proj. de V. 12 meses]],"")</f>
        <v>0.5574650912996777</v>
      </c>
      <c r="AA77" s="22">
        <v>22687000</v>
      </c>
    </row>
    <row r="78" spans="1:27" x14ac:dyDescent="0.25">
      <c r="A78" s="22" t="str">
        <f>VLOOKUP(Rapid[[#This Row],[Código]],BD_Produto[#All],7,FALSE)</f>
        <v>Fora de linha</v>
      </c>
      <c r="B78" s="22" t="str">
        <f>IF(OR(Rapid[[#This Row],[Status]]="Em linha",Rapid[[#This Row],[Status]]="Materia Prima",Rapid[[#This Row],[Status]]="Componente"),"ok",IF(Rapid[[#This Row],[Estoque+Importação]]&lt;1,"Tirar","ok"))</f>
        <v>ok</v>
      </c>
      <c r="C78" s="23">
        <v>32060144125</v>
      </c>
      <c r="D78" s="22" t="s">
        <v>113</v>
      </c>
      <c r="E78" s="22" t="str">
        <f>VLOOKUP(Rapid[[#This Row],[Código]],BD_Produto[],3,FALSE)</f>
        <v>Grampeador de Mesa</v>
      </c>
      <c r="F78" s="22" t="str">
        <f>VLOOKUP(Rapid[[#This Row],[Código]],BD_Produto[],4,FALSE)</f>
        <v>Grampeador de Mesa</v>
      </c>
      <c r="G78" s="24"/>
      <c r="H78" s="25"/>
      <c r="I78" s="22"/>
      <c r="J78" s="24"/>
      <c r="K78" s="24" t="str">
        <f>IFERROR(VLOOKUP(Rapid[[#This Row],[Código]],Importação!P:R,3,FALSE),"")</f>
        <v/>
      </c>
      <c r="L78" s="24">
        <f>IFERROR(VLOOKUP(Rapid[[#This Row],[Código]],Saldo[],3,FALSE),0)</f>
        <v>48</v>
      </c>
      <c r="M78" s="24">
        <f>SUM(Rapid[[#This Row],[Produção]:[Estoque]])</f>
        <v>48</v>
      </c>
      <c r="N78" s="24" t="str">
        <f>IFERROR(Rapid[[#This Row],[Estoque+Importação]]/Rapid[[#This Row],[Proj. de V. No prox. mes]],"Sem Projeção")</f>
        <v>Sem Projeção</v>
      </c>
      <c r="O78" s="24" t="str">
        <f>IF(OR(Rapid[[#This Row],[Status]]="Em Linha",Rapid[[#This Row],[Status]]="Componente",Rapid[[#This Row],[Status]]="Materia Prima"),Rapid[[#This Row],[Proj. de V. No prox. mes]]*10,"-")</f>
        <v>-</v>
      </c>
      <c r="P7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8" s="75">
        <f>VLOOKUP(Rapid[[#This Row],[Código]],Projeção[#All],15,FALSE)</f>
        <v>0</v>
      </c>
      <c r="R78" s="39">
        <f>VLOOKUP(Rapid[[#This Row],[Código]],Projeção[#All],14,FALSE)</f>
        <v>1</v>
      </c>
      <c r="S78" s="39">
        <f>IFERROR(VLOOKUP(Rapid[[#This Row],[Código]],Venda_mes[],2,FALSE),0)</f>
        <v>0</v>
      </c>
      <c r="T78" s="44">
        <f>IFERROR(Rapid[[#This Row],[V. No mes]]/Rapid[[#This Row],[Proj. de V. No mes]],"")</f>
        <v>0</v>
      </c>
      <c r="U78" s="43">
        <f>VLOOKUP(Rapid[[#This Row],[Código]],Projeção[#All],14,FALSE)+VLOOKUP(Rapid[[#This Row],[Código]],Projeção[#All],13,FALSE)+VLOOKUP(Rapid[[#This Row],[Código]],Projeção[#All],12,FALSE)</f>
        <v>2.3333333333333335</v>
      </c>
      <c r="V78" s="39">
        <f>IFERROR(VLOOKUP(Rapid[[#This Row],[Código]],Venda_3meses[],2,FALSE),0)</f>
        <v>0</v>
      </c>
      <c r="W78" s="44">
        <f>IFERROR(Rapid[[#This Row],[V. 3 meses]]/Rapid[[#This Row],[Proj. de V. 3 meses]],"")</f>
        <v>0</v>
      </c>
      <c r="X7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9</v>
      </c>
      <c r="Y78" s="39">
        <f>IFERROR(VLOOKUP(Rapid[[#This Row],[Código]],Venda_12meses[],2,FALSE),0)</f>
        <v>0</v>
      </c>
      <c r="Z78" s="44">
        <f>IFERROR(Rapid[[#This Row],[V. 12 meses]]/Rapid[[#This Row],[Proj. de V. 12 meses]],"")</f>
        <v>0</v>
      </c>
      <c r="AA78" s="22"/>
    </row>
    <row r="79" spans="1:27" x14ac:dyDescent="0.25">
      <c r="A79" s="22" t="str">
        <f>VLOOKUP(Rapid[[#This Row],[Código]],BD_Produto[#All],7,FALSE)</f>
        <v>Fora de linha</v>
      </c>
      <c r="B79" s="22" t="str">
        <f>IF(OR(Rapid[[#This Row],[Status]]="Em linha",Rapid[[#This Row],[Status]]="Materia Prima",Rapid[[#This Row],[Status]]="Componente"),"ok",IF(Rapid[[#This Row],[Estoque+Importação]]&lt;1,"Tirar","ok"))</f>
        <v>ok</v>
      </c>
      <c r="C79" s="23">
        <v>33060161112</v>
      </c>
      <c r="D79" s="22" t="s">
        <v>195</v>
      </c>
      <c r="E79" s="22" t="str">
        <f>VLOOKUP(Rapid[[#This Row],[Código]],BD_Produto[],3,FALSE)</f>
        <v>Grampeador de Mesa</v>
      </c>
      <c r="F79" s="22" t="str">
        <f>VLOOKUP(Rapid[[#This Row],[Código]],BD_Produto[],4,FALSE)</f>
        <v>Grampeador de Mesa</v>
      </c>
      <c r="G79" s="24"/>
      <c r="H79" s="25"/>
      <c r="I79" s="22"/>
      <c r="J79" s="24"/>
      <c r="K79" s="24" t="str">
        <f>IFERROR(VLOOKUP(Rapid[[#This Row],[Código]],Importação!P:R,3,FALSE),"")</f>
        <v/>
      </c>
      <c r="L79" s="24">
        <f>IFERROR(VLOOKUP(Rapid[[#This Row],[Código]],Saldo[],3,FALSE),0)</f>
        <v>398</v>
      </c>
      <c r="M79" s="24">
        <f>SUM(Rapid[[#This Row],[Produção]:[Estoque]])</f>
        <v>398</v>
      </c>
      <c r="N79" s="24">
        <f>IFERROR(Rapid[[#This Row],[Estoque+Importação]]/Rapid[[#This Row],[Proj. de V. No prox. mes]],"Sem Projeção")</f>
        <v>277.67441860465118</v>
      </c>
      <c r="O79" s="24" t="str">
        <f>IF(OR(Rapid[[#This Row],[Status]]="Em Linha",Rapid[[#This Row],[Status]]="Componente",Rapid[[#This Row],[Status]]="Materia Prima"),Rapid[[#This Row],[Proj. de V. No prox. mes]]*10,"-")</f>
        <v>-</v>
      </c>
      <c r="P7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79" s="75">
        <f>VLOOKUP(Rapid[[#This Row],[Código]],Projeção[#All],15,FALSE)</f>
        <v>1.4333333333333333</v>
      </c>
      <c r="R79" s="39">
        <f>VLOOKUP(Rapid[[#This Row],[Código]],Projeção[#All],14,FALSE)</f>
        <v>3.5333333333333337</v>
      </c>
      <c r="S79" s="39">
        <f>IFERROR(VLOOKUP(Rapid[[#This Row],[Código]],Venda_mes[],2,FALSE),0)</f>
        <v>0</v>
      </c>
      <c r="T79" s="44">
        <f>IFERROR(Rapid[[#This Row],[V. No mes]]/Rapid[[#This Row],[Proj. de V. No mes]],"")</f>
        <v>0</v>
      </c>
      <c r="U79" s="43">
        <f>VLOOKUP(Rapid[[#This Row],[Código]],Projeção[#All],14,FALSE)+VLOOKUP(Rapid[[#This Row],[Código]],Projeção[#All],13,FALSE)+VLOOKUP(Rapid[[#This Row],[Código]],Projeção[#All],12,FALSE)</f>
        <v>13.933333333333334</v>
      </c>
      <c r="V79" s="39">
        <f>IFERROR(VLOOKUP(Rapid[[#This Row],[Código]],Venda_3meses[],2,FALSE),0)</f>
        <v>0</v>
      </c>
      <c r="W79" s="44">
        <f>IFERROR(Rapid[[#This Row],[V. 3 meses]]/Rapid[[#This Row],[Proj. de V. 3 meses]],"")</f>
        <v>0</v>
      </c>
      <c r="X7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47.43333333333333</v>
      </c>
      <c r="Y79" s="39">
        <f>IFERROR(VLOOKUP(Rapid[[#This Row],[Código]],Venda_12meses[],2,FALSE),0)</f>
        <v>31</v>
      </c>
      <c r="Z79" s="44">
        <f>IFERROR(Rapid[[#This Row],[V. 12 meses]]/Rapid[[#This Row],[Proj. de V. 12 meses]],"")</f>
        <v>0.65354884047786377</v>
      </c>
      <c r="AA79" s="22"/>
    </row>
    <row r="80" spans="1:27" x14ac:dyDescent="0.25">
      <c r="A80" s="22" t="str">
        <f>VLOOKUP(Rapid[[#This Row],[Código]],BD_Produto[#All],7,FALSE)</f>
        <v>Fora de linha</v>
      </c>
      <c r="B80" s="22" t="str">
        <f>IF(OR(Rapid[[#This Row],[Status]]="Em linha",Rapid[[#This Row],[Status]]="Materia Prima",Rapid[[#This Row],[Status]]="Componente"),"ok",IF(Rapid[[#This Row],[Estoque+Importação]]&lt;1,"Tirar","ok"))</f>
        <v>ok</v>
      </c>
      <c r="C80" s="23">
        <v>33060160541</v>
      </c>
      <c r="D80" s="22" t="s">
        <v>194</v>
      </c>
      <c r="E80" s="22" t="str">
        <f>VLOOKUP(Rapid[[#This Row],[Código]],BD_Produto[],3,FALSE)</f>
        <v>Grampeador de Mesa</v>
      </c>
      <c r="F80" s="22" t="str">
        <f>VLOOKUP(Rapid[[#This Row],[Código]],BD_Produto[],4,FALSE)</f>
        <v>Grampeador de Mesa</v>
      </c>
      <c r="G80" s="24"/>
      <c r="H80" s="25"/>
      <c r="I80" s="22"/>
      <c r="J80" s="24"/>
      <c r="K80" s="24" t="str">
        <f>IFERROR(VLOOKUP(Rapid[[#This Row],[Código]],Importação!P:R,3,FALSE),"")</f>
        <v/>
      </c>
      <c r="L80" s="24">
        <f>IFERROR(VLOOKUP(Rapid[[#This Row],[Código]],Saldo[],3,FALSE),0)</f>
        <v>91</v>
      </c>
      <c r="M80" s="24">
        <f>SUM(Rapid[[#This Row],[Produção]:[Estoque]])</f>
        <v>91</v>
      </c>
      <c r="N80" s="24">
        <f>IFERROR(Rapid[[#This Row],[Estoque+Importação]]/Rapid[[#This Row],[Proj. de V. No prox. mes]],"Sem Projeção")</f>
        <v>160.58823529411765</v>
      </c>
      <c r="O80" s="24" t="str">
        <f>IF(OR(Rapid[[#This Row],[Status]]="Em Linha",Rapid[[#This Row],[Status]]="Componente",Rapid[[#This Row],[Status]]="Materia Prima"),Rapid[[#This Row],[Proj. de V. No prox. mes]]*10,"-")</f>
        <v>-</v>
      </c>
      <c r="P8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0" s="75">
        <f>VLOOKUP(Rapid[[#This Row],[Código]],Projeção[#All],15,FALSE)</f>
        <v>0.56666666666666665</v>
      </c>
      <c r="R80" s="39">
        <f>VLOOKUP(Rapid[[#This Row],[Código]],Projeção[#All],14,FALSE)</f>
        <v>1.4999999999999998</v>
      </c>
      <c r="S80" s="39">
        <f>IFERROR(VLOOKUP(Rapid[[#This Row],[Código]],Venda_mes[],2,FALSE),0)</f>
        <v>2</v>
      </c>
      <c r="T80" s="44">
        <f>IFERROR(Rapid[[#This Row],[V. No mes]]/Rapid[[#This Row],[Proj. de V. No mes]],"")</f>
        <v>1.3333333333333335</v>
      </c>
      <c r="U80" s="43">
        <f>VLOOKUP(Rapid[[#This Row],[Código]],Projeção[#All],14,FALSE)+VLOOKUP(Rapid[[#This Row],[Código]],Projeção[#All],13,FALSE)+VLOOKUP(Rapid[[#This Row],[Código]],Projeção[#All],12,FALSE)</f>
        <v>3.7666666666666662</v>
      </c>
      <c r="V80" s="39">
        <f>IFERROR(VLOOKUP(Rapid[[#This Row],[Código]],Venda_3meses[],2,FALSE),0)</f>
        <v>2</v>
      </c>
      <c r="W80" s="44">
        <f>IFERROR(Rapid[[#This Row],[V. 3 meses]]/Rapid[[#This Row],[Proj. de V. 3 meses]],"")</f>
        <v>0.53097345132743368</v>
      </c>
      <c r="X8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9.7666666666666657</v>
      </c>
      <c r="Y80" s="39">
        <f>IFERROR(VLOOKUP(Rapid[[#This Row],[Código]],Venda_12meses[],2,FALSE),0)</f>
        <v>5</v>
      </c>
      <c r="Z80" s="44">
        <f>IFERROR(Rapid[[#This Row],[V. 12 meses]]/Rapid[[#This Row],[Proj. de V. 12 meses]],"")</f>
        <v>0.51194539249146764</v>
      </c>
      <c r="AA80" s="22"/>
    </row>
    <row r="81" spans="1:27" x14ac:dyDescent="0.25">
      <c r="A81" s="22" t="str">
        <f>VLOOKUP(Rapid[[#This Row],[Código]],BD_Produto[#All],7,FALSE)</f>
        <v>Fora de linha</v>
      </c>
      <c r="B81" s="22" t="str">
        <f>IF(OR(Rapid[[#This Row],[Status]]="Em linha",Rapid[[#This Row],[Status]]="Materia Prima",Rapid[[#This Row],[Status]]="Componente"),"ok",IF(Rapid[[#This Row],[Estoque+Importação]]&lt;1,"Tirar","ok"))</f>
        <v>ok</v>
      </c>
      <c r="C81" s="23">
        <v>33060161828</v>
      </c>
      <c r="D81" s="22" t="s">
        <v>199</v>
      </c>
      <c r="E81" s="22" t="str">
        <f>VLOOKUP(Rapid[[#This Row],[Código]],BD_Produto[],3,FALSE)</f>
        <v>Grampeador de Mesa</v>
      </c>
      <c r="F81" s="22" t="str">
        <f>VLOOKUP(Rapid[[#This Row],[Código]],BD_Produto[],4,FALSE)</f>
        <v>Grampeador de Mesa</v>
      </c>
      <c r="G81" s="24"/>
      <c r="H81" s="25"/>
      <c r="I81" s="22"/>
      <c r="J81" s="24"/>
      <c r="K81" s="24" t="str">
        <f>IFERROR(VLOOKUP(Rapid[[#This Row],[Código]],Importação!P:R,3,FALSE),"")</f>
        <v/>
      </c>
      <c r="L81" s="24">
        <f>IFERROR(VLOOKUP(Rapid[[#This Row],[Código]],Saldo[],3,FALSE),0)</f>
        <v>1177</v>
      </c>
      <c r="M81" s="24">
        <f>SUM(Rapid[[#This Row],[Produção]:[Estoque]])</f>
        <v>1177</v>
      </c>
      <c r="N81" s="24">
        <f>IFERROR(Rapid[[#This Row],[Estoque+Importação]]/Rapid[[#This Row],[Proj. de V. No prox. mes]],"Sem Projeção")</f>
        <v>37.967741935483872</v>
      </c>
      <c r="O81" s="24" t="str">
        <f>IF(OR(Rapid[[#This Row],[Status]]="Em Linha",Rapid[[#This Row],[Status]]="Componente",Rapid[[#This Row],[Status]]="Materia Prima"),Rapid[[#This Row],[Proj. de V. No prox. mes]]*10,"-")</f>
        <v>-</v>
      </c>
      <c r="P8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1" s="83">
        <f>VLOOKUP(Rapid[[#This Row],[Código]],Projeção[#All],15,FALSE)</f>
        <v>30.999999999999996</v>
      </c>
      <c r="R81" s="43">
        <f>VLOOKUP(Rapid[[#This Row],[Código]],Projeção[#All],14,FALSE)</f>
        <v>8.3333333333333339</v>
      </c>
      <c r="S81" s="39">
        <f>IFERROR(VLOOKUP(Rapid[[#This Row],[Código]],Venda_mes[],2,FALSE),0)</f>
        <v>16</v>
      </c>
      <c r="T81" s="44">
        <f>IFERROR(Rapid[[#This Row],[V. No mes]]/Rapid[[#This Row],[Proj. de V. No mes]],"")</f>
        <v>1.92</v>
      </c>
      <c r="U81" s="43">
        <f>VLOOKUP(Rapid[[#This Row],[Código]],Projeção[#All],14,FALSE)+VLOOKUP(Rapid[[#This Row],[Código]],Projeção[#All],13,FALSE)+VLOOKUP(Rapid[[#This Row],[Código]],Projeção[#All],12,FALSE)</f>
        <v>17.233333333333334</v>
      </c>
      <c r="V81" s="39">
        <f>IFERROR(VLOOKUP(Rapid[[#This Row],[Código]],Venda_3meses[],2,FALSE),0)</f>
        <v>59</v>
      </c>
      <c r="W81" s="44">
        <f>IFERROR(Rapid[[#This Row],[V. 3 meses]]/Rapid[[#This Row],[Proj. de V. 3 meses]],"")</f>
        <v>3.4235976789168276</v>
      </c>
      <c r="X8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74.133333333333326</v>
      </c>
      <c r="Y81" s="39">
        <f>IFERROR(VLOOKUP(Rapid[[#This Row],[Código]],Venda_12meses[],2,FALSE),0)</f>
        <v>348</v>
      </c>
      <c r="Z81" s="44">
        <f>IFERROR(Rapid[[#This Row],[V. 12 meses]]/Rapid[[#This Row],[Proj. de V. 12 meses]],"")</f>
        <v>4.6942446043165473</v>
      </c>
      <c r="AA81" s="22"/>
    </row>
    <row r="82" spans="1:27" x14ac:dyDescent="0.25">
      <c r="A82" s="22" t="str">
        <f>VLOOKUP(Rapid[[#This Row],[Código]],BD_Produto[#All],7,FALSE)</f>
        <v>Fora de linha</v>
      </c>
      <c r="B82" s="22" t="str">
        <f>IF(OR(Rapid[[#This Row],[Status]]="Em linha",Rapid[[#This Row],[Status]]="Materia Prima",Rapid[[#This Row],[Status]]="Componente"),"ok",IF(Rapid[[#This Row],[Estoque+Importação]]&lt;1,"Tirar","ok"))</f>
        <v>ok</v>
      </c>
      <c r="C82" s="23">
        <v>33060114914</v>
      </c>
      <c r="D82" s="22" t="s">
        <v>170</v>
      </c>
      <c r="E82" s="22" t="str">
        <f>VLOOKUP(Rapid[[#This Row],[Código]],BD_Produto[],3,FALSE)</f>
        <v>Grampeador Heavy Duty</v>
      </c>
      <c r="F82" s="22" t="str">
        <f>VLOOKUP(Rapid[[#This Row],[Código]],BD_Produto[],4,FALSE)</f>
        <v>Grampeador Heavy Duty</v>
      </c>
      <c r="G82" s="24"/>
      <c r="H82" s="25"/>
      <c r="I82" s="22"/>
      <c r="J82" s="24"/>
      <c r="K82" s="24" t="str">
        <f>IFERROR(VLOOKUP(Rapid[[#This Row],[Código]],Importação!P:R,3,FALSE),"")</f>
        <v/>
      </c>
      <c r="L82" s="24">
        <f>IFERROR(VLOOKUP(Rapid[[#This Row],[Código]],Saldo[],3,FALSE),0)</f>
        <v>29</v>
      </c>
      <c r="M82" s="24">
        <f>SUM(Rapid[[#This Row],[Produção]:[Estoque]])</f>
        <v>29</v>
      </c>
      <c r="N82" s="24">
        <f>IFERROR(Rapid[[#This Row],[Estoque+Importação]]/Rapid[[#This Row],[Proj. de V. No prox. mes]],"Sem Projeção")</f>
        <v>124.28571428571428</v>
      </c>
      <c r="O82" s="24" t="str">
        <f>IF(OR(Rapid[[#This Row],[Status]]="Em Linha",Rapid[[#This Row],[Status]]="Componente",Rapid[[#This Row],[Status]]="Materia Prima"),Rapid[[#This Row],[Proj. de V. No prox. mes]]*10,"-")</f>
        <v>-</v>
      </c>
      <c r="P8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2" s="75">
        <f>VLOOKUP(Rapid[[#This Row],[Código]],Projeção[#All],15,FALSE)</f>
        <v>0.23333333333333334</v>
      </c>
      <c r="R82" s="39">
        <f>VLOOKUP(Rapid[[#This Row],[Código]],Projeção[#All],14,FALSE)</f>
        <v>0.16666666666666666</v>
      </c>
      <c r="S82" s="39">
        <f>IFERROR(VLOOKUP(Rapid[[#This Row],[Código]],Venda_mes[],2,FALSE),0)</f>
        <v>0</v>
      </c>
      <c r="T82" s="44">
        <f>IFERROR(Rapid[[#This Row],[V. No mes]]/Rapid[[#This Row],[Proj. de V. No mes]],"")</f>
        <v>0</v>
      </c>
      <c r="U82" s="43">
        <f>VLOOKUP(Rapid[[#This Row],[Código]],Projeção[#All],14,FALSE)+VLOOKUP(Rapid[[#This Row],[Código]],Projeção[#All],13,FALSE)+VLOOKUP(Rapid[[#This Row],[Código]],Projeção[#All],12,FALSE)</f>
        <v>0.56666666666666665</v>
      </c>
      <c r="V82" s="39">
        <f>IFERROR(VLOOKUP(Rapid[[#This Row],[Código]],Venda_3meses[],2,FALSE),0)</f>
        <v>1</v>
      </c>
      <c r="W82" s="44">
        <f>IFERROR(Rapid[[#This Row],[V. 3 meses]]/Rapid[[#This Row],[Proj. de V. 3 meses]],"")</f>
        <v>1.7647058823529411</v>
      </c>
      <c r="X8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8.1</v>
      </c>
      <c r="Y82" s="39">
        <f>IFERROR(VLOOKUP(Rapid[[#This Row],[Código]],Venda_12meses[],2,FALSE),0)</f>
        <v>1</v>
      </c>
      <c r="Z82" s="44">
        <f>IFERROR(Rapid[[#This Row],[V. 12 meses]]/Rapid[[#This Row],[Proj. de V. 12 meses]],"")</f>
        <v>0.1234567901234568</v>
      </c>
      <c r="AA82" s="22"/>
    </row>
    <row r="83" spans="1:27" x14ac:dyDescent="0.25">
      <c r="A83" s="22" t="str">
        <f>VLOOKUP(Rapid[[#This Row],[Código]],BD_Produto[#All],7,FALSE)</f>
        <v>Fora de linha</v>
      </c>
      <c r="B83" s="22" t="str">
        <f>IF(OR(Rapid[[#This Row],[Status]]="Em linha",Rapid[[#This Row],[Status]]="Materia Prima",Rapid[[#This Row],[Status]]="Componente"),"ok",IF(Rapid[[#This Row],[Estoque+Importação]]&lt;1,"Tirar","ok"))</f>
        <v>ok</v>
      </c>
      <c r="C83" s="23">
        <v>33060114991</v>
      </c>
      <c r="D83" s="22" t="s">
        <v>176</v>
      </c>
      <c r="E83" s="22" t="str">
        <f>VLOOKUP(Rapid[[#This Row],[Código]],BD_Produto[],3,FALSE)</f>
        <v>Grampeador de Mesa</v>
      </c>
      <c r="F83" s="22" t="str">
        <f>VLOOKUP(Rapid[[#This Row],[Código]],BD_Produto[],4,FALSE)</f>
        <v>Grampeador de Mesa</v>
      </c>
      <c r="G83" s="24"/>
      <c r="H83" s="25"/>
      <c r="I83" s="22"/>
      <c r="J83" s="24"/>
      <c r="K83" s="24" t="str">
        <f>IFERROR(VLOOKUP(Rapid[[#This Row],[Código]],Importação!P:R,3,FALSE),"")</f>
        <v/>
      </c>
      <c r="L83" s="24">
        <f>IFERROR(VLOOKUP(Rapid[[#This Row],[Código]],Saldo[],3,FALSE),0)</f>
        <v>2266</v>
      </c>
      <c r="M83" s="24">
        <f>SUM(Rapid[[#This Row],[Produção]:[Estoque]])</f>
        <v>2266</v>
      </c>
      <c r="N83" s="24">
        <f>IFERROR(Rapid[[#This Row],[Estoque+Importação]]/Rapid[[#This Row],[Proj. de V. No prox. mes]],"Sem Projeção")</f>
        <v>88.400520156046809</v>
      </c>
      <c r="O83" s="24" t="str">
        <f>IF(OR(Rapid[[#This Row],[Status]]="Em Linha",Rapid[[#This Row],[Status]]="Componente",Rapid[[#This Row],[Status]]="Materia Prima"),Rapid[[#This Row],[Proj. de V. No prox. mes]]*10,"-")</f>
        <v>-</v>
      </c>
      <c r="P8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3" s="75">
        <f>VLOOKUP(Rapid[[#This Row],[Código]],Projeção[#All],15,FALSE)</f>
        <v>25.633333333333333</v>
      </c>
      <c r="R83" s="39">
        <f>VLOOKUP(Rapid[[#This Row],[Código]],Projeção[#All],14,FALSE)</f>
        <v>9.1</v>
      </c>
      <c r="S83" s="39">
        <f>IFERROR(VLOOKUP(Rapid[[#This Row],[Código]],Venda_mes[],2,FALSE),0)</f>
        <v>7</v>
      </c>
      <c r="T83" s="44">
        <f>IFERROR(Rapid[[#This Row],[V. No mes]]/Rapid[[#This Row],[Proj. de V. No mes]],"")</f>
        <v>0.76923076923076927</v>
      </c>
      <c r="U83" s="43">
        <f>VLOOKUP(Rapid[[#This Row],[Código]],Projeção[#All],14,FALSE)+VLOOKUP(Rapid[[#This Row],[Código]],Projeção[#All],13,FALSE)+VLOOKUP(Rapid[[#This Row],[Código]],Projeção[#All],12,FALSE)</f>
        <v>27.7</v>
      </c>
      <c r="V83" s="39">
        <f>IFERROR(VLOOKUP(Rapid[[#This Row],[Código]],Venda_3meses[],2,FALSE),0)</f>
        <v>28</v>
      </c>
      <c r="W83" s="44">
        <f>IFERROR(Rapid[[#This Row],[V. 3 meses]]/Rapid[[#This Row],[Proj. de V. 3 meses]],"")</f>
        <v>1.0108303249097472</v>
      </c>
      <c r="X8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108.43333333333334</v>
      </c>
      <c r="Y83" s="39">
        <f>IFERROR(VLOOKUP(Rapid[[#This Row],[Código]],Venda_12meses[],2,FALSE),0)</f>
        <v>337</v>
      </c>
      <c r="Z83" s="44">
        <f>IFERROR(Rapid[[#This Row],[V. 12 meses]]/Rapid[[#This Row],[Proj. de V. 12 meses]],"")</f>
        <v>3.1079003996311094</v>
      </c>
      <c r="AA83" s="22"/>
    </row>
    <row r="84" spans="1:27" x14ac:dyDescent="0.25">
      <c r="A84" s="22" t="str">
        <f>VLOOKUP(Rapid[[#This Row],[Código]],BD_Produto[#All],7,FALSE)</f>
        <v>Fora de linha</v>
      </c>
      <c r="B84" s="22" t="str">
        <f>IF(OR(Rapid[[#This Row],[Status]]="Em linha",Rapid[[#This Row],[Status]]="Materia Prima",Rapid[[#This Row],[Status]]="Componente"),"ok",IF(Rapid[[#This Row],[Estoque+Importação]]&lt;1,"Tirar","ok"))</f>
        <v>ok</v>
      </c>
      <c r="C84" s="23">
        <v>33060114789</v>
      </c>
      <c r="D84" s="22" t="s">
        <v>151</v>
      </c>
      <c r="E84" s="22" t="str">
        <f>VLOOKUP(Rapid[[#This Row],[Código]],BD_Produto[],3,FALSE)</f>
        <v>Grampeador de Mesa</v>
      </c>
      <c r="F84" s="22" t="str">
        <f>VLOOKUP(Rapid[[#This Row],[Código]],BD_Produto[],4,FALSE)</f>
        <v>Grampeador de Mesa</v>
      </c>
      <c r="G84" s="24"/>
      <c r="H84" s="25"/>
      <c r="I84" s="22"/>
      <c r="J84" s="24"/>
      <c r="K84" s="24" t="str">
        <f>IFERROR(VLOOKUP(Rapid[[#This Row],[Código]],Importação!P:R,3,FALSE),"")</f>
        <v/>
      </c>
      <c r="L84" s="24">
        <f>IFERROR(VLOOKUP(Rapid[[#This Row],[Código]],Saldo[],3,FALSE),0)</f>
        <v>109</v>
      </c>
      <c r="M84" s="24">
        <f>SUM(Rapid[[#This Row],[Produção]:[Estoque]])</f>
        <v>109</v>
      </c>
      <c r="N84" s="24" t="str">
        <f>IFERROR(Rapid[[#This Row],[Estoque+Importação]]/Rapid[[#This Row],[Proj. de V. No prox. mes]],"Sem Projeção")</f>
        <v>Sem Projeção</v>
      </c>
      <c r="O84" s="24" t="str">
        <f>IF(OR(Rapid[[#This Row],[Status]]="Em Linha",Rapid[[#This Row],[Status]]="Componente",Rapid[[#This Row],[Status]]="Materia Prima"),Rapid[[#This Row],[Proj. de V. No prox. mes]]*10,"-")</f>
        <v>-</v>
      </c>
      <c r="P8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4" s="75">
        <f>VLOOKUP(Rapid[[#This Row],[Código]],Projeção[#All],15,FALSE)</f>
        <v>0</v>
      </c>
      <c r="R84" s="39">
        <f>VLOOKUP(Rapid[[#This Row],[Código]],Projeção[#All],14,FALSE)</f>
        <v>0.53333333333333333</v>
      </c>
      <c r="S84" s="39">
        <f>IFERROR(VLOOKUP(Rapid[[#This Row],[Código]],Venda_mes[],2,FALSE),0)</f>
        <v>0</v>
      </c>
      <c r="T84" s="44">
        <f>IFERROR(Rapid[[#This Row],[V. No mes]]/Rapid[[#This Row],[Proj. de V. No mes]],"")</f>
        <v>0</v>
      </c>
      <c r="U84" s="43">
        <f>VLOOKUP(Rapid[[#This Row],[Código]],Projeção[#All],14,FALSE)+VLOOKUP(Rapid[[#This Row],[Código]],Projeção[#All],13,FALSE)+VLOOKUP(Rapid[[#This Row],[Código]],Projeção[#All],12,FALSE)</f>
        <v>1.6</v>
      </c>
      <c r="V84" s="39">
        <f>IFERROR(VLOOKUP(Rapid[[#This Row],[Código]],Venda_3meses[],2,FALSE),0)</f>
        <v>0</v>
      </c>
      <c r="W84" s="44">
        <f>IFERROR(Rapid[[#This Row],[V. 3 meses]]/Rapid[[#This Row],[Proj. de V. 3 meses]],"")</f>
        <v>0</v>
      </c>
      <c r="X8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26.166666666666664</v>
      </c>
      <c r="Y84" s="39">
        <f>IFERROR(VLOOKUP(Rapid[[#This Row],[Código]],Venda_12meses[],2,FALSE),0)</f>
        <v>0</v>
      </c>
      <c r="Z84" s="44">
        <f>IFERROR(Rapid[[#This Row],[V. 12 meses]]/Rapid[[#This Row],[Proj. de V. 12 meses]],"")</f>
        <v>0</v>
      </c>
      <c r="AA84" s="22"/>
    </row>
    <row r="85" spans="1:27" x14ac:dyDescent="0.25">
      <c r="A85" s="22" t="str">
        <f>VLOOKUP(Rapid[[#This Row],[Código]],BD_Produto[#All],7,FALSE)</f>
        <v>Fora de linha</v>
      </c>
      <c r="B85" s="22" t="str">
        <f>IF(OR(Rapid[[#This Row],[Status]]="Em linha",Rapid[[#This Row],[Status]]="Materia Prima",Rapid[[#This Row],[Status]]="Componente"),"ok",IF(Rapid[[#This Row],[Estoque+Importação]]&lt;1,"Tirar","ok"))</f>
        <v>ok</v>
      </c>
      <c r="C85" s="23">
        <v>33060560521</v>
      </c>
      <c r="D85" s="22" t="s">
        <v>317</v>
      </c>
      <c r="E85" s="22" t="str">
        <f>VLOOKUP(Rapid[[#This Row],[Código]],BD_Produto[],3,FALSE)</f>
        <v>Grampo</v>
      </c>
      <c r="F85" s="22" t="str">
        <f>VLOOKUP(Rapid[[#This Row],[Código]],BD_Produto[],4,FALSE)</f>
        <v>Grampeador Heavy Duty</v>
      </c>
      <c r="G85" s="24"/>
      <c r="H85" s="25"/>
      <c r="I85" s="22"/>
      <c r="J85" s="24"/>
      <c r="K85" s="24" t="str">
        <f>IFERROR(VLOOKUP(Rapid[[#This Row],[Código]],Importação!P:R,3,FALSE),"")</f>
        <v/>
      </c>
      <c r="L85" s="24">
        <f>IFERROR(VLOOKUP(Rapid[[#This Row],[Código]],Saldo[],3,FALSE),0)</f>
        <v>8904</v>
      </c>
      <c r="M85" s="24">
        <f>SUM(Rapid[[#This Row],[Produção]:[Estoque]])</f>
        <v>8904</v>
      </c>
      <c r="N85" s="24">
        <f>IFERROR(Rapid[[#This Row],[Estoque+Importação]]/Rapid[[#This Row],[Proj. de V. No prox. mes]],"Sem Projeção")</f>
        <v>714.22459893048142</v>
      </c>
      <c r="O85" s="24" t="str">
        <f>IF(OR(Rapid[[#This Row],[Status]]="Em Linha",Rapid[[#This Row],[Status]]="Componente",Rapid[[#This Row],[Status]]="Materia Prima"),Rapid[[#This Row],[Proj. de V. No prox. mes]]*10,"-")</f>
        <v>-</v>
      </c>
      <c r="P8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5" s="75">
        <f>VLOOKUP(Rapid[[#This Row],[Código]],Projeção[#All],15,FALSE)</f>
        <v>12.466666666666665</v>
      </c>
      <c r="R85" s="39">
        <f>VLOOKUP(Rapid[[#This Row],[Código]],Projeção[#All],14,FALSE)</f>
        <v>29.333333333333329</v>
      </c>
      <c r="S85" s="39">
        <f>IFERROR(VLOOKUP(Rapid[[#This Row],[Código]],Venda_mes[],2,FALSE),0)</f>
        <v>12</v>
      </c>
      <c r="T85" s="44">
        <f>IFERROR(Rapid[[#This Row],[V. No mes]]/Rapid[[#This Row],[Proj. de V. No mes]],"")</f>
        <v>0.40909090909090917</v>
      </c>
      <c r="U85" s="43">
        <f>VLOOKUP(Rapid[[#This Row],[Código]],Projeção[#All],14,FALSE)+VLOOKUP(Rapid[[#This Row],[Código]],Projeção[#All],13,FALSE)+VLOOKUP(Rapid[[#This Row],[Código]],Projeção[#All],12,FALSE)</f>
        <v>31.999999999999993</v>
      </c>
      <c r="V85" s="39">
        <f>IFERROR(VLOOKUP(Rapid[[#This Row],[Código]],Venda_3meses[],2,FALSE),0)</f>
        <v>12</v>
      </c>
      <c r="W85" s="44">
        <f>IFERROR(Rapid[[#This Row],[V. 3 meses]]/Rapid[[#This Row],[Proj. de V. 3 meses]],"")</f>
        <v>0.37500000000000011</v>
      </c>
      <c r="X8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73.899999999999977</v>
      </c>
      <c r="Y85" s="39">
        <f>IFERROR(VLOOKUP(Rapid[[#This Row],[Código]],Venda_12meses[],2,FALSE),0)</f>
        <v>282</v>
      </c>
      <c r="Z85" s="44">
        <f>IFERROR(Rapid[[#This Row],[V. 12 meses]]/Rapid[[#This Row],[Proj. de V. 12 meses]],"")</f>
        <v>3.8159675236806505</v>
      </c>
      <c r="AA85" s="22"/>
    </row>
    <row r="86" spans="1:27" x14ac:dyDescent="0.25">
      <c r="A86" s="22" t="str">
        <f>VLOOKUP(Rapid[[#This Row],[Código]],BD_Produto[#All],7,FALSE)</f>
        <v>Fora de linha</v>
      </c>
      <c r="B86" s="22" t="str">
        <f>IF(OR(Rapid[[#This Row],[Status]]="Em linha",Rapid[[#This Row],[Status]]="Materia Prima",Rapid[[#This Row],[Status]]="Componente"),"ok",IF(Rapid[[#This Row],[Estoque+Importação]]&lt;1,"Tirar","ok"))</f>
        <v>ok</v>
      </c>
      <c r="C86" s="23">
        <v>33060160519</v>
      </c>
      <c r="D86" s="22" t="s">
        <v>188</v>
      </c>
      <c r="E86" s="22" t="str">
        <f>VLOOKUP(Rapid[[#This Row],[Código]],BD_Produto[],3,FALSE)</f>
        <v>Grampeador de Mesa</v>
      </c>
      <c r="F86" s="22" t="str">
        <f>VLOOKUP(Rapid[[#This Row],[Código]],BD_Produto[],4,FALSE)</f>
        <v>Grampeador de Mesa</v>
      </c>
      <c r="G86" s="24"/>
      <c r="H86" s="25"/>
      <c r="I86" s="22"/>
      <c r="J86" s="24"/>
      <c r="K86" s="24" t="str">
        <f>IFERROR(VLOOKUP(Rapid[[#This Row],[Código]],Importação!P:R,3,FALSE),"")</f>
        <v/>
      </c>
      <c r="L86" s="24">
        <f>IFERROR(VLOOKUP(Rapid[[#This Row],[Código]],Saldo[],3,FALSE),0)</f>
        <v>8962</v>
      </c>
      <c r="M86" s="24">
        <f>SUM(Rapid[[#This Row],[Produção]:[Estoque]])</f>
        <v>8962</v>
      </c>
      <c r="N86" s="24">
        <f>IFERROR(Rapid[[#This Row],[Estoque+Importação]]/Rapid[[#This Row],[Proj. de V. No prox. mes]],"Sem Projeção")</f>
        <v>302.42969628796402</v>
      </c>
      <c r="O86" s="24" t="str">
        <f>IF(OR(Rapid[[#This Row],[Status]]="Em Linha",Rapid[[#This Row],[Status]]="Componente",Rapid[[#This Row],[Status]]="Materia Prima"),Rapid[[#This Row],[Proj. de V. No prox. mes]]*10,"-")</f>
        <v>-</v>
      </c>
      <c r="P8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6" s="75">
        <f>VLOOKUP(Rapid[[#This Row],[Código]],Projeção[#All],15,FALSE)</f>
        <v>29.633333333333329</v>
      </c>
      <c r="R86" s="39">
        <f>VLOOKUP(Rapid[[#This Row],[Código]],Projeção[#All],14,FALSE)</f>
        <v>30.466666666666661</v>
      </c>
      <c r="S86" s="39">
        <f>IFERROR(VLOOKUP(Rapid[[#This Row],[Código]],Venda_mes[],2,FALSE),0)</f>
        <v>5</v>
      </c>
      <c r="T86" s="44">
        <f>IFERROR(Rapid[[#This Row],[V. No mes]]/Rapid[[#This Row],[Proj. de V. No mes]],"")</f>
        <v>0.16411378555798689</v>
      </c>
      <c r="U86" s="43">
        <f>VLOOKUP(Rapid[[#This Row],[Código]],Projeção[#All],14,FALSE)+VLOOKUP(Rapid[[#This Row],[Código]],Projeção[#All],13,FALSE)+VLOOKUP(Rapid[[#This Row],[Código]],Projeção[#All],12,FALSE)</f>
        <v>99.999999999999972</v>
      </c>
      <c r="V86" s="39">
        <f>IFERROR(VLOOKUP(Rapid[[#This Row],[Código]],Venda_3meses[],2,FALSE),0)</f>
        <v>35</v>
      </c>
      <c r="W86" s="44">
        <f>IFERROR(Rapid[[#This Row],[V. 3 meses]]/Rapid[[#This Row],[Proj. de V. 3 meses]],"")</f>
        <v>0.35000000000000009</v>
      </c>
      <c r="X8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359.73333333333329</v>
      </c>
      <c r="Y86" s="39">
        <f>IFERROR(VLOOKUP(Rapid[[#This Row],[Código]],Venda_12meses[],2,FALSE),0)</f>
        <v>379</v>
      </c>
      <c r="Z86" s="44">
        <f>IFERROR(Rapid[[#This Row],[V. 12 meses]]/Rapid[[#This Row],[Proj. de V. 12 meses]],"")</f>
        <v>1.0535581912527801</v>
      </c>
      <c r="AA86" s="22"/>
    </row>
    <row r="87" spans="1:27" x14ac:dyDescent="0.25">
      <c r="A87" s="22" t="str">
        <f>VLOOKUP(Rapid[[#This Row],[Código]],BD_Produto[#All],7,FALSE)</f>
        <v>Fora de linha</v>
      </c>
      <c r="B8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87" s="23">
        <v>32060144115</v>
      </c>
      <c r="D87" s="22" t="s">
        <v>110</v>
      </c>
      <c r="E87" s="22" t="str">
        <f>VLOOKUP(Rapid[[#This Row],[Código]],BD_Produto[],3,FALSE)</f>
        <v>Grampeador de Mesa</v>
      </c>
      <c r="F87" s="22" t="str">
        <f>VLOOKUP(Rapid[[#This Row],[Código]],BD_Produto[],4,FALSE)</f>
        <v>Grampeador de Mesa</v>
      </c>
      <c r="G87" s="24"/>
      <c r="H87" s="25"/>
      <c r="I87" s="22"/>
      <c r="J87" s="24"/>
      <c r="K87" s="24" t="str">
        <f>IFERROR(VLOOKUP(Rapid[[#This Row],[Código]],Importação!P:R,3,FALSE),"")</f>
        <v/>
      </c>
      <c r="L87" s="24">
        <f>IFERROR(VLOOKUP(Rapid[[#This Row],[Código]],Saldo[],3,FALSE),0)</f>
        <v>0</v>
      </c>
      <c r="M87" s="24">
        <f>SUM(Rapid[[#This Row],[Produção]:[Estoque]])</f>
        <v>0</v>
      </c>
      <c r="N87" s="24">
        <f>IFERROR(Rapid[[#This Row],[Estoque+Importação]]/Rapid[[#This Row],[Proj. de V. No prox. mes]],"Sem Projeção")</f>
        <v>0</v>
      </c>
      <c r="O87" s="24" t="str">
        <f>IF(OR(Rapid[[#This Row],[Status]]="Em Linha",Rapid[[#This Row],[Status]]="Componente",Rapid[[#This Row],[Status]]="Materia Prima"),Rapid[[#This Row],[Proj. de V. No prox. mes]]*10,"-")</f>
        <v>-</v>
      </c>
      <c r="P8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7" s="75">
        <f>VLOOKUP(Rapid[[#This Row],[Código]],Projeção[#All],15,FALSE)</f>
        <v>15</v>
      </c>
      <c r="R87" s="39">
        <f>VLOOKUP(Rapid[[#This Row],[Código]],Projeção[#All],14,FALSE)</f>
        <v>5.0999999999999996</v>
      </c>
      <c r="S87" s="39">
        <f>IFERROR(VLOOKUP(Rapid[[#This Row],[Código]],Venda_mes[],2,FALSE),0)</f>
        <v>0</v>
      </c>
      <c r="T87" s="44">
        <f>IFERROR(Rapid[[#This Row],[V. No mes]]/Rapid[[#This Row],[Proj. de V. No mes]],"")</f>
        <v>0</v>
      </c>
      <c r="U87" s="43">
        <f>VLOOKUP(Rapid[[#This Row],[Código]],Projeção[#All],14,FALSE)+VLOOKUP(Rapid[[#This Row],[Código]],Projeção[#All],13,FALSE)+VLOOKUP(Rapid[[#This Row],[Código]],Projeção[#All],12,FALSE)</f>
        <v>13.899999999999999</v>
      </c>
      <c r="V87" s="39">
        <f>IFERROR(VLOOKUP(Rapid[[#This Row],[Código]],Venda_3meses[],2,FALSE),0)</f>
        <v>0</v>
      </c>
      <c r="W87" s="44">
        <f>IFERROR(Rapid[[#This Row],[V. 3 meses]]/Rapid[[#This Row],[Proj. de V. 3 meses]],"")</f>
        <v>0</v>
      </c>
      <c r="X8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47.59999999999998</v>
      </c>
      <c r="Y87" s="39">
        <f>IFERROR(VLOOKUP(Rapid[[#This Row],[Código]],Venda_12meses[],2,FALSE),0)</f>
        <v>150</v>
      </c>
      <c r="Z87" s="44">
        <f>IFERROR(Rapid[[#This Row],[V. 12 meses]]/Rapid[[#This Row],[Proj. de V. 12 meses]],"")</f>
        <v>3.1512605042016819</v>
      </c>
      <c r="AA87" s="22"/>
    </row>
    <row r="88" spans="1:27" x14ac:dyDescent="0.25">
      <c r="A88" s="22" t="str">
        <f>VLOOKUP(Rapid[[#This Row],[Código]],BD_Produto[#All],7,FALSE)</f>
        <v>Fora de linha</v>
      </c>
      <c r="B88" s="22" t="str">
        <f>IF(OR(Rapid[[#This Row],[Status]]="Em linha",Rapid[[#This Row],[Status]]="Materia Prima",Rapid[[#This Row],[Status]]="Componente"),"ok",IF(Rapid[[#This Row],[Estoque+Importação]]&lt;1,"Tirar","ok"))</f>
        <v>ok</v>
      </c>
      <c r="C88" s="23">
        <v>33060761115</v>
      </c>
      <c r="D88" s="22" t="s">
        <v>331</v>
      </c>
      <c r="E88" s="22" t="str">
        <f>VLOOKUP(Rapid[[#This Row],[Código]],BD_Produto[],3,FALSE)</f>
        <v>Perfurador</v>
      </c>
      <c r="F88" s="22" t="str">
        <f>VLOOKUP(Rapid[[#This Row],[Código]],BD_Produto[],4,FALSE)</f>
        <v>Perfurador</v>
      </c>
      <c r="G88" s="24"/>
      <c r="H88" s="25"/>
      <c r="I88" s="22"/>
      <c r="J88" s="24"/>
      <c r="K88" s="24" t="str">
        <f>IFERROR(VLOOKUP(Rapid[[#This Row],[Código]],Importação!P:R,3,FALSE),"")</f>
        <v/>
      </c>
      <c r="L88" s="24">
        <f>IFERROR(VLOOKUP(Rapid[[#This Row],[Código]],Saldo[],3,FALSE),0)</f>
        <v>284</v>
      </c>
      <c r="M88" s="24">
        <f>SUM(Rapid[[#This Row],[Produção]:[Estoque]])</f>
        <v>284</v>
      </c>
      <c r="N88" s="24">
        <f>IFERROR(Rapid[[#This Row],[Estoque+Importação]]/Rapid[[#This Row],[Proj. de V. No prox. mes]],"Sem Projeção")</f>
        <v>2840.0000000000005</v>
      </c>
      <c r="O88" s="24" t="str">
        <f>IF(OR(Rapid[[#This Row],[Status]]="Em Linha",Rapid[[#This Row],[Status]]="Componente",Rapid[[#This Row],[Status]]="Materia Prima"),Rapid[[#This Row],[Proj. de V. No prox. mes]]*10,"-")</f>
        <v>-</v>
      </c>
      <c r="P8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8" s="75">
        <f>VLOOKUP(Rapid[[#This Row],[Código]],Projeção[#All],15,FALSE)</f>
        <v>9.9999999999999992E-2</v>
      </c>
      <c r="R88" s="39">
        <f>VLOOKUP(Rapid[[#This Row],[Código]],Projeção[#All],14,FALSE)</f>
        <v>0.86666666666666659</v>
      </c>
      <c r="S88" s="39">
        <f>IFERROR(VLOOKUP(Rapid[[#This Row],[Código]],Venda_mes[],2,FALSE),0)</f>
        <v>0</v>
      </c>
      <c r="T88" s="44">
        <f>IFERROR(Rapid[[#This Row],[V. No mes]]/Rapid[[#This Row],[Proj. de V. No mes]],"")</f>
        <v>0</v>
      </c>
      <c r="U88" s="43">
        <f>VLOOKUP(Rapid[[#This Row],[Código]],Projeção[#All],14,FALSE)+VLOOKUP(Rapid[[#This Row],[Código]],Projeção[#All],13,FALSE)+VLOOKUP(Rapid[[#This Row],[Código]],Projeção[#All],12,FALSE)</f>
        <v>2.8999999999999995</v>
      </c>
      <c r="V88" s="39">
        <f>IFERROR(VLOOKUP(Rapid[[#This Row],[Código]],Venda_3meses[],2,FALSE),0)</f>
        <v>0</v>
      </c>
      <c r="W88" s="44">
        <f>IFERROR(Rapid[[#This Row],[V. 3 meses]]/Rapid[[#This Row],[Proj. de V. 3 meses]],"")</f>
        <v>0</v>
      </c>
      <c r="X8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27.833333333333332</v>
      </c>
      <c r="Y88" s="39">
        <f>IFERROR(VLOOKUP(Rapid[[#This Row],[Código]],Venda_12meses[],2,FALSE),0)</f>
        <v>1</v>
      </c>
      <c r="Z88" s="44">
        <f>IFERROR(Rapid[[#This Row],[V. 12 meses]]/Rapid[[#This Row],[Proj. de V. 12 meses]],"")</f>
        <v>3.5928143712574849E-2</v>
      </c>
      <c r="AA88" s="22"/>
    </row>
    <row r="89" spans="1:27" x14ac:dyDescent="0.25">
      <c r="A89" s="22" t="str">
        <f>VLOOKUP(Rapid[[#This Row],[Código]],BD_Produto[#All],7,FALSE)</f>
        <v>Fora de linha</v>
      </c>
      <c r="B89" s="22" t="str">
        <f>IF(OR(Rapid[[#This Row],[Status]]="Em linha",Rapid[[#This Row],[Status]]="Materia Prima",Rapid[[#This Row],[Status]]="Componente"),"ok",IF(Rapid[[#This Row],[Estoque+Importação]]&lt;1,"Tirar","ok"))</f>
        <v>ok</v>
      </c>
      <c r="C89" s="23">
        <v>33060161829</v>
      </c>
      <c r="D89" s="22" t="s">
        <v>877</v>
      </c>
      <c r="E89" s="22" t="str">
        <f>VLOOKUP(Rapid[[#This Row],[Código]],BD_Produto[],3,FALSE)</f>
        <v>Grampeador de Mesa</v>
      </c>
      <c r="F89" s="22" t="str">
        <f>VLOOKUP(Rapid[[#This Row],[Código]],BD_Produto[],4,FALSE)</f>
        <v>Grampeador de Mesa</v>
      </c>
      <c r="G89" s="24"/>
      <c r="H89" s="25"/>
      <c r="I89" s="22"/>
      <c r="J89" s="24"/>
      <c r="K89" s="24" t="str">
        <f>IFERROR(VLOOKUP(Rapid[[#This Row],[Código]],Importação!P:R,3,FALSE),"")</f>
        <v/>
      </c>
      <c r="L89" s="24">
        <f>IFERROR(VLOOKUP(Rapid[[#This Row],[Código]],Saldo[],3,FALSE),0)</f>
        <v>1738</v>
      </c>
      <c r="M89" s="24">
        <f>SUM(Rapid[[#This Row],[Produção]:[Estoque]])</f>
        <v>1738</v>
      </c>
      <c r="N89" s="24">
        <f>IFERROR(Rapid[[#This Row],[Estoque+Importação]]/Rapid[[#This Row],[Proj. de V. No prox. mes]],"Sem Projeção")</f>
        <v>278.8235294117647</v>
      </c>
      <c r="O89" s="24" t="str">
        <f>IF(OR(Rapid[[#This Row],[Status]]="Em Linha",Rapid[[#This Row],[Status]]="Componente",Rapid[[#This Row],[Status]]="Materia Prima"),Rapid[[#This Row],[Proj. de V. No prox. mes]]*10,"-")</f>
        <v>-</v>
      </c>
      <c r="P8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89" s="75">
        <f>VLOOKUP(Rapid[[#This Row],[Código]],Projeção[#All],15,FALSE)</f>
        <v>6.2333333333333334</v>
      </c>
      <c r="R89" s="39">
        <f>VLOOKUP(Rapid[[#This Row],[Código]],Projeção[#All],14,FALSE)</f>
        <v>3.1333333333333333</v>
      </c>
      <c r="S89" s="39">
        <f>IFERROR(VLOOKUP(Rapid[[#This Row],[Código]],Venda_mes[],2,FALSE),0)</f>
        <v>0</v>
      </c>
      <c r="T89" s="44">
        <f>IFERROR(Rapid[[#This Row],[V. No mes]]/Rapid[[#This Row],[Proj. de V. No mes]],"")</f>
        <v>0</v>
      </c>
      <c r="U89" s="43">
        <f>VLOOKUP(Rapid[[#This Row],[Código]],Projeção[#All],14,FALSE)+VLOOKUP(Rapid[[#This Row],[Código]],Projeção[#All],13,FALSE)+VLOOKUP(Rapid[[#This Row],[Código]],Projeção[#All],12,FALSE)</f>
        <v>7.6999999999999993</v>
      </c>
      <c r="V89" s="39">
        <f>IFERROR(VLOOKUP(Rapid[[#This Row],[Código]],Venda_3meses[],2,FALSE),0)</f>
        <v>21</v>
      </c>
      <c r="W89" s="44">
        <f>IFERROR(Rapid[[#This Row],[V. 3 meses]]/Rapid[[#This Row],[Proj. de V. 3 meses]],"")</f>
        <v>2.7272727272727275</v>
      </c>
      <c r="X8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33.833333333333336</v>
      </c>
      <c r="Y89" s="39">
        <f>IFERROR(VLOOKUP(Rapid[[#This Row],[Código]],Venda_12meses[],2,FALSE),0)</f>
        <v>47</v>
      </c>
      <c r="Z89" s="44">
        <f>IFERROR(Rapid[[#This Row],[V. 12 meses]]/Rapid[[#This Row],[Proj. de V. 12 meses]],"")</f>
        <v>1.3891625615763545</v>
      </c>
      <c r="AA89" s="22"/>
    </row>
    <row r="90" spans="1:27" x14ac:dyDescent="0.25">
      <c r="A90" s="22" t="str">
        <f>VLOOKUP(Rapid[[#This Row],[Código]],BD_Produto[#All],7,FALSE)</f>
        <v>Fora de linha</v>
      </c>
      <c r="B90" s="22" t="str">
        <f>IF(OR(Rapid[[#This Row],[Status]]="Em linha",Rapid[[#This Row],[Status]]="Materia Prima",Rapid[[#This Row],[Status]]="Componente"),"ok",IF(Rapid[[#This Row],[Estoque+Importação]]&lt;1,"Tirar","ok"))</f>
        <v>ok</v>
      </c>
      <c r="C90" s="23">
        <v>33060461593</v>
      </c>
      <c r="D90" s="22" t="s">
        <v>1004</v>
      </c>
      <c r="E90" s="22" t="str">
        <f>VLOOKUP(Rapid[[#This Row],[Código]],BD_Produto[],3,FALSE)</f>
        <v>Insumo</v>
      </c>
      <c r="F90" s="22" t="str">
        <f>VLOOKUP(Rapid[[#This Row],[Código]],BD_Produto[],4,FALSE)</f>
        <v>Perfurador</v>
      </c>
      <c r="G90" s="24"/>
      <c r="H90" s="25"/>
      <c r="I90" s="22"/>
      <c r="J90" s="24"/>
      <c r="K90" s="24" t="str">
        <f>IFERROR(VLOOKUP(Rapid[[#This Row],[Código]],Importação!P:R,3,FALSE),"")</f>
        <v/>
      </c>
      <c r="L90" s="24">
        <f>IFERROR(VLOOKUP(Rapid[[#This Row],[Código]],Saldo[],3,FALSE),0)</f>
        <v>434</v>
      </c>
      <c r="M90" s="24">
        <f>SUM(Rapid[[#This Row],[Produção]:[Estoque]])</f>
        <v>434</v>
      </c>
      <c r="N90" s="24">
        <f>IFERROR(Rapid[[#This Row],[Estoque+Importação]]/Rapid[[#This Row],[Proj. de V. No prox. mes]],"Sem Projeção")</f>
        <v>2604</v>
      </c>
      <c r="O90" s="24" t="str">
        <f>IF(OR(Rapid[[#This Row],[Status]]="Em Linha",Rapid[[#This Row],[Status]]="Componente",Rapid[[#This Row],[Status]]="Materia Prima"),Rapid[[#This Row],[Proj. de V. No prox. mes]]*10,"-")</f>
        <v>-</v>
      </c>
      <c r="P9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0" s="75">
        <f>VLOOKUP(Rapid[[#This Row],[Código]],Projeção[#All],15,FALSE)</f>
        <v>0.16666666666666666</v>
      </c>
      <c r="R90" s="39">
        <f>VLOOKUP(Rapid[[#This Row],[Código]],Projeção[#All],14,FALSE)</f>
        <v>0.96666666666666679</v>
      </c>
      <c r="S90" s="39">
        <f>IFERROR(VLOOKUP(Rapid[[#This Row],[Código]],Venda_mes[],2,FALSE),0)</f>
        <v>0</v>
      </c>
      <c r="T90" s="44">
        <f>IFERROR(Rapid[[#This Row],[V. No mes]]/Rapid[[#This Row],[Proj. de V. No mes]],"")</f>
        <v>0</v>
      </c>
      <c r="U90" s="43">
        <f>VLOOKUP(Rapid[[#This Row],[Código]],Projeção[#All],14,FALSE)+VLOOKUP(Rapid[[#This Row],[Código]],Projeção[#All],13,FALSE)+VLOOKUP(Rapid[[#This Row],[Código]],Projeção[#All],12,FALSE)</f>
        <v>3.5000000000000009</v>
      </c>
      <c r="V90" s="39">
        <f>IFERROR(VLOOKUP(Rapid[[#This Row],[Código]],Venda_3meses[],2,FALSE),0)</f>
        <v>0</v>
      </c>
      <c r="W90" s="44">
        <f>IFERROR(Rapid[[#This Row],[V. 3 meses]]/Rapid[[#This Row],[Proj. de V. 3 meses]],"")</f>
        <v>0</v>
      </c>
      <c r="X9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24.766666666666666</v>
      </c>
      <c r="Y90" s="39">
        <f>IFERROR(VLOOKUP(Rapid[[#This Row],[Código]],Venda_12meses[],2,FALSE),0)</f>
        <v>5</v>
      </c>
      <c r="Z90" s="44">
        <f>IFERROR(Rapid[[#This Row],[V. 12 meses]]/Rapid[[#This Row],[Proj. de V. 12 meses]],"")</f>
        <v>0.20188425302826379</v>
      </c>
      <c r="AA90" s="22"/>
    </row>
    <row r="91" spans="1:27" x14ac:dyDescent="0.25">
      <c r="A91" s="22" t="str">
        <f>VLOOKUP(Rapid[[#This Row],[Código]],BD_Produto[#All],7,FALSE)</f>
        <v>Fora de linha</v>
      </c>
      <c r="B91" s="22" t="str">
        <f>IF(OR(Rapid[[#This Row],[Status]]="Em linha",Rapid[[#This Row],[Status]]="Materia Prima",Rapid[[#This Row],[Status]]="Componente"),"ok",IF(Rapid[[#This Row],[Estoque+Importação]]&lt;1,"Tirar","ok"))</f>
        <v>ok</v>
      </c>
      <c r="C91" s="23">
        <v>33060114802</v>
      </c>
      <c r="D91" s="22" t="s">
        <v>1080</v>
      </c>
      <c r="E91" s="22" t="str">
        <f>VLOOKUP(Rapid[[#This Row],[Código]],BD_Produto[],3,FALSE)</f>
        <v>Grampeador de Mesa</v>
      </c>
      <c r="F91" s="22" t="str">
        <f>VLOOKUP(Rapid[[#This Row],[Código]],BD_Produto[],4,FALSE)</f>
        <v>Grampeador de Mesa</v>
      </c>
      <c r="G91" s="24"/>
      <c r="H91" s="25"/>
      <c r="I91" s="22"/>
      <c r="J91" s="24"/>
      <c r="K91" s="24" t="str">
        <f>IFERROR(VLOOKUP(Rapid[[#This Row],[Código]],Importação!P:R,3,FALSE),"")</f>
        <v/>
      </c>
      <c r="L91" s="24">
        <f>IFERROR(VLOOKUP(Rapid[[#This Row],[Código]],Saldo[],3,FALSE),0)</f>
        <v>170</v>
      </c>
      <c r="M91" s="24">
        <f>SUM(Rapid[[#This Row],[Produção]:[Estoque]])</f>
        <v>170</v>
      </c>
      <c r="N91" s="24">
        <f>IFERROR(Rapid[[#This Row],[Estoque+Importação]]/Rapid[[#This Row],[Proj. de V. No prox. mes]],"Sem Projeção")</f>
        <v>35.91549295774648</v>
      </c>
      <c r="O91" s="24" t="str">
        <f>IF(OR(Rapid[[#This Row],[Status]]="Em Linha",Rapid[[#This Row],[Status]]="Componente",Rapid[[#This Row],[Status]]="Materia Prima"),Rapid[[#This Row],[Proj. de V. No prox. mes]]*10,"-")</f>
        <v>-</v>
      </c>
      <c r="P9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1" s="75">
        <f>VLOOKUP(Rapid[[#This Row],[Código]],Projeção[#All],15,FALSE)</f>
        <v>4.7333333333333334</v>
      </c>
      <c r="R91" s="39">
        <f>VLOOKUP(Rapid[[#This Row],[Código]],Projeção[#All],14,FALSE)</f>
        <v>0.66666666666666652</v>
      </c>
      <c r="S91" s="39">
        <f>IFERROR(VLOOKUP(Rapid[[#This Row],[Código]],Venda_mes[],2,FALSE),0)</f>
        <v>0</v>
      </c>
      <c r="T91" s="44">
        <f>IFERROR(Rapid[[#This Row],[V. No mes]]/Rapid[[#This Row],[Proj. de V. No mes]],"")</f>
        <v>0</v>
      </c>
      <c r="U91" s="43">
        <f>VLOOKUP(Rapid[[#This Row],[Código]],Projeção[#All],14,FALSE)+VLOOKUP(Rapid[[#This Row],[Código]],Projeção[#All],13,FALSE)+VLOOKUP(Rapid[[#This Row],[Código]],Projeção[#All],12,FALSE)</f>
        <v>1.8666666666666663</v>
      </c>
      <c r="V91" s="39">
        <f>IFERROR(VLOOKUP(Rapid[[#This Row],[Código]],Venda_3meses[],2,FALSE),0)</f>
        <v>20</v>
      </c>
      <c r="W91" s="44">
        <f>IFERROR(Rapid[[#This Row],[V. 3 meses]]/Rapid[[#This Row],[Proj. de V. 3 meses]],"")</f>
        <v>10.714285714285717</v>
      </c>
      <c r="X9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9.9333333333333318</v>
      </c>
      <c r="Y91" s="39">
        <f>IFERROR(VLOOKUP(Rapid[[#This Row],[Código]],Venda_12meses[],2,FALSE),0)</f>
        <v>22</v>
      </c>
      <c r="Z91" s="44">
        <f>IFERROR(Rapid[[#This Row],[V. 12 meses]]/Rapid[[#This Row],[Proj. de V. 12 meses]],"")</f>
        <v>2.2147651006711411</v>
      </c>
      <c r="AA91" s="22"/>
    </row>
    <row r="92" spans="1:27" x14ac:dyDescent="0.25">
      <c r="A92" s="22" t="str">
        <f>VLOOKUP(Rapid[[#This Row],[Código]],BD_Produto[#All],7,FALSE)</f>
        <v>Fora de linha</v>
      </c>
      <c r="B92" s="22" t="str">
        <f>IF(OR(Rapid[[#This Row],[Status]]="Em linha",Rapid[[#This Row],[Status]]="Materia Prima",Rapid[[#This Row],[Status]]="Componente"),"ok",IF(Rapid[[#This Row],[Estoque+Importação]]&lt;1,"Tirar","ok"))</f>
        <v>ok</v>
      </c>
      <c r="C92" s="23">
        <v>33060461592</v>
      </c>
      <c r="D92" s="22" t="s">
        <v>1098</v>
      </c>
      <c r="E92" s="22" t="str">
        <f>VLOOKUP(Rapid[[#This Row],[Código]],BD_Produto[],3,FALSE)</f>
        <v>Insumo</v>
      </c>
      <c r="F92" s="22" t="str">
        <f>VLOOKUP(Rapid[[#This Row],[Código]],BD_Produto[],4,FALSE)</f>
        <v>Perfurador</v>
      </c>
      <c r="G92" s="24"/>
      <c r="H92" s="25"/>
      <c r="I92" s="22"/>
      <c r="J92" s="24"/>
      <c r="K92" s="24" t="str">
        <f>IFERROR(VLOOKUP(Rapid[[#This Row],[Código]],Importação!P:R,3,FALSE),"")</f>
        <v/>
      </c>
      <c r="L92" s="24">
        <f>IFERROR(VLOOKUP(Rapid[[#This Row],[Código]],Saldo[],3,FALSE),0)</f>
        <v>223</v>
      </c>
      <c r="M92" s="24">
        <f>SUM(Rapid[[#This Row],[Produção]:[Estoque]])</f>
        <v>223</v>
      </c>
      <c r="N92" s="24">
        <f>IFERROR(Rapid[[#This Row],[Estoque+Importação]]/Rapid[[#This Row],[Proj. de V. No prox. mes]],"Sem Projeção")</f>
        <v>557.5</v>
      </c>
      <c r="O92" s="24" t="str">
        <f>IF(OR(Rapid[[#This Row],[Status]]="Em Linha",Rapid[[#This Row],[Status]]="Componente",Rapid[[#This Row],[Status]]="Materia Prima"),Rapid[[#This Row],[Proj. de V. No prox. mes]]*10,"-")</f>
        <v>-</v>
      </c>
      <c r="P9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2" s="75">
        <f>VLOOKUP(Rapid[[#This Row],[Código]],Projeção[#All],15,FALSE)</f>
        <v>0.39999999999999997</v>
      </c>
      <c r="R92" s="39">
        <f>VLOOKUP(Rapid[[#This Row],[Código]],Projeção[#All],14,FALSE)</f>
        <v>0.70000000000000007</v>
      </c>
      <c r="S92" s="39">
        <f>IFERROR(VLOOKUP(Rapid[[#This Row],[Código]],Venda_mes[],2,FALSE),0)</f>
        <v>0</v>
      </c>
      <c r="T92" s="44">
        <f>IFERROR(Rapid[[#This Row],[V. No mes]]/Rapid[[#This Row],[Proj. de V. No mes]],"")</f>
        <v>0</v>
      </c>
      <c r="U92" s="43">
        <f>VLOOKUP(Rapid[[#This Row],[Código]],Projeção[#All],14,FALSE)+VLOOKUP(Rapid[[#This Row],[Código]],Projeção[#All],13,FALSE)+VLOOKUP(Rapid[[#This Row],[Código]],Projeção[#All],12,FALSE)</f>
        <v>1.9000000000000001</v>
      </c>
      <c r="V92" s="39">
        <f>IFERROR(VLOOKUP(Rapid[[#This Row],[Código]],Venda_3meses[],2,FALSE),0)</f>
        <v>1</v>
      </c>
      <c r="W92" s="44">
        <f>IFERROR(Rapid[[#This Row],[V. 3 meses]]/Rapid[[#This Row],[Proj. de V. 3 meses]],"")</f>
        <v>0.52631578947368418</v>
      </c>
      <c r="X9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2.9333333333333336</v>
      </c>
      <c r="Y92" s="39">
        <f>IFERROR(VLOOKUP(Rapid[[#This Row],[Código]],Venda_12meses[],2,FALSE),0)</f>
        <v>6</v>
      </c>
      <c r="Z92" s="44">
        <f>IFERROR(Rapid[[#This Row],[V. 12 meses]]/Rapid[[#This Row],[Proj. de V. 12 meses]],"")</f>
        <v>2.0454545454545454</v>
      </c>
      <c r="AA92" s="22"/>
    </row>
    <row r="93" spans="1:27" x14ac:dyDescent="0.25">
      <c r="A93" s="22" t="str">
        <f>VLOOKUP(Rapid[[#This Row],[Código]],BD_Produto[#All],7,FALSE)</f>
        <v>Fora de linha</v>
      </c>
      <c r="B93" s="22" t="str">
        <f>IF(OR(Rapid[[#This Row],[Status]]="Em linha",Rapid[[#This Row],[Status]]="Materia Prima",Rapid[[#This Row],[Status]]="Componente"),"ok",IF(Rapid[[#This Row],[Estoque+Importação]]&lt;1,"Tirar","ok"))</f>
        <v>ok</v>
      </c>
      <c r="C93" s="23">
        <v>33060114803</v>
      </c>
      <c r="D93" s="22" t="s">
        <v>1068</v>
      </c>
      <c r="E93" s="22" t="str">
        <f>VLOOKUP(Rapid[[#This Row],[Código]],BD_Produto[],3,FALSE)</f>
        <v>Grampeador de Mesa</v>
      </c>
      <c r="F93" s="22" t="str">
        <f>VLOOKUP(Rapid[[#This Row],[Código]],BD_Produto[],4,FALSE)</f>
        <v>Grampeador de Mesa</v>
      </c>
      <c r="G93" s="24"/>
      <c r="H93" s="25"/>
      <c r="I93" s="22"/>
      <c r="J93" s="24"/>
      <c r="K93" s="24" t="str">
        <f>IFERROR(VLOOKUP(Rapid[[#This Row],[Código]],Importação!P:R,3,FALSE),"")</f>
        <v/>
      </c>
      <c r="L93" s="24">
        <f>IFERROR(VLOOKUP(Rapid[[#This Row],[Código]],Saldo[],3,FALSE),0)</f>
        <v>321</v>
      </c>
      <c r="M93" s="24">
        <f>SUM(Rapid[[#This Row],[Produção]:[Estoque]])</f>
        <v>321</v>
      </c>
      <c r="N93" s="24">
        <f>IFERROR(Rapid[[#This Row],[Estoque+Importação]]/Rapid[[#This Row],[Proj. de V. No prox. mes]],"Sem Projeção")</f>
        <v>321</v>
      </c>
      <c r="O93" s="24" t="str">
        <f>IF(OR(Rapid[[#This Row],[Status]]="Em Linha",Rapid[[#This Row],[Status]]="Componente",Rapid[[#This Row],[Status]]="Materia Prima"),Rapid[[#This Row],[Proj. de V. No prox. mes]]*10,"-")</f>
        <v>-</v>
      </c>
      <c r="P9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3" s="75">
        <f>VLOOKUP(Rapid[[#This Row],[Código]],Projeção[#All],15,FALSE)</f>
        <v>1</v>
      </c>
      <c r="R93" s="39">
        <f>VLOOKUP(Rapid[[#This Row],[Código]],Projeção[#All],14,FALSE)</f>
        <v>0.86666666666666681</v>
      </c>
      <c r="S93" s="39">
        <f>IFERROR(VLOOKUP(Rapid[[#This Row],[Código]],Venda_mes[],2,FALSE),0)</f>
        <v>0</v>
      </c>
      <c r="T93" s="44">
        <f>IFERROR(Rapid[[#This Row],[V. No mes]]/Rapid[[#This Row],[Proj. de V. No mes]],"")</f>
        <v>0</v>
      </c>
      <c r="U93" s="43">
        <f>VLOOKUP(Rapid[[#This Row],[Código]],Projeção[#All],14,FALSE)+VLOOKUP(Rapid[[#This Row],[Código]],Projeção[#All],13,FALSE)+VLOOKUP(Rapid[[#This Row],[Código]],Projeção[#All],12,FALSE)</f>
        <v>2.4666666666666668</v>
      </c>
      <c r="V93" s="39">
        <f>IFERROR(VLOOKUP(Rapid[[#This Row],[Código]],Venda_3meses[],2,FALSE),0)</f>
        <v>4</v>
      </c>
      <c r="W93" s="44">
        <f>IFERROR(Rapid[[#This Row],[V. 3 meses]]/Rapid[[#This Row],[Proj. de V. 3 meses]],"")</f>
        <v>1.6216216216216215</v>
      </c>
      <c r="X9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16.133333333333333</v>
      </c>
      <c r="Y93" s="39">
        <f>IFERROR(VLOOKUP(Rapid[[#This Row],[Código]],Venda_12meses[],2,FALSE),0)</f>
        <v>6</v>
      </c>
      <c r="Z93" s="44">
        <f>IFERROR(Rapid[[#This Row],[V. 12 meses]]/Rapid[[#This Row],[Proj. de V. 12 meses]],"")</f>
        <v>0.37190082644628103</v>
      </c>
      <c r="AA93" s="22"/>
    </row>
    <row r="94" spans="1:27" x14ac:dyDescent="0.25">
      <c r="A94" s="22" t="str">
        <f>VLOOKUP(Rapid[[#This Row],[Código]],BD_Produto[#All],7,FALSE)</f>
        <v>Fora de linha</v>
      </c>
      <c r="B9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94" s="23">
        <v>33070514780</v>
      </c>
      <c r="D94" s="22" t="s">
        <v>1160</v>
      </c>
      <c r="E94" s="22" t="str">
        <f>VLOOKUP(Rapid[[#This Row],[Código]],BD_Produto[],3,FALSE)</f>
        <v>Grampo</v>
      </c>
      <c r="F94" s="22" t="str">
        <f>VLOOKUP(Rapid[[#This Row],[Código]],BD_Produto[],4,FALSE)</f>
        <v>Grampeador Pistola</v>
      </c>
      <c r="G94" s="24"/>
      <c r="H94" s="25"/>
      <c r="I94" s="22"/>
      <c r="J94" s="24"/>
      <c r="K94" s="24" t="str">
        <f>IFERROR(VLOOKUP(Rapid[[#This Row],[Código]],Importação!P:R,3,FALSE),"")</f>
        <v/>
      </c>
      <c r="L94" s="24">
        <f>IFERROR(VLOOKUP(Rapid[[#This Row],[Código]],Saldo[],3,FALSE),0)</f>
        <v>0</v>
      </c>
      <c r="M94" s="24">
        <f>SUM(Rapid[[#This Row],[Produção]:[Estoque]])</f>
        <v>0</v>
      </c>
      <c r="N94" s="24">
        <f>IFERROR(Rapid[[#This Row],[Estoque+Importação]]/Rapid[[#This Row],[Proj. de V. No prox. mes]],"Sem Projeção")</f>
        <v>0</v>
      </c>
      <c r="O94" s="24" t="str">
        <f>IF(OR(Rapid[[#This Row],[Status]]="Em Linha",Rapid[[#This Row],[Status]]="Componente",Rapid[[#This Row],[Status]]="Materia Prima"),Rapid[[#This Row],[Proj. de V. No prox. mes]]*10,"-")</f>
        <v>-</v>
      </c>
      <c r="P9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4" s="75">
        <f>VLOOKUP(Rapid[[#This Row],[Código]],Projeção[#All],15,FALSE)</f>
        <v>0.6</v>
      </c>
      <c r="R94" s="39">
        <f>VLOOKUP(Rapid[[#This Row],[Código]],Projeção[#All],14,FALSE)</f>
        <v>1.9666666666666663</v>
      </c>
      <c r="S94" s="39">
        <f>IFERROR(VLOOKUP(Rapid[[#This Row],[Código]],Venda_mes[],2,FALSE),0)</f>
        <v>0</v>
      </c>
      <c r="T94" s="44">
        <f>IFERROR(Rapid[[#This Row],[V. No mes]]/Rapid[[#This Row],[Proj. de V. No mes]],"")</f>
        <v>0</v>
      </c>
      <c r="U94" s="43">
        <f>VLOOKUP(Rapid[[#This Row],[Código]],Projeção[#All],14,FALSE)+VLOOKUP(Rapid[[#This Row],[Código]],Projeção[#All],13,FALSE)+VLOOKUP(Rapid[[#This Row],[Código]],Projeção[#All],12,FALSE)</f>
        <v>6.6333333333333329</v>
      </c>
      <c r="V94" s="39">
        <f>IFERROR(VLOOKUP(Rapid[[#This Row],[Código]],Venda_3meses[],2,FALSE),0)</f>
        <v>0</v>
      </c>
      <c r="W94" s="44">
        <f>IFERROR(Rapid[[#This Row],[V. 3 meses]]/Rapid[[#This Row],[Proj. de V. 3 meses]],"")</f>
        <v>0</v>
      </c>
      <c r="X9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25.800000000000004</v>
      </c>
      <c r="Y94" s="39">
        <f>IFERROR(VLOOKUP(Rapid[[#This Row],[Código]],Venda_12meses[],2,FALSE),0)</f>
        <v>10</v>
      </c>
      <c r="Z94" s="44">
        <f>IFERROR(Rapid[[#This Row],[V. 12 meses]]/Rapid[[#This Row],[Proj. de V. 12 meses]],"")</f>
        <v>0.38759689922480611</v>
      </c>
      <c r="AA94" s="22"/>
    </row>
    <row r="95" spans="1:27" x14ac:dyDescent="0.25">
      <c r="A95" s="22" t="str">
        <f>VLOOKUP(Rapid[[#This Row],[Código]],BD_Produto[#All],7,FALSE)</f>
        <v>Fora de linha</v>
      </c>
      <c r="B95" s="22" t="str">
        <f>IF(OR(Rapid[[#This Row],[Status]]="Em linha",Rapid[[#This Row],[Status]]="Materia Prima",Rapid[[#This Row],[Status]]="Componente"),"ok",IF(Rapid[[#This Row],[Estoque+Importação]]&lt;1,"Tirar","ok"))</f>
        <v>ok</v>
      </c>
      <c r="C95" s="23">
        <v>33060761825</v>
      </c>
      <c r="D95" s="22" t="s">
        <v>333</v>
      </c>
      <c r="E95" s="22" t="str">
        <f>VLOOKUP(Rapid[[#This Row],[Código]],BD_Produto[],3,FALSE)</f>
        <v>Perfurador</v>
      </c>
      <c r="F95" s="22" t="str">
        <f>VLOOKUP(Rapid[[#This Row],[Código]],BD_Produto[],4,FALSE)</f>
        <v>Perfurador</v>
      </c>
      <c r="G95" s="24"/>
      <c r="H95" s="25"/>
      <c r="I95" s="22"/>
      <c r="J95" s="24"/>
      <c r="K95" s="24" t="str">
        <f>IFERROR(VLOOKUP(Rapid[[#This Row],[Código]],Importação!P:R,3,FALSE),"")</f>
        <v/>
      </c>
      <c r="L95" s="24">
        <f>IFERROR(VLOOKUP(Rapid[[#This Row],[Código]],Saldo[],3,FALSE),0)</f>
        <v>2815</v>
      </c>
      <c r="M95" s="24">
        <f>SUM(Rapid[[#This Row],[Produção]:[Estoque]])</f>
        <v>2815</v>
      </c>
      <c r="N95" s="24">
        <f>IFERROR(Rapid[[#This Row],[Estoque+Importação]]/Rapid[[#This Row],[Proj. de V. No prox. mes]],"Sem Projeção")</f>
        <v>789.25233644859827</v>
      </c>
      <c r="O95" s="24" t="str">
        <f>IF(OR(Rapid[[#This Row],[Status]]="Em Linha",Rapid[[#This Row],[Status]]="Componente",Rapid[[#This Row],[Status]]="Materia Prima"),Rapid[[#This Row],[Proj. de V. No prox. mes]]*10,"-")</f>
        <v>-</v>
      </c>
      <c r="P9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5" s="75">
        <f>VLOOKUP(Rapid[[#This Row],[Código]],Projeção[#All],15,FALSE)</f>
        <v>3.566666666666666</v>
      </c>
      <c r="R95" s="39">
        <f>VLOOKUP(Rapid[[#This Row],[Código]],Projeção[#All],14,FALSE)</f>
        <v>1.7333333333333332</v>
      </c>
      <c r="S95" s="39">
        <f>IFERROR(VLOOKUP(Rapid[[#This Row],[Código]],Venda_mes[],2,FALSE),0)</f>
        <v>0</v>
      </c>
      <c r="T95" s="44">
        <f>IFERROR(Rapid[[#This Row],[V. No mes]]/Rapid[[#This Row],[Proj. de V. No mes]],"")</f>
        <v>0</v>
      </c>
      <c r="U95" s="43">
        <f>VLOOKUP(Rapid[[#This Row],[Código]],Projeção[#All],14,FALSE)+VLOOKUP(Rapid[[#This Row],[Código]],Projeção[#All],13,FALSE)+VLOOKUP(Rapid[[#This Row],[Código]],Projeção[#All],12,FALSE)</f>
        <v>5.3</v>
      </c>
      <c r="V95" s="39">
        <f>IFERROR(VLOOKUP(Rapid[[#This Row],[Código]],Venda_3meses[],2,FALSE),0)</f>
        <v>0</v>
      </c>
      <c r="W95" s="44">
        <f>IFERROR(Rapid[[#This Row],[V. 3 meses]]/Rapid[[#This Row],[Proj. de V. 3 meses]],"")</f>
        <v>0</v>
      </c>
      <c r="X9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25.233333333333334</v>
      </c>
      <c r="Y95" s="39">
        <f>IFERROR(VLOOKUP(Rapid[[#This Row],[Código]],Venda_12meses[],2,FALSE),0)</f>
        <v>47</v>
      </c>
      <c r="Z95" s="44">
        <f>IFERROR(Rapid[[#This Row],[V. 12 meses]]/Rapid[[#This Row],[Proj. de V. 12 meses]],"")</f>
        <v>1.8626155878467634</v>
      </c>
      <c r="AA95" s="22"/>
    </row>
    <row r="96" spans="1:27" x14ac:dyDescent="0.25">
      <c r="A96" s="22" t="str">
        <f>VLOOKUP(Rapid[[#This Row],[Código]],BD_Produto[#All],7,FALSE)</f>
        <v>Fora de linha</v>
      </c>
      <c r="B9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96" s="23">
        <v>33070514779</v>
      </c>
      <c r="D96" s="22" t="s">
        <v>1196</v>
      </c>
      <c r="E96" s="22" t="str">
        <f>VLOOKUP(Rapid[[#This Row],[Código]],BD_Produto[],3,FALSE)</f>
        <v>Grampo</v>
      </c>
      <c r="F96" s="22" t="str">
        <f>VLOOKUP(Rapid[[#This Row],[Código]],BD_Produto[],4,FALSE)</f>
        <v>Grampeador Pistola</v>
      </c>
      <c r="G96" s="24"/>
      <c r="H96" s="25"/>
      <c r="I96" s="22"/>
      <c r="J96" s="24"/>
      <c r="K96" s="24" t="str">
        <f>IFERROR(VLOOKUP(Rapid[[#This Row],[Código]],Importação!P:R,3,FALSE),"")</f>
        <v/>
      </c>
      <c r="L96" s="24">
        <f>IFERROR(VLOOKUP(Rapid[[#This Row],[Código]],Saldo[],3,FALSE),0)</f>
        <v>0</v>
      </c>
      <c r="M96" s="24">
        <f>SUM(Rapid[[#This Row],[Produção]:[Estoque]])</f>
        <v>0</v>
      </c>
      <c r="N96" s="24">
        <f>IFERROR(Rapid[[#This Row],[Estoque+Importação]]/Rapid[[#This Row],[Proj. de V. No prox. mes]],"Sem Projeção")</f>
        <v>0</v>
      </c>
      <c r="O96" s="24" t="str">
        <f>IF(OR(Rapid[[#This Row],[Status]]="Em Linha",Rapid[[#This Row],[Status]]="Componente",Rapid[[#This Row],[Status]]="Materia Prima"),Rapid[[#This Row],[Proj. de V. No prox. mes]]*10,"-")</f>
        <v>-</v>
      </c>
      <c r="P9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6" s="75">
        <f>VLOOKUP(Rapid[[#This Row],[Código]],Projeção[#All],15,FALSE)</f>
        <v>0.56666666666666654</v>
      </c>
      <c r="R96" s="39">
        <f>VLOOKUP(Rapid[[#This Row],[Código]],Projeção[#All],14,FALSE)</f>
        <v>1.7333333333333336</v>
      </c>
      <c r="S96" s="39">
        <f>IFERROR(VLOOKUP(Rapid[[#This Row],[Código]],Venda_mes[],2,FALSE),0)</f>
        <v>0</v>
      </c>
      <c r="T96" s="44">
        <f>IFERROR(Rapid[[#This Row],[V. No mes]]/Rapid[[#This Row],[Proj. de V. No mes]],"")</f>
        <v>0</v>
      </c>
      <c r="U96" s="43">
        <f>VLOOKUP(Rapid[[#This Row],[Código]],Projeção[#All],14,FALSE)+VLOOKUP(Rapid[[#This Row],[Código]],Projeção[#All],13,FALSE)+VLOOKUP(Rapid[[#This Row],[Código]],Projeção[#All],12,FALSE)</f>
        <v>4.666666666666667</v>
      </c>
      <c r="V96" s="39">
        <f>IFERROR(VLOOKUP(Rapid[[#This Row],[Código]],Venda_3meses[],2,FALSE),0)</f>
        <v>0</v>
      </c>
      <c r="W96" s="44">
        <f>IFERROR(Rapid[[#This Row],[V. 3 meses]]/Rapid[[#This Row],[Proj. de V. 3 meses]],"")</f>
        <v>0</v>
      </c>
      <c r="X9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12.966666666666667</v>
      </c>
      <c r="Y96" s="39">
        <f>IFERROR(VLOOKUP(Rapid[[#This Row],[Código]],Venda_12meses[],2,FALSE),0)</f>
        <v>9</v>
      </c>
      <c r="Z96" s="44">
        <f>IFERROR(Rapid[[#This Row],[V. 12 meses]]/Rapid[[#This Row],[Proj. de V. 12 meses]],"")</f>
        <v>0.6940874035989717</v>
      </c>
      <c r="AA96" s="22"/>
    </row>
    <row r="97" spans="1:27" x14ac:dyDescent="0.25">
      <c r="A97" s="22" t="str">
        <f>VLOOKUP(Rapid[[#This Row],[Código]],BD_Produto[#All],7,FALSE)</f>
        <v>Fora de linha</v>
      </c>
      <c r="B97" s="22" t="str">
        <f>IF(OR(Rapid[[#This Row],[Status]]="Em linha",Rapid[[#This Row],[Status]]="Materia Prima",Rapid[[#This Row],[Status]]="Componente"),"ok",IF(Rapid[[#This Row],[Estoque+Importação]]&lt;1,"Tirar","ok"))</f>
        <v>ok</v>
      </c>
      <c r="C97" s="23">
        <v>33060114805</v>
      </c>
      <c r="D97" s="22" t="s">
        <v>1069</v>
      </c>
      <c r="E97" s="22" t="str">
        <f>VLOOKUP(Rapid[[#This Row],[Código]],BD_Produto[],3,FALSE)</f>
        <v>Grampeador de Mesa</v>
      </c>
      <c r="F97" s="22" t="str">
        <f>VLOOKUP(Rapid[[#This Row],[Código]],BD_Produto[],4,FALSE)</f>
        <v>Grampeador de Mesa</v>
      </c>
      <c r="G97" s="24"/>
      <c r="H97" s="25"/>
      <c r="I97" s="22"/>
      <c r="J97" s="24"/>
      <c r="K97" s="24" t="str">
        <f>IFERROR(VLOOKUP(Rapid[[#This Row],[Código]],Importação!P:R,3,FALSE),"")</f>
        <v/>
      </c>
      <c r="L97" s="24">
        <f>IFERROR(VLOOKUP(Rapid[[#This Row],[Código]],Saldo[],3,FALSE),0)</f>
        <v>594</v>
      </c>
      <c r="M97" s="24">
        <f>SUM(Rapid[[#This Row],[Produção]:[Estoque]])</f>
        <v>594</v>
      </c>
      <c r="N97" s="24">
        <f>IFERROR(Rapid[[#This Row],[Estoque+Importação]]/Rapid[[#This Row],[Proj. de V. No prox. mes]],"Sem Projeção")</f>
        <v>8910</v>
      </c>
      <c r="O97" s="24" t="str">
        <f>IF(OR(Rapid[[#This Row],[Status]]="Em Linha",Rapid[[#This Row],[Status]]="Componente",Rapid[[#This Row],[Status]]="Materia Prima"),Rapid[[#This Row],[Proj. de V. No prox. mes]]*10,"-")</f>
        <v>-</v>
      </c>
      <c r="P9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7" s="75">
        <f>VLOOKUP(Rapid[[#This Row],[Código]],Projeção[#All],15,FALSE)</f>
        <v>6.6666666666666666E-2</v>
      </c>
      <c r="R97" s="39">
        <f>VLOOKUP(Rapid[[#This Row],[Código]],Projeção[#All],14,FALSE)</f>
        <v>0.66666666666666652</v>
      </c>
      <c r="S97" s="39">
        <f>IFERROR(VLOOKUP(Rapid[[#This Row],[Código]],Venda_mes[],2,FALSE),0)</f>
        <v>0</v>
      </c>
      <c r="T97" s="44">
        <f>IFERROR(Rapid[[#This Row],[V. No mes]]/Rapid[[#This Row],[Proj. de V. No mes]],"")</f>
        <v>0</v>
      </c>
      <c r="U97" s="43">
        <f>VLOOKUP(Rapid[[#This Row],[Código]],Projeção[#All],14,FALSE)+VLOOKUP(Rapid[[#This Row],[Código]],Projeção[#All],13,FALSE)+VLOOKUP(Rapid[[#This Row],[Código]],Projeção[#All],12,FALSE)</f>
        <v>1.8666666666666663</v>
      </c>
      <c r="V97" s="39">
        <f>IFERROR(VLOOKUP(Rapid[[#This Row],[Código]],Venda_3meses[],2,FALSE),0)</f>
        <v>0</v>
      </c>
      <c r="W97" s="44">
        <f>IFERROR(Rapid[[#This Row],[V. 3 meses]]/Rapid[[#This Row],[Proj. de V. 3 meses]],"")</f>
        <v>0</v>
      </c>
      <c r="X9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10.266666666666664</v>
      </c>
      <c r="Y97" s="39">
        <f>IFERROR(VLOOKUP(Rapid[[#This Row],[Código]],Venda_12meses[],2,FALSE),0)</f>
        <v>2</v>
      </c>
      <c r="Z97" s="44">
        <f>IFERROR(Rapid[[#This Row],[V. 12 meses]]/Rapid[[#This Row],[Proj. de V. 12 meses]],"")</f>
        <v>0.19480519480519487</v>
      </c>
      <c r="AA97" s="22"/>
    </row>
    <row r="98" spans="1:27" x14ac:dyDescent="0.25">
      <c r="A98" s="22" t="str">
        <f>VLOOKUP(Rapid[[#This Row],[Código]],BD_Produto[#All],7,FALSE)</f>
        <v>Fora de linha</v>
      </c>
      <c r="B98" s="22" t="str">
        <f>IF(OR(Rapid[[#This Row],[Status]]="Em linha",Rapid[[#This Row],[Status]]="Materia Prima",Rapid[[#This Row],[Status]]="Componente"),"ok",IF(Rapid[[#This Row],[Estoque+Importação]]&lt;1,"Tirar","ok"))</f>
        <v>ok</v>
      </c>
      <c r="C98" s="23">
        <v>33070514765</v>
      </c>
      <c r="D98" s="22" t="s">
        <v>554</v>
      </c>
      <c r="E98" s="22" t="str">
        <f>VLOOKUP(Rapid[[#This Row],[Código]],BD_Produto[],3,FALSE)</f>
        <v>Prego</v>
      </c>
      <c r="F98" s="22" t="str">
        <f>VLOOKUP(Rapid[[#This Row],[Código]],BD_Produto[],4,FALSE)</f>
        <v>Grampeador Pistola</v>
      </c>
      <c r="G98" s="24"/>
      <c r="H98" s="25"/>
      <c r="I98" s="22"/>
      <c r="J98" s="24"/>
      <c r="K98" s="24" t="str">
        <f>IFERROR(VLOOKUP(Rapid[[#This Row],[Código]],Importação!P:R,3,FALSE),"")</f>
        <v/>
      </c>
      <c r="L98" s="24">
        <f>IFERROR(VLOOKUP(Rapid[[#This Row],[Código]],Saldo[],3,FALSE),0)</f>
        <v>477</v>
      </c>
      <c r="M98" s="24">
        <f>SUM(Rapid[[#This Row],[Produção]:[Estoque]])</f>
        <v>477</v>
      </c>
      <c r="N98" s="24">
        <f>IFERROR(Rapid[[#This Row],[Estoque+Importação]]/Rapid[[#This Row],[Proj. de V. No prox. mes]],"Sem Projeção")</f>
        <v>1788.75</v>
      </c>
      <c r="O98" s="24" t="str">
        <f>IF(OR(Rapid[[#This Row],[Status]]="Em Linha",Rapid[[#This Row],[Status]]="Componente",Rapid[[#This Row],[Status]]="Materia Prima"),Rapid[[#This Row],[Proj. de V. No prox. mes]]*10,"-")</f>
        <v>-</v>
      </c>
      <c r="P9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8" s="83">
        <f>VLOOKUP(Rapid[[#This Row],[Código]],Projeção[#All],15,FALSE)</f>
        <v>0.26666666666666666</v>
      </c>
      <c r="R98" s="39">
        <f>VLOOKUP(Rapid[[#This Row],[Código]],Projeção[#All],14,FALSE)</f>
        <v>0.70000000000000007</v>
      </c>
      <c r="S98" s="39">
        <f>IFERROR(VLOOKUP(Rapid[[#This Row],[Código]],Venda_mes[],2,FALSE),0)</f>
        <v>0</v>
      </c>
      <c r="T98" s="45">
        <f>IFERROR(Rapid[[#This Row],[V. No mes]]/Rapid[[#This Row],[Proj. de V. No mes]],"")</f>
        <v>0</v>
      </c>
      <c r="U98" s="39">
        <f>VLOOKUP(Rapid[[#This Row],[Código]],Projeção[#All],14,FALSE)+VLOOKUP(Rapid[[#This Row],[Código]],Projeção[#All],13,FALSE)+VLOOKUP(Rapid[[#This Row],[Código]],Projeção[#All],12,FALSE)</f>
        <v>5.2333333333333334</v>
      </c>
      <c r="V98" s="39">
        <f>IFERROR(VLOOKUP(Rapid[[#This Row],[Código]],Venda_3meses[],2,FALSE),0)</f>
        <v>0</v>
      </c>
      <c r="W98" s="45">
        <f>IFERROR(Rapid[[#This Row],[V. 3 meses]]/Rapid[[#This Row],[Proj. de V. 3 meses]],"")</f>
        <v>0</v>
      </c>
      <c r="X98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28.066666666666663</v>
      </c>
      <c r="Y98" s="39">
        <f>IFERROR(VLOOKUP(Rapid[[#This Row],[Código]],Venda_12meses[],2,FALSE),0)</f>
        <v>6</v>
      </c>
      <c r="Z98" s="45">
        <f>IFERROR(Rapid[[#This Row],[V. 12 meses]]/Rapid[[#This Row],[Proj. de V. 12 meses]],"")</f>
        <v>0.2137767220902613</v>
      </c>
      <c r="AA98" s="22" t="s">
        <v>1686</v>
      </c>
    </row>
    <row r="99" spans="1:27" x14ac:dyDescent="0.25">
      <c r="A99" s="22" t="str">
        <f>VLOOKUP(Rapid[[#This Row],[Código]],BD_Produto[#All],7,FALSE)</f>
        <v>Fora de linha</v>
      </c>
      <c r="B99" s="22" t="str">
        <f>IF(OR(Rapid[[#This Row],[Status]]="Em linha",Rapid[[#This Row],[Status]]="Materia Prima",Rapid[[#This Row],[Status]]="Componente"),"ok",IF(Rapid[[#This Row],[Estoque+Importação]]&lt;1,"Tirar","ok"))</f>
        <v>ok</v>
      </c>
      <c r="C99" s="23">
        <v>33060124131</v>
      </c>
      <c r="D99" s="22" t="s">
        <v>180</v>
      </c>
      <c r="E99" s="22" t="str">
        <f>VLOOKUP(Rapid[[#This Row],[Código]],BD_Produto[],3,FALSE)</f>
        <v>Grampeador Alicate</v>
      </c>
      <c r="F99" s="22" t="str">
        <f>VLOOKUP(Rapid[[#This Row],[Código]],BD_Produto[],4,FALSE)</f>
        <v>Grampeador Alicate</v>
      </c>
      <c r="G99" s="24"/>
      <c r="H99" s="25"/>
      <c r="I99" s="22"/>
      <c r="J99" s="24"/>
      <c r="K99" s="24" t="str">
        <f>IFERROR(VLOOKUP(Rapid[[#This Row],[Código]],Importação!P:R,3,FALSE),"")</f>
        <v/>
      </c>
      <c r="L99" s="24">
        <f>IFERROR(VLOOKUP(Rapid[[#This Row],[Código]],Saldo[],3,FALSE),0)</f>
        <v>912</v>
      </c>
      <c r="M99" s="24">
        <f>SUM(Rapid[[#This Row],[Produção]:[Estoque]])</f>
        <v>912</v>
      </c>
      <c r="N99" s="24">
        <f>IFERROR(Rapid[[#This Row],[Estoque+Importação]]/Rapid[[#This Row],[Proj. de V. No prox. mes]],"Sem Projeção")</f>
        <v>3040</v>
      </c>
      <c r="O99" s="24" t="str">
        <f>IF(OR(Rapid[[#This Row],[Status]]="Em Linha",Rapid[[#This Row],[Status]]="Componente",Rapid[[#This Row],[Status]]="Materia Prima"),Rapid[[#This Row],[Proj. de V. No prox. mes]]*10,"-")</f>
        <v>-</v>
      </c>
      <c r="P9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99" s="75">
        <f>VLOOKUP(Rapid[[#This Row],[Código]],Projeção[#All],15,FALSE)</f>
        <v>0.3</v>
      </c>
      <c r="R99" s="39">
        <f>VLOOKUP(Rapid[[#This Row],[Código]],Projeção[#All],14,FALSE)</f>
        <v>0.3666666666666667</v>
      </c>
      <c r="S99" s="39">
        <f>IFERROR(VLOOKUP(Rapid[[#This Row],[Código]],Venda_mes[],2,FALSE),0)</f>
        <v>0</v>
      </c>
      <c r="T99" s="44">
        <f>IFERROR(Rapid[[#This Row],[V. No mes]]/Rapid[[#This Row],[Proj. de V. No mes]],"")</f>
        <v>0</v>
      </c>
      <c r="U99" s="43">
        <f>VLOOKUP(Rapid[[#This Row],[Código]],Projeção[#All],14,FALSE)+VLOOKUP(Rapid[[#This Row],[Código]],Projeção[#All],13,FALSE)+VLOOKUP(Rapid[[#This Row],[Código]],Projeção[#All],12,FALSE)</f>
        <v>1.6333333333333333</v>
      </c>
      <c r="V99" s="39">
        <f>IFERROR(VLOOKUP(Rapid[[#This Row],[Código]],Venda_3meses[],2,FALSE),0)</f>
        <v>0</v>
      </c>
      <c r="W99" s="44">
        <f>IFERROR(Rapid[[#This Row],[V. 3 meses]]/Rapid[[#This Row],[Proj. de V. 3 meses]],"")</f>
        <v>0</v>
      </c>
      <c r="X9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8.1333333333333329</v>
      </c>
      <c r="Y99" s="39">
        <f>IFERROR(VLOOKUP(Rapid[[#This Row],[Código]],Venda_12meses[],2,FALSE),0)</f>
        <v>9</v>
      </c>
      <c r="Z99" s="44">
        <f>IFERROR(Rapid[[#This Row],[V. 12 meses]]/Rapid[[#This Row],[Proj. de V. 12 meses]],"")</f>
        <v>1.1065573770491803</v>
      </c>
      <c r="AA99" s="22"/>
    </row>
    <row r="100" spans="1:27" x14ac:dyDescent="0.25">
      <c r="A100" s="22" t="str">
        <f>VLOOKUP(Rapid[[#This Row],[Código]],BD_Produto[#All],7,FALSE)</f>
        <v>Fora de linha</v>
      </c>
      <c r="B100" s="22" t="str">
        <f>IF(OR(Rapid[[#This Row],[Status]]="Em linha",Rapid[[#This Row],[Status]]="Materia Prima",Rapid[[#This Row],[Status]]="Componente"),"ok",IF(Rapid[[#This Row],[Estoque+Importação]]&lt;1,"Tirar","ok"))</f>
        <v>ok</v>
      </c>
      <c r="C100" s="23">
        <v>33060114792</v>
      </c>
      <c r="D100" s="22" t="s">
        <v>1095</v>
      </c>
      <c r="E100" s="22" t="str">
        <f>VLOOKUP(Rapid[[#This Row],[Código]],BD_Produto[],3,FALSE)</f>
        <v>Grampeador de Mesa</v>
      </c>
      <c r="F100" s="22" t="str">
        <f>VLOOKUP(Rapid[[#This Row],[Código]],BD_Produto[],4,FALSE)</f>
        <v>Grampeador de Mesa</v>
      </c>
      <c r="G100" s="24"/>
      <c r="H100" s="25"/>
      <c r="I100" s="22"/>
      <c r="J100" s="24"/>
      <c r="K100" s="24" t="str">
        <f>IFERROR(VLOOKUP(Rapid[[#This Row],[Código]],Importação!P:R,3,FALSE),"")</f>
        <v/>
      </c>
      <c r="L100" s="24">
        <f>IFERROR(VLOOKUP(Rapid[[#This Row],[Código]],Saldo[],3,FALSE),0)</f>
        <v>81</v>
      </c>
      <c r="M100" s="24">
        <f>SUM(Rapid[[#This Row],[Produção]:[Estoque]])</f>
        <v>81</v>
      </c>
      <c r="N100" s="24">
        <f>IFERROR(Rapid[[#This Row],[Estoque+Importação]]/Rapid[[#This Row],[Proj. de V. No prox. mes]],"Sem Projeção")</f>
        <v>810.00000000000011</v>
      </c>
      <c r="O100" s="24" t="str">
        <f>IF(OR(Rapid[[#This Row],[Status]]="Em Linha",Rapid[[#This Row],[Status]]="Componente",Rapid[[#This Row],[Status]]="Materia Prima"),Rapid[[#This Row],[Proj. de V. No prox. mes]]*10,"-")</f>
        <v>-</v>
      </c>
      <c r="P10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0" s="75">
        <f>VLOOKUP(Rapid[[#This Row],[Código]],Projeção[#All],15,FALSE)</f>
        <v>9.9999999999999992E-2</v>
      </c>
      <c r="R100" s="39">
        <f>VLOOKUP(Rapid[[#This Row],[Código]],Projeção[#All],14,FALSE)</f>
        <v>9.9999999999999992E-2</v>
      </c>
      <c r="S100" s="39">
        <f>IFERROR(VLOOKUP(Rapid[[#This Row],[Código]],Venda_mes[],2,FALSE),0)</f>
        <v>0</v>
      </c>
      <c r="T100" s="44">
        <f>IFERROR(Rapid[[#This Row],[V. No mes]]/Rapid[[#This Row],[Proj. de V. No mes]],"")</f>
        <v>0</v>
      </c>
      <c r="U100" s="43">
        <f>VLOOKUP(Rapid[[#This Row],[Código]],Projeção[#All],14,FALSE)+VLOOKUP(Rapid[[#This Row],[Código]],Projeção[#All],13,FALSE)+VLOOKUP(Rapid[[#This Row],[Código]],Projeção[#All],12,FALSE)</f>
        <v>0.3</v>
      </c>
      <c r="V100" s="39">
        <f>IFERROR(VLOOKUP(Rapid[[#This Row],[Código]],Venda_3meses[],2,FALSE),0)</f>
        <v>0</v>
      </c>
      <c r="W100" s="44">
        <f>IFERROR(Rapid[[#This Row],[V. 3 meses]]/Rapid[[#This Row],[Proj. de V. 3 meses]],"")</f>
        <v>0</v>
      </c>
      <c r="X10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3.9000000000000004</v>
      </c>
      <c r="Y100" s="39">
        <f>IFERROR(VLOOKUP(Rapid[[#This Row],[Código]],Venda_12meses[],2,FALSE),0)</f>
        <v>1</v>
      </c>
      <c r="Z100" s="44">
        <f>IFERROR(Rapid[[#This Row],[V. 12 meses]]/Rapid[[#This Row],[Proj. de V. 12 meses]],"")</f>
        <v>0.25641025641025639</v>
      </c>
      <c r="AA100" s="22"/>
    </row>
    <row r="101" spans="1:27" x14ac:dyDescent="0.25">
      <c r="A101" s="22" t="str">
        <f>VLOOKUP(Rapid[[#This Row],[Código]],BD_Produto[#All],7,FALSE)</f>
        <v>Fora de linha</v>
      </c>
      <c r="B101" s="22" t="str">
        <f>IF(OR(Rapid[[#This Row],[Status]]="Em linha",Rapid[[#This Row],[Status]]="Materia Prima",Rapid[[#This Row],[Status]]="Componente"),"ok",IF(Rapid[[#This Row],[Estoque+Importação]]&lt;1,"Tirar","ok"))</f>
        <v>ok</v>
      </c>
      <c r="C101" s="23">
        <v>33070514957</v>
      </c>
      <c r="D101" s="22" t="s">
        <v>1348</v>
      </c>
      <c r="E101" s="22" t="str">
        <f>VLOOKUP(Rapid[[#This Row],[Código]],BD_Produto[],3,FALSE)</f>
        <v>Cola</v>
      </c>
      <c r="F101" s="22" t="str">
        <f>VLOOKUP(Rapid[[#This Row],[Código]],BD_Produto[],4,FALSE)</f>
        <v>Pistola de Cola</v>
      </c>
      <c r="G101" s="24"/>
      <c r="H101" s="25"/>
      <c r="I101" s="22"/>
      <c r="J101" s="24"/>
      <c r="K101" s="24" t="str">
        <f>IFERROR(VLOOKUP(Rapid[[#This Row],[Código]],Importação!P:R,3,FALSE),"")</f>
        <v/>
      </c>
      <c r="L101" s="24">
        <f>IFERROR(VLOOKUP(Rapid[[#This Row],[Código]],Saldo[],3,FALSE),0)</f>
        <v>7</v>
      </c>
      <c r="M101" s="24">
        <f>SUM(Rapid[[#This Row],[Produção]:[Estoque]])</f>
        <v>7</v>
      </c>
      <c r="N101" s="24" t="str">
        <f>IFERROR(Rapid[[#This Row],[Estoque+Importação]]/Rapid[[#This Row],[Proj. de V. No prox. mes]],"Sem Projeção")</f>
        <v>Sem Projeção</v>
      </c>
      <c r="O101" s="24" t="str">
        <f>IF(OR(Rapid[[#This Row],[Status]]="Em Linha",Rapid[[#This Row],[Status]]="Componente",Rapid[[#This Row],[Status]]="Materia Prima"),Rapid[[#This Row],[Proj. de V. No prox. mes]]*10,"-")</f>
        <v>-</v>
      </c>
      <c r="P10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1" s="75">
        <f>VLOOKUP(Rapid[[#This Row],[Código]],Projeção[#All],15,FALSE)</f>
        <v>0</v>
      </c>
      <c r="R101" s="39">
        <f>VLOOKUP(Rapid[[#This Row],[Código]],Projeção[#All],14,FALSE)</f>
        <v>0</v>
      </c>
      <c r="S101" s="39">
        <f>IFERROR(VLOOKUP(Rapid[[#This Row],[Código]],Venda_mes[],2,FALSE),0)</f>
        <v>0</v>
      </c>
      <c r="T101" s="44" t="str">
        <f>IFERROR(Rapid[[#This Row],[V. No mes]]/Rapid[[#This Row],[Proj. de V. No mes]],"")</f>
        <v/>
      </c>
      <c r="U101" s="43">
        <f>VLOOKUP(Rapid[[#This Row],[Código]],Projeção[#All],14,FALSE)+VLOOKUP(Rapid[[#This Row],[Código]],Projeção[#All],13,FALSE)+VLOOKUP(Rapid[[#This Row],[Código]],Projeção[#All],12,FALSE)</f>
        <v>0</v>
      </c>
      <c r="V101" s="39">
        <f>IFERROR(VLOOKUP(Rapid[[#This Row],[Código]],Venda_3meses[],2,FALSE),0)</f>
        <v>0</v>
      </c>
      <c r="W101" s="44" t="str">
        <f>IFERROR(Rapid[[#This Row],[V. 3 meses]]/Rapid[[#This Row],[Proj. de V. 3 meses]],"")</f>
        <v/>
      </c>
      <c r="X10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1" s="39">
        <f>IFERROR(VLOOKUP(Rapid[[#This Row],[Código]],Venda_12meses[],2,FALSE),0)</f>
        <v>0</v>
      </c>
      <c r="Z101" s="44" t="str">
        <f>IFERROR(Rapid[[#This Row],[V. 12 meses]]/Rapid[[#This Row],[Proj. de V. 12 meses]],"")</f>
        <v/>
      </c>
      <c r="AA101" s="22" t="s">
        <v>1686</v>
      </c>
    </row>
    <row r="102" spans="1:27" x14ac:dyDescent="0.25">
      <c r="A102" s="22" t="str">
        <f>VLOOKUP(Rapid[[#This Row],[Código]],BD_Produto[#All],7,FALSE)</f>
        <v>Fora de linha</v>
      </c>
      <c r="B102" s="22" t="str">
        <f>IF(OR(Rapid[[#This Row],[Status]]="Em linha",Rapid[[#This Row],[Status]]="Materia Prima",Rapid[[#This Row],[Status]]="Componente"),"ok",IF(Rapid[[#This Row],[Estoque+Importação]]&lt;1,"Tirar","ok"))</f>
        <v>ok</v>
      </c>
      <c r="C102" s="23">
        <v>33070114956</v>
      </c>
      <c r="D102" s="22" t="s">
        <v>1349</v>
      </c>
      <c r="E102" s="22" t="str">
        <f>VLOOKUP(Rapid[[#This Row],[Código]],BD_Produto[],3,FALSE)</f>
        <v>Grampeador Eletrico</v>
      </c>
      <c r="F102" s="22" t="str">
        <f>VLOOKUP(Rapid[[#This Row],[Código]],BD_Produto[],4,FALSE)</f>
        <v>Grampeador Eletrico</v>
      </c>
      <c r="G102" s="24"/>
      <c r="H102" s="25"/>
      <c r="I102" s="22"/>
      <c r="J102" s="24"/>
      <c r="K102" s="24" t="str">
        <f>IFERROR(VLOOKUP(Rapid[[#This Row],[Código]],Importação!P:R,3,FALSE),"")</f>
        <v/>
      </c>
      <c r="L102" s="24">
        <f>IFERROR(VLOOKUP(Rapid[[#This Row],[Código]],Saldo[],3,FALSE),0)</f>
        <v>4</v>
      </c>
      <c r="M102" s="24">
        <f>SUM(Rapid[[#This Row],[Produção]:[Estoque]])</f>
        <v>4</v>
      </c>
      <c r="N102" s="24" t="str">
        <f>IFERROR(Rapid[[#This Row],[Estoque+Importação]]/Rapid[[#This Row],[Proj. de V. No prox. mes]],"Sem Projeção")</f>
        <v>Sem Projeção</v>
      </c>
      <c r="O102" s="24" t="str">
        <f>IF(OR(Rapid[[#This Row],[Status]]="Em Linha",Rapid[[#This Row],[Status]]="Componente",Rapid[[#This Row],[Status]]="Materia Prima"),Rapid[[#This Row],[Proj. de V. No prox. mes]]*10,"-")</f>
        <v>-</v>
      </c>
      <c r="P10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2" s="75">
        <f>VLOOKUP(Rapid[[#This Row],[Código]],Projeção[#All],15,FALSE)</f>
        <v>0</v>
      </c>
      <c r="R102" s="39">
        <f>VLOOKUP(Rapid[[#This Row],[Código]],Projeção[#All],14,FALSE)</f>
        <v>0</v>
      </c>
      <c r="S102" s="39">
        <f>IFERROR(VLOOKUP(Rapid[[#This Row],[Código]],Venda_mes[],2,FALSE),0)</f>
        <v>0</v>
      </c>
      <c r="T102" s="44" t="str">
        <f>IFERROR(Rapid[[#This Row],[V. No mes]]/Rapid[[#This Row],[Proj. de V. No mes]],"")</f>
        <v/>
      </c>
      <c r="U102" s="43">
        <f>VLOOKUP(Rapid[[#This Row],[Código]],Projeção[#All],14,FALSE)+VLOOKUP(Rapid[[#This Row],[Código]],Projeção[#All],13,FALSE)+VLOOKUP(Rapid[[#This Row],[Código]],Projeção[#All],12,FALSE)</f>
        <v>0</v>
      </c>
      <c r="V102" s="39">
        <f>IFERROR(VLOOKUP(Rapid[[#This Row],[Código]],Venda_3meses[],2,FALSE),0)</f>
        <v>0</v>
      </c>
      <c r="W102" s="44" t="str">
        <f>IFERROR(Rapid[[#This Row],[V. 3 meses]]/Rapid[[#This Row],[Proj. de V. 3 meses]],"")</f>
        <v/>
      </c>
      <c r="X10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2" s="39">
        <f>IFERROR(VLOOKUP(Rapid[[#This Row],[Código]],Venda_12meses[],2,FALSE),0)</f>
        <v>0</v>
      </c>
      <c r="Z102" s="44" t="str">
        <f>IFERROR(Rapid[[#This Row],[V. 12 meses]]/Rapid[[#This Row],[Proj. de V. 12 meses]],"")</f>
        <v/>
      </c>
      <c r="AA102" s="22" t="s">
        <v>1686</v>
      </c>
    </row>
    <row r="103" spans="1:27" x14ac:dyDescent="0.25">
      <c r="A103" s="22" t="str">
        <f>VLOOKUP(Rapid[[#This Row],[Código]],BD_Produto[#All],7,FALSE)</f>
        <v>Fora de linha</v>
      </c>
      <c r="B103" s="22" t="str">
        <f>IF(OR(Rapid[[#This Row],[Status]]="Em linha",Rapid[[#This Row],[Status]]="Materia Prima",Rapid[[#This Row],[Status]]="Componente"),"ok",IF(Rapid[[#This Row],[Estoque+Importação]]&lt;1,"Tirar","ok"))</f>
        <v>ok</v>
      </c>
      <c r="C103" s="23">
        <v>33070514935</v>
      </c>
      <c r="D103" s="22" t="s">
        <v>1350</v>
      </c>
      <c r="E103" s="22" t="str">
        <f>VLOOKUP(Rapid[[#This Row],[Código]],BD_Produto[],3,FALSE)</f>
        <v>Grampo</v>
      </c>
      <c r="F103" s="22">
        <f>VLOOKUP(Rapid[[#This Row],[Código]],BD_Produto[],4,FALSE)</f>
        <v>0</v>
      </c>
      <c r="G103" s="24"/>
      <c r="H103" s="25"/>
      <c r="I103" s="22"/>
      <c r="J103" s="24"/>
      <c r="K103" s="24" t="str">
        <f>IFERROR(VLOOKUP(Rapid[[#This Row],[Código]],Importação!P:R,3,FALSE),"")</f>
        <v/>
      </c>
      <c r="L103" s="24">
        <f>IFERROR(VLOOKUP(Rapid[[#This Row],[Código]],Saldo[],3,FALSE),0)</f>
        <v>4</v>
      </c>
      <c r="M103" s="24">
        <f>SUM(Rapid[[#This Row],[Produção]:[Estoque]])</f>
        <v>4</v>
      </c>
      <c r="N103" s="24" t="str">
        <f>IFERROR(Rapid[[#This Row],[Estoque+Importação]]/Rapid[[#This Row],[Proj. de V. No prox. mes]],"Sem Projeção")</f>
        <v>Sem Projeção</v>
      </c>
      <c r="O103" s="24" t="str">
        <f>IF(OR(Rapid[[#This Row],[Status]]="Em Linha",Rapid[[#This Row],[Status]]="Componente",Rapid[[#This Row],[Status]]="Materia Prima"),Rapid[[#This Row],[Proj. de V. No prox. mes]]*10,"-")</f>
        <v>-</v>
      </c>
      <c r="P10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3" s="75">
        <f>VLOOKUP(Rapid[[#This Row],[Código]],Projeção[#All],15,FALSE)</f>
        <v>0</v>
      </c>
      <c r="R103" s="39">
        <f>VLOOKUP(Rapid[[#This Row],[Código]],Projeção[#All],14,FALSE)</f>
        <v>0</v>
      </c>
      <c r="S103" s="39">
        <f>IFERROR(VLOOKUP(Rapid[[#This Row],[Código]],Venda_mes[],2,FALSE),0)</f>
        <v>0</v>
      </c>
      <c r="T103" s="44" t="str">
        <f>IFERROR(Rapid[[#This Row],[V. No mes]]/Rapid[[#This Row],[Proj. de V. No mes]],"")</f>
        <v/>
      </c>
      <c r="U103" s="43">
        <f>VLOOKUP(Rapid[[#This Row],[Código]],Projeção[#All],14,FALSE)+VLOOKUP(Rapid[[#This Row],[Código]],Projeção[#All],13,FALSE)+VLOOKUP(Rapid[[#This Row],[Código]],Projeção[#All],12,FALSE)</f>
        <v>0</v>
      </c>
      <c r="V103" s="39">
        <f>IFERROR(VLOOKUP(Rapid[[#This Row],[Código]],Venda_3meses[],2,FALSE),0)</f>
        <v>0</v>
      </c>
      <c r="W103" s="44" t="str">
        <f>IFERROR(Rapid[[#This Row],[V. 3 meses]]/Rapid[[#This Row],[Proj. de V. 3 meses]],"")</f>
        <v/>
      </c>
      <c r="X10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3" s="39">
        <f>IFERROR(VLOOKUP(Rapid[[#This Row],[Código]],Venda_12meses[],2,FALSE),0)</f>
        <v>0</v>
      </c>
      <c r="Z103" s="44" t="str">
        <f>IFERROR(Rapid[[#This Row],[V. 12 meses]]/Rapid[[#This Row],[Proj. de V. 12 meses]],"")</f>
        <v/>
      </c>
      <c r="AA103" s="22" t="s">
        <v>1686</v>
      </c>
    </row>
    <row r="104" spans="1:27" x14ac:dyDescent="0.25">
      <c r="A104" s="22" t="str">
        <f>VLOOKUP(Rapid[[#This Row],[Código]],BD_Produto[#All],7,FALSE)</f>
        <v>Fora de linha</v>
      </c>
      <c r="B104" s="22" t="str">
        <f>IF(OR(Rapid[[#This Row],[Status]]="Em linha",Rapid[[#This Row],[Status]]="Materia Prima",Rapid[[#This Row],[Status]]="Componente"),"ok",IF(Rapid[[#This Row],[Estoque+Importação]]&lt;1,"Tirar","ok"))</f>
        <v>ok</v>
      </c>
      <c r="C104" s="23">
        <v>32060534787</v>
      </c>
      <c r="D104" s="22" t="s">
        <v>1351</v>
      </c>
      <c r="E104" s="22" t="str">
        <f>VLOOKUP(Rapid[[#This Row],[Código]],BD_Produto[],3,FALSE)</f>
        <v>Grampo</v>
      </c>
      <c r="F104" s="22">
        <f>VLOOKUP(Rapid[[#This Row],[Código]],BD_Produto[],4,FALSE)</f>
        <v>0</v>
      </c>
      <c r="G104" s="24"/>
      <c r="H104" s="25"/>
      <c r="I104" s="22"/>
      <c r="J104" s="24"/>
      <c r="K104" s="24" t="str">
        <f>IFERROR(VLOOKUP(Rapid[[#This Row],[Código]],Importação!P:R,3,FALSE),"")</f>
        <v/>
      </c>
      <c r="L104" s="24">
        <f>IFERROR(VLOOKUP(Rapid[[#This Row],[Código]],Saldo[],3,FALSE),0)</f>
        <v>17</v>
      </c>
      <c r="M104" s="24">
        <f>SUM(Rapid[[#This Row],[Produção]:[Estoque]])</f>
        <v>17</v>
      </c>
      <c r="N104" s="24" t="str">
        <f>IFERROR(Rapid[[#This Row],[Estoque+Importação]]/Rapid[[#This Row],[Proj. de V. No prox. mes]],"Sem Projeção")</f>
        <v>Sem Projeção</v>
      </c>
      <c r="O104" s="24" t="str">
        <f>IF(OR(Rapid[[#This Row],[Status]]="Em Linha",Rapid[[#This Row],[Status]]="Componente",Rapid[[#This Row],[Status]]="Materia Prima"),Rapid[[#This Row],[Proj. de V. No prox. mes]]*10,"-")</f>
        <v>-</v>
      </c>
      <c r="P10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4" s="83">
        <f>VLOOKUP(Rapid[[#This Row],[Código]],Projeção[#All],15,FALSE)</f>
        <v>0</v>
      </c>
      <c r="R104" s="39">
        <f>VLOOKUP(Rapid[[#This Row],[Código]],Projeção[#All],14,FALSE)</f>
        <v>0</v>
      </c>
      <c r="S104" s="39">
        <f>IFERROR(VLOOKUP(Rapid[[#This Row],[Código]],Venda_mes[],2,FALSE),0)</f>
        <v>0</v>
      </c>
      <c r="T104" s="45" t="str">
        <f>IFERROR(Rapid[[#This Row],[V. No mes]]/Rapid[[#This Row],[Proj. de V. No mes]],"")</f>
        <v/>
      </c>
      <c r="U104" s="39">
        <f>VLOOKUP(Rapid[[#This Row],[Código]],Projeção[#All],14,FALSE)+VLOOKUP(Rapid[[#This Row],[Código]],Projeção[#All],13,FALSE)+VLOOKUP(Rapid[[#This Row],[Código]],Projeção[#All],12,FALSE)</f>
        <v>0</v>
      </c>
      <c r="V104" s="39">
        <f>IFERROR(VLOOKUP(Rapid[[#This Row],[Código]],Venda_3meses[],2,FALSE),0)</f>
        <v>0</v>
      </c>
      <c r="W104" s="45" t="str">
        <f>IFERROR(Rapid[[#This Row],[V. 3 meses]]/Rapid[[#This Row],[Proj. de V. 3 meses]],"")</f>
        <v/>
      </c>
      <c r="X104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4" s="39">
        <f>IFERROR(VLOOKUP(Rapid[[#This Row],[Código]],Venda_12meses[],2,FALSE),0)</f>
        <v>0</v>
      </c>
      <c r="Z104" s="45" t="str">
        <f>IFERROR(Rapid[[#This Row],[V. 12 meses]]/Rapid[[#This Row],[Proj. de V. 12 meses]],"")</f>
        <v/>
      </c>
      <c r="AA104" s="22"/>
    </row>
    <row r="105" spans="1:27" x14ac:dyDescent="0.25">
      <c r="A105" s="22" t="str">
        <f>VLOOKUP(Rapid[[#This Row],[Código]],BD_Produto[#All],7,FALSE)</f>
        <v>Fora de linha</v>
      </c>
      <c r="B105" s="22" t="str">
        <f>IF(OR(Rapid[[#This Row],[Status]]="Em linha",Rapid[[#This Row],[Status]]="Materia Prima",Rapid[[#This Row],[Status]]="Componente"),"ok",IF(Rapid[[#This Row],[Estoque+Importação]]&lt;1,"Tirar","ok"))</f>
        <v>ok</v>
      </c>
      <c r="C105" s="23">
        <v>32060534786</v>
      </c>
      <c r="D105" s="22" t="s">
        <v>1352</v>
      </c>
      <c r="E105" s="22" t="str">
        <f>VLOOKUP(Rapid[[#This Row],[Código]],BD_Produto[],3,FALSE)</f>
        <v>Grampo</v>
      </c>
      <c r="F105" s="22">
        <f>VLOOKUP(Rapid[[#This Row],[Código]],BD_Produto[],4,FALSE)</f>
        <v>0</v>
      </c>
      <c r="G105" s="24"/>
      <c r="H105" s="25"/>
      <c r="I105" s="22"/>
      <c r="J105" s="24"/>
      <c r="K105" s="24" t="str">
        <f>IFERROR(VLOOKUP(Rapid[[#This Row],[Código]],Importação!P:R,3,FALSE),"")</f>
        <v/>
      </c>
      <c r="L105" s="24">
        <f>IFERROR(VLOOKUP(Rapid[[#This Row],[Código]],Saldo[],3,FALSE),0)</f>
        <v>51</v>
      </c>
      <c r="M105" s="24">
        <f>SUM(Rapid[[#This Row],[Produção]:[Estoque]])</f>
        <v>51</v>
      </c>
      <c r="N105" s="24" t="str">
        <f>IFERROR(Rapid[[#This Row],[Estoque+Importação]]/Rapid[[#This Row],[Proj. de V. No prox. mes]],"Sem Projeção")</f>
        <v>Sem Projeção</v>
      </c>
      <c r="O105" s="24" t="str">
        <f>IF(OR(Rapid[[#This Row],[Status]]="Em Linha",Rapid[[#This Row],[Status]]="Componente",Rapid[[#This Row],[Status]]="Materia Prima"),Rapid[[#This Row],[Proj. de V. No prox. mes]]*10,"-")</f>
        <v>-</v>
      </c>
      <c r="P10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5" s="75">
        <f>VLOOKUP(Rapid[[#This Row],[Código]],Projeção[#All],15,FALSE)</f>
        <v>0</v>
      </c>
      <c r="R105" s="39">
        <f>VLOOKUP(Rapid[[#This Row],[Código]],Projeção[#All],14,FALSE)</f>
        <v>0</v>
      </c>
      <c r="S105" s="39">
        <f>IFERROR(VLOOKUP(Rapid[[#This Row],[Código]],Venda_mes[],2,FALSE),0)</f>
        <v>0</v>
      </c>
      <c r="T105" s="44" t="str">
        <f>IFERROR(Rapid[[#This Row],[V. No mes]]/Rapid[[#This Row],[Proj. de V. No mes]],"")</f>
        <v/>
      </c>
      <c r="U105" s="43">
        <f>VLOOKUP(Rapid[[#This Row],[Código]],Projeção[#All],14,FALSE)+VLOOKUP(Rapid[[#This Row],[Código]],Projeção[#All],13,FALSE)+VLOOKUP(Rapid[[#This Row],[Código]],Projeção[#All],12,FALSE)</f>
        <v>0</v>
      </c>
      <c r="V105" s="39">
        <f>IFERROR(VLOOKUP(Rapid[[#This Row],[Código]],Venda_3meses[],2,FALSE),0)</f>
        <v>0</v>
      </c>
      <c r="W105" s="44" t="str">
        <f>IFERROR(Rapid[[#This Row],[V. 3 meses]]/Rapid[[#This Row],[Proj. de V. 3 meses]],"")</f>
        <v/>
      </c>
      <c r="X10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5" s="39">
        <f>IFERROR(VLOOKUP(Rapid[[#This Row],[Código]],Venda_12meses[],2,FALSE),0)</f>
        <v>0</v>
      </c>
      <c r="Z105" s="44" t="str">
        <f>IFERROR(Rapid[[#This Row],[V. 12 meses]]/Rapid[[#This Row],[Proj. de V. 12 meses]],"")</f>
        <v/>
      </c>
      <c r="AA105" s="22"/>
    </row>
    <row r="106" spans="1:27" x14ac:dyDescent="0.25">
      <c r="A106" s="22" t="str">
        <f>VLOOKUP(Rapid[[#This Row],[Código]],BD_Produto[#All],7,FALSE)</f>
        <v>Fora de linha</v>
      </c>
      <c r="B106" s="22" t="str">
        <f>IF(OR(Rapid[[#This Row],[Status]]="Em linha",Rapid[[#This Row],[Status]]="Materia Prima",Rapid[[#This Row],[Status]]="Componente"),"ok",IF(Rapid[[#This Row],[Estoque+Importação]]&lt;1,"Tirar","ok"))</f>
        <v>ok</v>
      </c>
      <c r="C106" s="23">
        <v>32060534788</v>
      </c>
      <c r="D106" s="22" t="s">
        <v>1353</v>
      </c>
      <c r="E106" s="22" t="str">
        <f>VLOOKUP(Rapid[[#This Row],[Código]],BD_Produto[],3,FALSE)</f>
        <v>Grampo</v>
      </c>
      <c r="F106" s="22">
        <f>VLOOKUP(Rapid[[#This Row],[Código]],BD_Produto[],4,FALSE)</f>
        <v>0</v>
      </c>
      <c r="G106" s="24"/>
      <c r="H106" s="25"/>
      <c r="I106" s="22"/>
      <c r="J106" s="24"/>
      <c r="K106" s="24" t="str">
        <f>IFERROR(VLOOKUP(Rapid[[#This Row],[Código]],Importação!P:R,3,FALSE),"")</f>
        <v/>
      </c>
      <c r="L106" s="24">
        <f>IFERROR(VLOOKUP(Rapid[[#This Row],[Código]],Saldo[],3,FALSE),0)</f>
        <v>28</v>
      </c>
      <c r="M106" s="24">
        <f>SUM(Rapid[[#This Row],[Produção]:[Estoque]])</f>
        <v>28</v>
      </c>
      <c r="N106" s="24" t="str">
        <f>IFERROR(Rapid[[#This Row],[Estoque+Importação]]/Rapid[[#This Row],[Proj. de V. No prox. mes]],"Sem Projeção")</f>
        <v>Sem Projeção</v>
      </c>
      <c r="O106" s="24" t="str">
        <f>IF(OR(Rapid[[#This Row],[Status]]="Em Linha",Rapid[[#This Row],[Status]]="Componente",Rapid[[#This Row],[Status]]="Materia Prima"),Rapid[[#This Row],[Proj. de V. No prox. mes]]*10,"-")</f>
        <v>-</v>
      </c>
      <c r="P10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6" s="75">
        <f>VLOOKUP(Rapid[[#This Row],[Código]],Projeção[#All],15,FALSE)</f>
        <v>0</v>
      </c>
      <c r="R106" s="39">
        <f>VLOOKUP(Rapid[[#This Row],[Código]],Projeção[#All],14,FALSE)</f>
        <v>0</v>
      </c>
      <c r="S106" s="39">
        <f>IFERROR(VLOOKUP(Rapid[[#This Row],[Código]],Venda_mes[],2,FALSE),0)</f>
        <v>0</v>
      </c>
      <c r="T106" s="44" t="str">
        <f>IFERROR(Rapid[[#This Row],[V. No mes]]/Rapid[[#This Row],[Proj. de V. No mes]],"")</f>
        <v/>
      </c>
      <c r="U106" s="43">
        <f>VLOOKUP(Rapid[[#This Row],[Código]],Projeção[#All],14,FALSE)+VLOOKUP(Rapid[[#This Row],[Código]],Projeção[#All],13,FALSE)+VLOOKUP(Rapid[[#This Row],[Código]],Projeção[#All],12,FALSE)</f>
        <v>0</v>
      </c>
      <c r="V106" s="39">
        <f>IFERROR(VLOOKUP(Rapid[[#This Row],[Código]],Venda_3meses[],2,FALSE),0)</f>
        <v>0</v>
      </c>
      <c r="W106" s="44" t="str">
        <f>IFERROR(Rapid[[#This Row],[V. 3 meses]]/Rapid[[#This Row],[Proj. de V. 3 meses]],"")</f>
        <v/>
      </c>
      <c r="X10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6" s="39">
        <f>IFERROR(VLOOKUP(Rapid[[#This Row],[Código]],Venda_12meses[],2,FALSE),0)</f>
        <v>0</v>
      </c>
      <c r="Z106" s="44" t="str">
        <f>IFERROR(Rapid[[#This Row],[V. 12 meses]]/Rapid[[#This Row],[Proj. de V. 12 meses]],"")</f>
        <v/>
      </c>
      <c r="AA106" s="22"/>
    </row>
    <row r="107" spans="1:27" x14ac:dyDescent="0.25">
      <c r="A107" s="22" t="str">
        <f>VLOOKUP(Rapid[[#This Row],[Código]],BD_Produto[#All],7,FALSE)</f>
        <v>Fora de linha</v>
      </c>
      <c r="B107" s="22" t="str">
        <f>IF(OR(Rapid[[#This Row],[Status]]="Em linha",Rapid[[#This Row],[Status]]="Materia Prima",Rapid[[#This Row],[Status]]="Componente"),"ok",IF(Rapid[[#This Row],[Estoque+Importação]]&lt;1,"Tirar","ok"))</f>
        <v>ok</v>
      </c>
      <c r="C107" s="23">
        <v>32060524133</v>
      </c>
      <c r="D107" s="22" t="s">
        <v>1354</v>
      </c>
      <c r="E107" s="22" t="str">
        <f>VLOOKUP(Rapid[[#This Row],[Código]],BD_Produto[],3,FALSE)</f>
        <v>Grampo</v>
      </c>
      <c r="F107" s="22" t="str">
        <f>VLOOKUP(Rapid[[#This Row],[Código]],BD_Produto[],4,FALSE)</f>
        <v>Grampeador Heavy Duty</v>
      </c>
      <c r="G107" s="24"/>
      <c r="H107" s="25"/>
      <c r="I107" s="22"/>
      <c r="J107" s="24"/>
      <c r="K107" s="24" t="str">
        <f>IFERROR(VLOOKUP(Rapid[[#This Row],[Código]],Importação!P:R,3,FALSE),"")</f>
        <v/>
      </c>
      <c r="L107" s="24">
        <f>IFERROR(VLOOKUP(Rapid[[#This Row],[Código]],Saldo[],3,FALSE),0)</f>
        <v>180</v>
      </c>
      <c r="M107" s="24">
        <f>SUM(Rapid[[#This Row],[Produção]:[Estoque]])</f>
        <v>180</v>
      </c>
      <c r="N107" s="24" t="str">
        <f>IFERROR(Rapid[[#This Row],[Estoque+Importação]]/Rapid[[#This Row],[Proj. de V. No prox. mes]],"Sem Projeção")</f>
        <v>Sem Projeção</v>
      </c>
      <c r="O107" s="24" t="str">
        <f>IF(OR(Rapid[[#This Row],[Status]]="Em Linha",Rapid[[#This Row],[Status]]="Componente",Rapid[[#This Row],[Status]]="Materia Prima"),Rapid[[#This Row],[Proj. de V. No prox. mes]]*10,"-")</f>
        <v>-</v>
      </c>
      <c r="P10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7" s="83">
        <f>VLOOKUP(Rapid[[#This Row],[Código]],Projeção[#All],15,FALSE)</f>
        <v>0</v>
      </c>
      <c r="R107" s="39">
        <f>VLOOKUP(Rapid[[#This Row],[Código]],Projeção[#All],14,FALSE)</f>
        <v>0</v>
      </c>
      <c r="S107" s="39">
        <f>IFERROR(VLOOKUP(Rapid[[#This Row],[Código]],Venda_mes[],2,FALSE),0)</f>
        <v>0</v>
      </c>
      <c r="T107" s="45" t="str">
        <f>IFERROR(Rapid[[#This Row],[V. No mes]]/Rapid[[#This Row],[Proj. de V. No mes]],"")</f>
        <v/>
      </c>
      <c r="U107" s="39">
        <f>VLOOKUP(Rapid[[#This Row],[Código]],Projeção[#All],14,FALSE)+VLOOKUP(Rapid[[#This Row],[Código]],Projeção[#All],13,FALSE)+VLOOKUP(Rapid[[#This Row],[Código]],Projeção[#All],12,FALSE)</f>
        <v>0</v>
      </c>
      <c r="V107" s="39">
        <f>IFERROR(VLOOKUP(Rapid[[#This Row],[Código]],Venda_3meses[],2,FALSE),0)</f>
        <v>0</v>
      </c>
      <c r="W107" s="45" t="str">
        <f>IFERROR(Rapid[[#This Row],[V. 3 meses]]/Rapid[[#This Row],[Proj. de V. 3 meses]],"")</f>
        <v/>
      </c>
      <c r="X107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7" s="39">
        <f>IFERROR(VLOOKUP(Rapid[[#This Row],[Código]],Venda_12meses[],2,FALSE),0)</f>
        <v>0</v>
      </c>
      <c r="Z107" s="45" t="str">
        <f>IFERROR(Rapid[[#This Row],[V. 12 meses]]/Rapid[[#This Row],[Proj. de V. 12 meses]],"")</f>
        <v/>
      </c>
      <c r="AA107" s="22"/>
    </row>
    <row r="108" spans="1:27" x14ac:dyDescent="0.25">
      <c r="A108" s="22" t="str">
        <f>VLOOKUP(Rapid[[#This Row],[Código]],BD_Produto[#All],7,FALSE)</f>
        <v>Fora de linha</v>
      </c>
      <c r="B108" s="22" t="str">
        <f>IF(OR(Rapid[[#This Row],[Status]]="Em linha",Rapid[[#This Row],[Status]]="Materia Prima",Rapid[[#This Row],[Status]]="Componente"),"ok",IF(Rapid[[#This Row],[Estoque+Importação]]&lt;1,"Tirar","ok"))</f>
        <v>ok</v>
      </c>
      <c r="C108" s="23">
        <v>33060714890</v>
      </c>
      <c r="D108" s="22" t="s">
        <v>1355</v>
      </c>
      <c r="E108" s="22" t="str">
        <f>VLOOKUP(Rapid[[#This Row],[Código]],BD_Produto[],3,FALSE)</f>
        <v>Perfurador</v>
      </c>
      <c r="F108" s="22" t="str">
        <f>VLOOKUP(Rapid[[#This Row],[Código]],BD_Produto[],4,FALSE)</f>
        <v>Perfurador</v>
      </c>
      <c r="G108" s="24"/>
      <c r="H108" s="25"/>
      <c r="I108" s="22"/>
      <c r="J108" s="24"/>
      <c r="K108" s="24" t="str">
        <f>IFERROR(VLOOKUP(Rapid[[#This Row],[Código]],Importação!P:R,3,FALSE),"")</f>
        <v/>
      </c>
      <c r="L108" s="24">
        <f>IFERROR(VLOOKUP(Rapid[[#This Row],[Código]],Saldo[],3,FALSE),0)</f>
        <v>47</v>
      </c>
      <c r="M108" s="24">
        <f>SUM(Rapid[[#This Row],[Produção]:[Estoque]])</f>
        <v>47</v>
      </c>
      <c r="N108" s="24" t="str">
        <f>IFERROR(Rapid[[#This Row],[Estoque+Importação]]/Rapid[[#This Row],[Proj. de V. No prox. mes]],"Sem Projeção")</f>
        <v>Sem Projeção</v>
      </c>
      <c r="O108" s="24" t="str">
        <f>IF(OR(Rapid[[#This Row],[Status]]="Em Linha",Rapid[[#This Row],[Status]]="Componente",Rapid[[#This Row],[Status]]="Materia Prima"),Rapid[[#This Row],[Proj. de V. No prox. mes]]*10,"-")</f>
        <v>-</v>
      </c>
      <c r="P10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8" s="75">
        <f>VLOOKUP(Rapid[[#This Row],[Código]],Projeção[#All],15,FALSE)</f>
        <v>0</v>
      </c>
      <c r="R108" s="39">
        <f>VLOOKUP(Rapid[[#This Row],[Código]],Projeção[#All],14,FALSE)</f>
        <v>0</v>
      </c>
      <c r="S108" s="39">
        <f>IFERROR(VLOOKUP(Rapid[[#This Row],[Código]],Venda_mes[],2,FALSE),0)</f>
        <v>0</v>
      </c>
      <c r="T108" s="44" t="str">
        <f>IFERROR(Rapid[[#This Row],[V. No mes]]/Rapid[[#This Row],[Proj. de V. No mes]],"")</f>
        <v/>
      </c>
      <c r="U108" s="43">
        <f>VLOOKUP(Rapid[[#This Row],[Código]],Projeção[#All],14,FALSE)+VLOOKUP(Rapid[[#This Row],[Código]],Projeção[#All],13,FALSE)+VLOOKUP(Rapid[[#This Row],[Código]],Projeção[#All],12,FALSE)</f>
        <v>0</v>
      </c>
      <c r="V108" s="39">
        <f>IFERROR(VLOOKUP(Rapid[[#This Row],[Código]],Venda_3meses[],2,FALSE),0)</f>
        <v>0</v>
      </c>
      <c r="W108" s="44" t="str">
        <f>IFERROR(Rapid[[#This Row],[V. 3 meses]]/Rapid[[#This Row],[Proj. de V. 3 meses]],"")</f>
        <v/>
      </c>
      <c r="X10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8" s="39">
        <f>IFERROR(VLOOKUP(Rapid[[#This Row],[Código]],Venda_12meses[],2,FALSE),0)</f>
        <v>0</v>
      </c>
      <c r="Z108" s="44" t="str">
        <f>IFERROR(Rapid[[#This Row],[V. 12 meses]]/Rapid[[#This Row],[Proj. de V. 12 meses]],"")</f>
        <v/>
      </c>
      <c r="AA108" s="22"/>
    </row>
    <row r="109" spans="1:27" x14ac:dyDescent="0.25">
      <c r="A109" s="22" t="str">
        <f>VLOOKUP(Rapid[[#This Row],[Código]],BD_Produto[#All],7,FALSE)</f>
        <v>Fora de linha</v>
      </c>
      <c r="B109" s="22" t="str">
        <f>IF(OR(Rapid[[#This Row],[Status]]="Em linha",Rapid[[#This Row],[Status]]="Materia Prima",Rapid[[#This Row],[Status]]="Componente"),"ok",IF(Rapid[[#This Row],[Estoque+Importação]]&lt;1,"Tirar","ok"))</f>
        <v>ok</v>
      </c>
      <c r="C109" s="23">
        <v>33070114959</v>
      </c>
      <c r="D109" s="22" t="s">
        <v>1356</v>
      </c>
      <c r="E109" s="22" t="str">
        <f>VLOOKUP(Rapid[[#This Row],[Código]],BD_Produto[],3,FALSE)</f>
        <v>Pistola de Cola</v>
      </c>
      <c r="F109" s="22" t="str">
        <f>VLOOKUP(Rapid[[#This Row],[Código]],BD_Produto[],4,FALSE)</f>
        <v>Pistola de Cola</v>
      </c>
      <c r="G109" s="24"/>
      <c r="H109" s="25"/>
      <c r="I109" s="22"/>
      <c r="J109" s="24"/>
      <c r="K109" s="24" t="str">
        <f>IFERROR(VLOOKUP(Rapid[[#This Row],[Código]],Importação!P:R,3,FALSE),"")</f>
        <v/>
      </c>
      <c r="L109" s="24">
        <f>IFERROR(VLOOKUP(Rapid[[#This Row],[Código]],Saldo[],3,FALSE),0)</f>
        <v>2</v>
      </c>
      <c r="M109" s="24">
        <f>SUM(Rapid[[#This Row],[Produção]:[Estoque]])</f>
        <v>2</v>
      </c>
      <c r="N109" s="24" t="str">
        <f>IFERROR(Rapid[[#This Row],[Estoque+Importação]]/Rapid[[#This Row],[Proj. de V. No prox. mes]],"Sem Projeção")</f>
        <v>Sem Projeção</v>
      </c>
      <c r="O109" s="24" t="str">
        <f>IF(OR(Rapid[[#This Row],[Status]]="Em Linha",Rapid[[#This Row],[Status]]="Componente",Rapid[[#This Row],[Status]]="Materia Prima"),Rapid[[#This Row],[Proj. de V. No prox. mes]]*10,"-")</f>
        <v>-</v>
      </c>
      <c r="P10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09" s="83">
        <f>VLOOKUP(Rapid[[#This Row],[Código]],Projeção[#All],15,FALSE)</f>
        <v>0</v>
      </c>
      <c r="R109" s="39">
        <f>VLOOKUP(Rapid[[#This Row],[Código]],Projeção[#All],14,FALSE)</f>
        <v>0</v>
      </c>
      <c r="S109" s="39">
        <f>IFERROR(VLOOKUP(Rapid[[#This Row],[Código]],Venda_mes[],2,FALSE),0)</f>
        <v>0</v>
      </c>
      <c r="T109" s="45" t="str">
        <f>IFERROR(Rapid[[#This Row],[V. No mes]]/Rapid[[#This Row],[Proj. de V. No mes]],"")</f>
        <v/>
      </c>
      <c r="U109" s="39">
        <f>VLOOKUP(Rapid[[#This Row],[Código]],Projeção[#All],14,FALSE)+VLOOKUP(Rapid[[#This Row],[Código]],Projeção[#All],13,FALSE)+VLOOKUP(Rapid[[#This Row],[Código]],Projeção[#All],12,FALSE)</f>
        <v>0</v>
      </c>
      <c r="V109" s="39">
        <f>IFERROR(VLOOKUP(Rapid[[#This Row],[Código]],Venda_3meses[],2,FALSE),0)</f>
        <v>0</v>
      </c>
      <c r="W109" s="45" t="str">
        <f>IFERROR(Rapid[[#This Row],[V. 3 meses]]/Rapid[[#This Row],[Proj. de V. 3 meses]],"")</f>
        <v/>
      </c>
      <c r="X109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09" s="39">
        <f>IFERROR(VLOOKUP(Rapid[[#This Row],[Código]],Venda_12meses[],2,FALSE),0)</f>
        <v>0</v>
      </c>
      <c r="Z109" s="45" t="str">
        <f>IFERROR(Rapid[[#This Row],[V. 12 meses]]/Rapid[[#This Row],[Proj. de V. 12 meses]],"")</f>
        <v/>
      </c>
      <c r="AA109" s="22" t="s">
        <v>1686</v>
      </c>
    </row>
    <row r="110" spans="1:27" x14ac:dyDescent="0.25">
      <c r="A110" s="22" t="str">
        <f>VLOOKUP(Rapid[[#This Row],[Código]],BD_Produto[#All],7,FALSE)</f>
        <v>Fora de linha</v>
      </c>
      <c r="B110" s="22" t="str">
        <f>IF(OR(Rapid[[#This Row],[Status]]="Em linha",Rapid[[#This Row],[Status]]="Materia Prima",Rapid[[#This Row],[Status]]="Componente"),"ok",IF(Rapid[[#This Row],[Estoque+Importação]]&lt;1,"Tirar","ok"))</f>
        <v>ok</v>
      </c>
      <c r="C110" s="23">
        <v>33060144131</v>
      </c>
      <c r="D110" s="22" t="s">
        <v>180</v>
      </c>
      <c r="E110" s="22" t="str">
        <f>VLOOKUP(Rapid[[#This Row],[Código]],BD_Produto[],3,FALSE)</f>
        <v>Grampeador Alicate</v>
      </c>
      <c r="F110" s="22" t="str">
        <f>VLOOKUP(Rapid[[#This Row],[Código]],BD_Produto[],4,FALSE)</f>
        <v>Grampeador Alicate</v>
      </c>
      <c r="G110" s="24"/>
      <c r="H110" s="25"/>
      <c r="I110" s="22"/>
      <c r="J110" s="24"/>
      <c r="K110" s="24" t="str">
        <f>IFERROR(VLOOKUP(Rapid[[#This Row],[Código]],Importação!P:R,3,FALSE),"")</f>
        <v/>
      </c>
      <c r="L110" s="24">
        <f>IFERROR(VLOOKUP(Rapid[[#This Row],[Código]],Saldo[],3,FALSE),0)</f>
        <v>17</v>
      </c>
      <c r="M110" s="24">
        <f>SUM(Rapid[[#This Row],[Produção]:[Estoque]])</f>
        <v>17</v>
      </c>
      <c r="N110" s="24" t="str">
        <f>IFERROR(Rapid[[#This Row],[Estoque+Importação]]/Rapid[[#This Row],[Proj. de V. No prox. mes]],"Sem Projeção")</f>
        <v>Sem Projeção</v>
      </c>
      <c r="O110" s="24" t="str">
        <f>IF(OR(Rapid[[#This Row],[Status]]="Em Linha",Rapid[[#This Row],[Status]]="Componente",Rapid[[#This Row],[Status]]="Materia Prima"),Rapid[[#This Row],[Proj. de V. No prox. mes]]*10,"-")</f>
        <v>-</v>
      </c>
      <c r="P11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0" s="75">
        <f>VLOOKUP(Rapid[[#This Row],[Código]],Projeção[#All],15,FALSE)</f>
        <v>0</v>
      </c>
      <c r="R110" s="39">
        <f>VLOOKUP(Rapid[[#This Row],[Código]],Projeção[#All],14,FALSE)</f>
        <v>0</v>
      </c>
      <c r="S110" s="39">
        <f>IFERROR(VLOOKUP(Rapid[[#This Row],[Código]],Venda_mes[],2,FALSE),0)</f>
        <v>0</v>
      </c>
      <c r="T110" s="44" t="str">
        <f>IFERROR(Rapid[[#This Row],[V. No mes]]/Rapid[[#This Row],[Proj. de V. No mes]],"")</f>
        <v/>
      </c>
      <c r="U110" s="43">
        <f>VLOOKUP(Rapid[[#This Row],[Código]],Projeção[#All],14,FALSE)+VLOOKUP(Rapid[[#This Row],[Código]],Projeção[#All],13,FALSE)+VLOOKUP(Rapid[[#This Row],[Código]],Projeção[#All],12,FALSE)</f>
        <v>0</v>
      </c>
      <c r="V110" s="39">
        <f>IFERROR(VLOOKUP(Rapid[[#This Row],[Código]],Venda_3meses[],2,FALSE),0)</f>
        <v>0</v>
      </c>
      <c r="W110" s="44" t="str">
        <f>IFERROR(Rapid[[#This Row],[V. 3 meses]]/Rapid[[#This Row],[Proj. de V. 3 meses]],"")</f>
        <v/>
      </c>
      <c r="X11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0" s="39">
        <f>IFERROR(VLOOKUP(Rapid[[#This Row],[Código]],Venda_12meses[],2,FALSE),0)</f>
        <v>0</v>
      </c>
      <c r="Z110" s="44" t="str">
        <f>IFERROR(Rapid[[#This Row],[V. 12 meses]]/Rapid[[#This Row],[Proj. de V. 12 meses]],"")</f>
        <v/>
      </c>
      <c r="AA110" s="22"/>
    </row>
    <row r="111" spans="1:27" x14ac:dyDescent="0.25">
      <c r="A111" s="22" t="str">
        <f>VLOOKUP(Rapid[[#This Row],[Código]],BD_Produto[#All],7,FALSE)</f>
        <v>Fora de linha</v>
      </c>
      <c r="B111" s="22" t="str">
        <f>IF(OR(Rapid[[#This Row],[Status]]="Em linha",Rapid[[#This Row],[Status]]="Materia Prima",Rapid[[#This Row],[Status]]="Componente"),"ok",IF(Rapid[[#This Row],[Estoque+Importação]]&lt;1,"Tirar","ok"))</f>
        <v>ok</v>
      </c>
      <c r="C111" s="23">
        <v>33060114791</v>
      </c>
      <c r="D111" s="22" t="s">
        <v>152</v>
      </c>
      <c r="E111" s="22" t="str">
        <f>VLOOKUP(Rapid[[#This Row],[Código]],BD_Produto[],3,FALSE)</f>
        <v>Grampeador de Mesa</v>
      </c>
      <c r="F111" s="22" t="str">
        <f>VLOOKUP(Rapid[[#This Row],[Código]],BD_Produto[],4,FALSE)</f>
        <v>Grampeador de Mesa</v>
      </c>
      <c r="G111" s="24"/>
      <c r="H111" s="25"/>
      <c r="I111" s="22"/>
      <c r="J111" s="24"/>
      <c r="K111" s="24" t="str">
        <f>IFERROR(VLOOKUP(Rapid[[#This Row],[Código]],Importação!P:R,3,FALSE),"")</f>
        <v/>
      </c>
      <c r="L111" s="24">
        <f>IFERROR(VLOOKUP(Rapid[[#This Row],[Código]],Saldo[],3,FALSE),0)</f>
        <v>11</v>
      </c>
      <c r="M111" s="24">
        <f>SUM(Rapid[[#This Row],[Produção]:[Estoque]])</f>
        <v>11</v>
      </c>
      <c r="N111" s="24" t="str">
        <f>IFERROR(Rapid[[#This Row],[Estoque+Importação]]/Rapid[[#This Row],[Proj. de V. No prox. mes]],"Sem Projeção")</f>
        <v>Sem Projeção</v>
      </c>
      <c r="O111" s="24" t="str">
        <f>IF(OR(Rapid[[#This Row],[Status]]="Em Linha",Rapid[[#This Row],[Status]]="Componente",Rapid[[#This Row],[Status]]="Materia Prima"),Rapid[[#This Row],[Proj. de V. No prox. mes]]*10,"-")</f>
        <v>-</v>
      </c>
      <c r="P11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1" s="83">
        <f>VLOOKUP(Rapid[[#This Row],[Código]],Projeção[#All],15,FALSE)</f>
        <v>0</v>
      </c>
      <c r="R111" s="39">
        <f>VLOOKUP(Rapid[[#This Row],[Código]],Projeção[#All],14,FALSE)</f>
        <v>0</v>
      </c>
      <c r="S111" s="39">
        <f>IFERROR(VLOOKUP(Rapid[[#This Row],[Código]],Venda_mes[],2,FALSE),0)</f>
        <v>0</v>
      </c>
      <c r="T111" s="45" t="str">
        <f>IFERROR(Rapid[[#This Row],[V. No mes]]/Rapid[[#This Row],[Proj. de V. No mes]],"")</f>
        <v/>
      </c>
      <c r="U111" s="39">
        <f>VLOOKUP(Rapid[[#This Row],[Código]],Projeção[#All],14,FALSE)+VLOOKUP(Rapid[[#This Row],[Código]],Projeção[#All],13,FALSE)+VLOOKUP(Rapid[[#This Row],[Código]],Projeção[#All],12,FALSE)</f>
        <v>0</v>
      </c>
      <c r="V111" s="39">
        <f>IFERROR(VLOOKUP(Rapid[[#This Row],[Código]],Venda_3meses[],2,FALSE),0)</f>
        <v>0</v>
      </c>
      <c r="W111" s="45" t="str">
        <f>IFERROR(Rapid[[#This Row],[V. 3 meses]]/Rapid[[#This Row],[Proj. de V. 3 meses]],"")</f>
        <v/>
      </c>
      <c r="X111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0.16666666666666666</v>
      </c>
      <c r="Y111" s="39">
        <f>IFERROR(VLOOKUP(Rapid[[#This Row],[Código]],Venda_12meses[],2,FALSE),0)</f>
        <v>0</v>
      </c>
      <c r="Z111" s="45">
        <f>IFERROR(Rapid[[#This Row],[V. 12 meses]]/Rapid[[#This Row],[Proj. de V. 12 meses]],"")</f>
        <v>0</v>
      </c>
      <c r="AA111" s="22"/>
    </row>
    <row r="112" spans="1:27" x14ac:dyDescent="0.25">
      <c r="A112" s="22" t="str">
        <f>VLOOKUP(Rapid[[#This Row],[Código]],BD_Produto[#All],7,FALSE)</f>
        <v>Fora de linha</v>
      </c>
      <c r="B112" s="22" t="str">
        <f>IF(OR(Rapid[[#This Row],[Status]]="Em linha",Rapid[[#This Row],[Status]]="Materia Prima",Rapid[[#This Row],[Status]]="Componente"),"ok",IF(Rapid[[#This Row],[Estoque+Importação]]&lt;1,"Tirar","ok"))</f>
        <v>ok</v>
      </c>
      <c r="C112" s="23">
        <v>33060114793</v>
      </c>
      <c r="D112" s="22" t="s">
        <v>1012</v>
      </c>
      <c r="E112" s="22" t="str">
        <f>VLOOKUP(Rapid[[#This Row],[Código]],BD_Produto[],3,FALSE)</f>
        <v>Grampeador de Mesa</v>
      </c>
      <c r="F112" s="22" t="str">
        <f>VLOOKUP(Rapid[[#This Row],[Código]],BD_Produto[],4,FALSE)</f>
        <v>Grampeador de Mesa</v>
      </c>
      <c r="G112" s="24"/>
      <c r="H112" s="25"/>
      <c r="I112" s="22"/>
      <c r="J112" s="24"/>
      <c r="K112" s="24" t="str">
        <f>IFERROR(VLOOKUP(Rapid[[#This Row],[Código]],Importação!P:R,3,FALSE),"")</f>
        <v/>
      </c>
      <c r="L112" s="24">
        <f>IFERROR(VLOOKUP(Rapid[[#This Row],[Código]],Saldo[],3,FALSE),0)</f>
        <v>89</v>
      </c>
      <c r="M112" s="24">
        <f>SUM(Rapid[[#This Row],[Produção]:[Estoque]])</f>
        <v>89</v>
      </c>
      <c r="N112" s="24" t="str">
        <f>IFERROR(Rapid[[#This Row],[Estoque+Importação]]/Rapid[[#This Row],[Proj. de V. No prox. mes]],"Sem Projeção")</f>
        <v>Sem Projeção</v>
      </c>
      <c r="O112" s="24" t="str">
        <f>IF(OR(Rapid[[#This Row],[Status]]="Em Linha",Rapid[[#This Row],[Status]]="Componente",Rapid[[#This Row],[Status]]="Materia Prima"),Rapid[[#This Row],[Proj. de V. No prox. mes]]*10,"-")</f>
        <v>-</v>
      </c>
      <c r="P11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2" s="75">
        <f>VLOOKUP(Rapid[[#This Row],[Código]],Projeção[#All],15,FALSE)</f>
        <v>0</v>
      </c>
      <c r="R112" s="39">
        <f>VLOOKUP(Rapid[[#This Row],[Código]],Projeção[#All],14,FALSE)</f>
        <v>0</v>
      </c>
      <c r="S112" s="39">
        <f>IFERROR(VLOOKUP(Rapid[[#This Row],[Código]],Venda_mes[],2,FALSE),0)</f>
        <v>0</v>
      </c>
      <c r="T112" s="44" t="str">
        <f>IFERROR(Rapid[[#This Row],[V. No mes]]/Rapid[[#This Row],[Proj. de V. No mes]],"")</f>
        <v/>
      </c>
      <c r="U112" s="43">
        <f>VLOOKUP(Rapid[[#This Row],[Código]],Projeção[#All],14,FALSE)+VLOOKUP(Rapid[[#This Row],[Código]],Projeção[#All],13,FALSE)+VLOOKUP(Rapid[[#This Row],[Código]],Projeção[#All],12,FALSE)</f>
        <v>0</v>
      </c>
      <c r="V112" s="39">
        <f>IFERROR(VLOOKUP(Rapid[[#This Row],[Código]],Venda_3meses[],2,FALSE),0)</f>
        <v>0</v>
      </c>
      <c r="W112" s="44" t="str">
        <f>IFERROR(Rapid[[#This Row],[V. 3 meses]]/Rapid[[#This Row],[Proj. de V. 3 meses]],"")</f>
        <v/>
      </c>
      <c r="X11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0.2</v>
      </c>
      <c r="Y112" s="39">
        <f>IFERROR(VLOOKUP(Rapid[[#This Row],[Código]],Venda_12meses[],2,FALSE),0)</f>
        <v>0</v>
      </c>
      <c r="Z112" s="44">
        <f>IFERROR(Rapid[[#This Row],[V. 12 meses]]/Rapid[[#This Row],[Proj. de V. 12 meses]],"")</f>
        <v>0</v>
      </c>
      <c r="AA112" s="22"/>
    </row>
    <row r="113" spans="1:27" x14ac:dyDescent="0.25">
      <c r="A113" s="22" t="str">
        <f>VLOOKUP(Rapid[[#This Row],[Código]],BD_Produto[#All],7,FALSE)</f>
        <v>Fora de linha</v>
      </c>
      <c r="B113" s="22" t="str">
        <f>IF(OR(Rapid[[#This Row],[Status]]="Em linha",Rapid[[#This Row],[Status]]="Materia Prima",Rapid[[#This Row],[Status]]="Componente"),"ok",IF(Rapid[[#This Row],[Estoque+Importação]]&lt;1,"Tirar","ok"))</f>
        <v>ok</v>
      </c>
      <c r="C113" s="23">
        <v>33060114947</v>
      </c>
      <c r="D113" s="22" t="s">
        <v>175</v>
      </c>
      <c r="E113" s="22" t="str">
        <f>VLOOKUP(Rapid[[#This Row],[Código]],BD_Produto[],3,FALSE)</f>
        <v>Grampeador Eletrico</v>
      </c>
      <c r="F113" s="22" t="str">
        <f>VLOOKUP(Rapid[[#This Row],[Código]],BD_Produto[],4,FALSE)</f>
        <v>Grampeador Eletrico</v>
      </c>
      <c r="G113" s="24"/>
      <c r="H113" s="25"/>
      <c r="I113" s="22"/>
      <c r="J113" s="24"/>
      <c r="K113" s="24" t="str">
        <f>IFERROR(VLOOKUP(Rapid[[#This Row],[Código]],Importação!P:R,3,FALSE),"")</f>
        <v/>
      </c>
      <c r="L113" s="24">
        <f>IFERROR(VLOOKUP(Rapid[[#This Row],[Código]],Saldo[],3,FALSE),0)</f>
        <v>11</v>
      </c>
      <c r="M113" s="24">
        <f>SUM(Rapid[[#This Row],[Produção]:[Estoque]])</f>
        <v>11</v>
      </c>
      <c r="N113" s="24" t="str">
        <f>IFERROR(Rapid[[#This Row],[Estoque+Importação]]/Rapid[[#This Row],[Proj. de V. No prox. mes]],"Sem Projeção")</f>
        <v>Sem Projeção</v>
      </c>
      <c r="O113" s="24" t="str">
        <f>IF(OR(Rapid[[#This Row],[Status]]="Em Linha",Rapid[[#This Row],[Status]]="Componente",Rapid[[#This Row],[Status]]="Materia Prima"),Rapid[[#This Row],[Proj. de V. No prox. mes]]*10,"-")</f>
        <v>-</v>
      </c>
      <c r="P11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3" s="75">
        <f>VLOOKUP(Rapid[[#This Row],[Código]],Projeção[#All],15,FALSE)</f>
        <v>0</v>
      </c>
      <c r="R113" s="39">
        <f>VLOOKUP(Rapid[[#This Row],[Código]],Projeção[#All],14,FALSE)</f>
        <v>0</v>
      </c>
      <c r="S113" s="39">
        <f>IFERROR(VLOOKUP(Rapid[[#This Row],[Código]],Venda_mes[],2,FALSE),0)</f>
        <v>0</v>
      </c>
      <c r="T113" s="44" t="str">
        <f>IFERROR(Rapid[[#This Row],[V. No mes]]/Rapid[[#This Row],[Proj. de V. No mes]],"")</f>
        <v/>
      </c>
      <c r="U113" s="43">
        <f>VLOOKUP(Rapid[[#This Row],[Código]],Projeção[#All],14,FALSE)+VLOOKUP(Rapid[[#This Row],[Código]],Projeção[#All],13,FALSE)+VLOOKUP(Rapid[[#This Row],[Código]],Projeção[#All],12,FALSE)</f>
        <v>0</v>
      </c>
      <c r="V113" s="39">
        <f>IFERROR(VLOOKUP(Rapid[[#This Row],[Código]],Venda_3meses[],2,FALSE),0)</f>
        <v>0</v>
      </c>
      <c r="W113" s="44" t="str">
        <f>IFERROR(Rapid[[#This Row],[V. 3 meses]]/Rapid[[#This Row],[Proj. de V. 3 meses]],"")</f>
        <v/>
      </c>
      <c r="X11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3" s="39">
        <f>IFERROR(VLOOKUP(Rapid[[#This Row],[Código]],Venda_12meses[],2,FALSE),0)</f>
        <v>0</v>
      </c>
      <c r="Z113" s="44" t="str">
        <f>IFERROR(Rapid[[#This Row],[V. 12 meses]]/Rapid[[#This Row],[Proj. de V. 12 meses]],"")</f>
        <v/>
      </c>
      <c r="AA113" s="22"/>
    </row>
    <row r="114" spans="1:27" x14ac:dyDescent="0.25">
      <c r="A114" s="22" t="str">
        <f>VLOOKUP(Rapid[[#This Row],[Código]],BD_Produto[#All],7,FALSE)</f>
        <v>Fora de linha</v>
      </c>
      <c r="B114" s="22" t="str">
        <f>IF(OR(Rapid[[#This Row],[Status]]="Em linha",Rapid[[#This Row],[Status]]="Materia Prima",Rapid[[#This Row],[Status]]="Componente"),"ok",IF(Rapid[[#This Row],[Estoque+Importação]]&lt;1,"Tirar","ok"))</f>
        <v>ok</v>
      </c>
      <c r="C114" s="23">
        <v>33060114880</v>
      </c>
      <c r="D114" s="22" t="s">
        <v>166</v>
      </c>
      <c r="E114" s="22" t="str">
        <f>VLOOKUP(Rapid[[#This Row],[Código]],BD_Produto[],3,FALSE)</f>
        <v>Grampeador Eletrico</v>
      </c>
      <c r="F114" s="22" t="str">
        <f>VLOOKUP(Rapid[[#This Row],[Código]],BD_Produto[],4,FALSE)</f>
        <v>Grampeador Eletrico</v>
      </c>
      <c r="G114" s="24"/>
      <c r="H114" s="25"/>
      <c r="I114" s="22"/>
      <c r="J114" s="24"/>
      <c r="K114" s="24" t="str">
        <f>IFERROR(VLOOKUP(Rapid[[#This Row],[Código]],Importação!P:R,3,FALSE),"")</f>
        <v/>
      </c>
      <c r="L114" s="24">
        <f>IFERROR(VLOOKUP(Rapid[[#This Row],[Código]],Saldo[],3,FALSE),0)</f>
        <v>23</v>
      </c>
      <c r="M114" s="24">
        <f>SUM(Rapid[[#This Row],[Produção]:[Estoque]])</f>
        <v>23</v>
      </c>
      <c r="N114" s="24" t="str">
        <f>IFERROR(Rapid[[#This Row],[Estoque+Importação]]/Rapid[[#This Row],[Proj. de V. No prox. mes]],"Sem Projeção")</f>
        <v>Sem Projeção</v>
      </c>
      <c r="O114" s="24" t="str">
        <f>IF(OR(Rapid[[#This Row],[Status]]="Em Linha",Rapid[[#This Row],[Status]]="Componente",Rapid[[#This Row],[Status]]="Materia Prima"),Rapid[[#This Row],[Proj. de V. No prox. mes]]*10,"-")</f>
        <v>-</v>
      </c>
      <c r="P11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4" s="75">
        <f>VLOOKUP(Rapid[[#This Row],[Código]],Projeção[#All],15,FALSE)</f>
        <v>0</v>
      </c>
      <c r="R114" s="39">
        <f>VLOOKUP(Rapid[[#This Row],[Código]],Projeção[#All],14,FALSE)</f>
        <v>0</v>
      </c>
      <c r="S114" s="39">
        <f>IFERROR(VLOOKUP(Rapid[[#This Row],[Código]],Venda_mes[],2,FALSE),0)</f>
        <v>0</v>
      </c>
      <c r="T114" s="44" t="str">
        <f>IFERROR(Rapid[[#This Row],[V. No mes]]/Rapid[[#This Row],[Proj. de V. No mes]],"")</f>
        <v/>
      </c>
      <c r="U114" s="43">
        <f>VLOOKUP(Rapid[[#This Row],[Código]],Projeção[#All],14,FALSE)+VLOOKUP(Rapid[[#This Row],[Código]],Projeção[#All],13,FALSE)+VLOOKUP(Rapid[[#This Row],[Código]],Projeção[#All],12,FALSE)</f>
        <v>0</v>
      </c>
      <c r="V114" s="39">
        <f>IFERROR(VLOOKUP(Rapid[[#This Row],[Código]],Venda_3meses[],2,FALSE),0)</f>
        <v>0</v>
      </c>
      <c r="W114" s="44" t="str">
        <f>IFERROR(Rapid[[#This Row],[V. 3 meses]]/Rapid[[#This Row],[Proj. de V. 3 meses]],"")</f>
        <v/>
      </c>
      <c r="X11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4" s="39">
        <f>IFERROR(VLOOKUP(Rapid[[#This Row],[Código]],Venda_12meses[],2,FALSE),0)</f>
        <v>0</v>
      </c>
      <c r="Z114" s="44" t="str">
        <f>IFERROR(Rapid[[#This Row],[V. 12 meses]]/Rapid[[#This Row],[Proj. de V. 12 meses]],"")</f>
        <v/>
      </c>
      <c r="AA114" s="22" t="s">
        <v>1691</v>
      </c>
    </row>
    <row r="115" spans="1:27" x14ac:dyDescent="0.25">
      <c r="A115" s="22" t="str">
        <f>VLOOKUP(Rapid[[#This Row],[Código]],BD_Produto[#All],7,FALSE)</f>
        <v>Fora de linha</v>
      </c>
      <c r="B115" s="22" t="str">
        <f>IF(OR(Rapid[[#This Row],[Status]]="Em linha",Rapid[[#This Row],[Status]]="Materia Prima",Rapid[[#This Row],[Status]]="Componente"),"ok",IF(Rapid[[#This Row],[Estoque+Importação]]&lt;1,"Tirar","ok"))</f>
        <v>ok</v>
      </c>
      <c r="C115" s="23">
        <v>33070144118</v>
      </c>
      <c r="D115" s="22" t="s">
        <v>520</v>
      </c>
      <c r="E115" s="22" t="str">
        <f>VLOOKUP(Rapid[[#This Row],[Código]],BD_Produto[],3,FALSE)</f>
        <v>Grampeador Martelo</v>
      </c>
      <c r="F115" s="22" t="str">
        <f>VLOOKUP(Rapid[[#This Row],[Código]],BD_Produto[],4,FALSE)</f>
        <v>Grampeador Martelo</v>
      </c>
      <c r="G115" s="24"/>
      <c r="H115" s="25"/>
      <c r="I115" s="22"/>
      <c r="J115" s="24"/>
      <c r="K115" s="24" t="str">
        <f>IFERROR(VLOOKUP(Rapid[[#This Row],[Código]],Importação!P:R,3,FALSE),"")</f>
        <v/>
      </c>
      <c r="L115" s="24">
        <f>IFERROR(VLOOKUP(Rapid[[#This Row],[Código]],Saldo[],3,FALSE),0)</f>
        <v>10</v>
      </c>
      <c r="M115" s="24">
        <f>SUM(Rapid[[#This Row],[Produção]:[Estoque]])</f>
        <v>10</v>
      </c>
      <c r="N115" s="24" t="str">
        <f>IFERROR(Rapid[[#This Row],[Estoque+Importação]]/Rapid[[#This Row],[Proj. de V. No prox. mes]],"Sem Projeção")</f>
        <v>Sem Projeção</v>
      </c>
      <c r="O115" s="24" t="str">
        <f>IF(OR(Rapid[[#This Row],[Status]]="Em Linha",Rapid[[#This Row],[Status]]="Componente",Rapid[[#This Row],[Status]]="Materia Prima"),Rapid[[#This Row],[Proj. de V. No prox. mes]]*10,"-")</f>
        <v>-</v>
      </c>
      <c r="P11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5" s="75">
        <f>VLOOKUP(Rapid[[#This Row],[Código]],Projeção[#All],15,FALSE)</f>
        <v>0</v>
      </c>
      <c r="R115" s="39">
        <f>VLOOKUP(Rapid[[#This Row],[Código]],Projeção[#All],14,FALSE)</f>
        <v>0</v>
      </c>
      <c r="S115" s="39">
        <f>IFERROR(VLOOKUP(Rapid[[#This Row],[Código]],Venda_mes[],2,FALSE),0)</f>
        <v>0</v>
      </c>
      <c r="T115" s="44" t="str">
        <f>IFERROR(Rapid[[#This Row],[V. No mes]]/Rapid[[#This Row],[Proj. de V. No mes]],"")</f>
        <v/>
      </c>
      <c r="U115" s="43">
        <f>VLOOKUP(Rapid[[#This Row],[Código]],Projeção[#All],14,FALSE)+VLOOKUP(Rapid[[#This Row],[Código]],Projeção[#All],13,FALSE)+VLOOKUP(Rapid[[#This Row],[Código]],Projeção[#All],12,FALSE)</f>
        <v>0</v>
      </c>
      <c r="V115" s="39">
        <f>IFERROR(VLOOKUP(Rapid[[#This Row],[Código]],Venda_3meses[],2,FALSE),0)</f>
        <v>0</v>
      </c>
      <c r="W115" s="44" t="str">
        <f>IFERROR(Rapid[[#This Row],[V. 3 meses]]/Rapid[[#This Row],[Proj. de V. 3 meses]],"")</f>
        <v/>
      </c>
      <c r="X11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5" s="39">
        <f>IFERROR(VLOOKUP(Rapid[[#This Row],[Código]],Venda_12meses[],2,FALSE),0)</f>
        <v>0</v>
      </c>
      <c r="Z115" s="44" t="str">
        <f>IFERROR(Rapid[[#This Row],[V. 12 meses]]/Rapid[[#This Row],[Proj. de V. 12 meses]],"")</f>
        <v/>
      </c>
      <c r="AA115" s="22"/>
    </row>
    <row r="116" spans="1:27" x14ac:dyDescent="0.25">
      <c r="A116" s="22" t="str">
        <f>VLOOKUP(Rapid[[#This Row],[Código]],BD_Produto[#All],7,FALSE)</f>
        <v>Fora de linha</v>
      </c>
      <c r="B116" s="22" t="str">
        <f>IF(OR(Rapid[[#This Row],[Status]]="Em linha",Rapid[[#This Row],[Status]]="Materia Prima",Rapid[[#This Row],[Status]]="Componente"),"ok",IF(Rapid[[#This Row],[Estoque+Importação]]&lt;1,"Tirar","ok"))</f>
        <v>ok</v>
      </c>
      <c r="C116" s="23">
        <v>33070114631</v>
      </c>
      <c r="D116" s="22" t="s">
        <v>492</v>
      </c>
      <c r="E116" s="22" t="str">
        <f>VLOOKUP(Rapid[[#This Row],[Código]],BD_Produto[],3,FALSE)</f>
        <v>Grampeador Pistola</v>
      </c>
      <c r="F116" s="22" t="str">
        <f>VLOOKUP(Rapid[[#This Row],[Código]],BD_Produto[],4,FALSE)</f>
        <v>Grampeador Pistola</v>
      </c>
      <c r="G116" s="24"/>
      <c r="H116" s="25"/>
      <c r="I116" s="22"/>
      <c r="J116" s="24"/>
      <c r="K116" s="24" t="str">
        <f>IFERROR(VLOOKUP(Rapid[[#This Row],[Código]],Importação!P:R,3,FALSE),"")</f>
        <v/>
      </c>
      <c r="L116" s="24">
        <f>IFERROR(VLOOKUP(Rapid[[#This Row],[Código]],Saldo[],3,FALSE),0)</f>
        <v>7</v>
      </c>
      <c r="M116" s="24">
        <f>SUM(Rapid[[#This Row],[Produção]:[Estoque]])</f>
        <v>7</v>
      </c>
      <c r="N116" s="24" t="str">
        <f>IFERROR(Rapid[[#This Row],[Estoque+Importação]]/Rapid[[#This Row],[Proj. de V. No prox. mes]],"Sem Projeção")</f>
        <v>Sem Projeção</v>
      </c>
      <c r="O116" s="24" t="str">
        <f>IF(OR(Rapid[[#This Row],[Status]]="Em Linha",Rapid[[#This Row],[Status]]="Componente",Rapid[[#This Row],[Status]]="Materia Prima"),Rapid[[#This Row],[Proj. de V. No prox. mes]]*10,"-")</f>
        <v>-</v>
      </c>
      <c r="P11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6" s="75">
        <f>VLOOKUP(Rapid[[#This Row],[Código]],Projeção[#All],15,FALSE)</f>
        <v>0</v>
      </c>
      <c r="R116" s="39">
        <f>VLOOKUP(Rapid[[#This Row],[Código]],Projeção[#All],14,FALSE)</f>
        <v>0</v>
      </c>
      <c r="S116" s="39">
        <f>IFERROR(VLOOKUP(Rapid[[#This Row],[Código]],Venda_mes[],2,FALSE),0)</f>
        <v>0</v>
      </c>
      <c r="T116" s="44" t="str">
        <f>IFERROR(Rapid[[#This Row],[V. No mes]]/Rapid[[#This Row],[Proj. de V. No mes]],"")</f>
        <v/>
      </c>
      <c r="U116" s="43">
        <f>VLOOKUP(Rapid[[#This Row],[Código]],Projeção[#All],14,FALSE)+VLOOKUP(Rapid[[#This Row],[Código]],Projeção[#All],13,FALSE)+VLOOKUP(Rapid[[#This Row],[Código]],Projeção[#All],12,FALSE)</f>
        <v>0</v>
      </c>
      <c r="V116" s="39">
        <f>IFERROR(VLOOKUP(Rapid[[#This Row],[Código]],Venda_3meses[],2,FALSE),0)</f>
        <v>0</v>
      </c>
      <c r="W116" s="44" t="str">
        <f>IFERROR(Rapid[[#This Row],[V. 3 meses]]/Rapid[[#This Row],[Proj. de V. 3 meses]],"")</f>
        <v/>
      </c>
      <c r="X11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6" s="39">
        <f>IFERROR(VLOOKUP(Rapid[[#This Row],[Código]],Venda_12meses[],2,FALSE),0)</f>
        <v>0</v>
      </c>
      <c r="Z116" s="44" t="str">
        <f>IFERROR(Rapid[[#This Row],[V. 12 meses]]/Rapid[[#This Row],[Proj. de V. 12 meses]],"")</f>
        <v/>
      </c>
      <c r="AA116" s="22"/>
    </row>
    <row r="117" spans="1:27" x14ac:dyDescent="0.25">
      <c r="A117" s="22" t="str">
        <f>VLOOKUP(Rapid[[#This Row],[Código]],BD_Produto[#All],7,FALSE)</f>
        <v>Fora de linha</v>
      </c>
      <c r="B117" s="22" t="str">
        <f>IF(OR(Rapid[[#This Row],[Status]]="Em linha",Rapid[[#This Row],[Status]]="Materia Prima",Rapid[[#This Row],[Status]]="Componente"),"ok",IF(Rapid[[#This Row],[Estoque+Importação]]&lt;1,"Tirar","ok"))</f>
        <v>ok</v>
      </c>
      <c r="C117" s="23">
        <v>33070144127</v>
      </c>
      <c r="D117" s="22" t="s">
        <v>521</v>
      </c>
      <c r="E117" s="22" t="str">
        <f>VLOOKUP(Rapid[[#This Row],[Código]],BD_Produto[],3,FALSE)</f>
        <v>Grampeador Pistola</v>
      </c>
      <c r="F117" s="22" t="str">
        <f>VLOOKUP(Rapid[[#This Row],[Código]],BD_Produto[],4,FALSE)</f>
        <v>Grampeador Pistola</v>
      </c>
      <c r="G117" s="24"/>
      <c r="H117" s="25"/>
      <c r="I117" s="22"/>
      <c r="J117" s="24"/>
      <c r="K117" s="24" t="str">
        <f>IFERROR(VLOOKUP(Rapid[[#This Row],[Código]],Importação!P:R,3,FALSE),"")</f>
        <v/>
      </c>
      <c r="L117" s="24">
        <f>IFERROR(VLOOKUP(Rapid[[#This Row],[Código]],Saldo[],3,FALSE),0)</f>
        <v>115</v>
      </c>
      <c r="M117" s="24">
        <f>SUM(Rapid[[#This Row],[Produção]:[Estoque]])</f>
        <v>115</v>
      </c>
      <c r="N117" s="24" t="str">
        <f>IFERROR(Rapid[[#This Row],[Estoque+Importação]]/Rapid[[#This Row],[Proj. de V. No prox. mes]],"Sem Projeção")</f>
        <v>Sem Projeção</v>
      </c>
      <c r="O117" s="24" t="str">
        <f>IF(OR(Rapid[[#This Row],[Status]]="Em Linha",Rapid[[#This Row],[Status]]="Componente",Rapid[[#This Row],[Status]]="Materia Prima"),Rapid[[#This Row],[Proj. de V. No prox. mes]]*10,"-")</f>
        <v>-</v>
      </c>
      <c r="P11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7" s="83">
        <f>VLOOKUP(Rapid[[#This Row],[Código]],Projeção[#All],15,FALSE)</f>
        <v>0</v>
      </c>
      <c r="R117" s="39">
        <f>VLOOKUP(Rapid[[#This Row],[Código]],Projeção[#All],14,FALSE)</f>
        <v>0</v>
      </c>
      <c r="S117" s="39">
        <f>IFERROR(VLOOKUP(Rapid[[#This Row],[Código]],Venda_mes[],2,FALSE),0)</f>
        <v>0</v>
      </c>
      <c r="T117" s="45" t="str">
        <f>IFERROR(Rapid[[#This Row],[V. No mes]]/Rapid[[#This Row],[Proj. de V. No mes]],"")</f>
        <v/>
      </c>
      <c r="U117" s="39">
        <f>VLOOKUP(Rapid[[#This Row],[Código]],Projeção[#All],14,FALSE)+VLOOKUP(Rapid[[#This Row],[Código]],Projeção[#All],13,FALSE)+VLOOKUP(Rapid[[#This Row],[Código]],Projeção[#All],12,FALSE)</f>
        <v>0</v>
      </c>
      <c r="V117" s="39">
        <f>IFERROR(VLOOKUP(Rapid[[#This Row],[Código]],Venda_3meses[],2,FALSE),0)</f>
        <v>0</v>
      </c>
      <c r="W117" s="45" t="str">
        <f>IFERROR(Rapid[[#This Row],[V. 3 meses]]/Rapid[[#This Row],[Proj. de V. 3 meses]],"")</f>
        <v/>
      </c>
      <c r="X117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7" s="39">
        <f>IFERROR(VLOOKUP(Rapid[[#This Row],[Código]],Venda_12meses[],2,FALSE),0)</f>
        <v>0</v>
      </c>
      <c r="Z117" s="45" t="str">
        <f>IFERROR(Rapid[[#This Row],[V. 12 meses]]/Rapid[[#This Row],[Proj. de V. 12 meses]],"")</f>
        <v/>
      </c>
      <c r="AA117" s="22"/>
    </row>
    <row r="118" spans="1:27" x14ac:dyDescent="0.25">
      <c r="A118" s="22" t="str">
        <f>VLOOKUP(Rapid[[#This Row],[Código]],BD_Produto[#All],7,FALSE)</f>
        <v>Fora de linha</v>
      </c>
      <c r="B118" s="22" t="str">
        <f>IF(OR(Rapid[[#This Row],[Status]]="Em linha",Rapid[[#This Row],[Status]]="Materia Prima",Rapid[[#This Row],[Status]]="Componente"),"ok",IF(Rapid[[#This Row],[Estoque+Importação]]&lt;1,"Tirar","ok"))</f>
        <v>ok</v>
      </c>
      <c r="C118" s="23">
        <v>33070114632</v>
      </c>
      <c r="D118" s="22" t="s">
        <v>493</v>
      </c>
      <c r="E118" s="22" t="str">
        <f>VLOOKUP(Rapid[[#This Row],[Código]],BD_Produto[],3,FALSE)</f>
        <v>Grampeador Pistola</v>
      </c>
      <c r="F118" s="22" t="str">
        <f>VLOOKUP(Rapid[[#This Row],[Código]],BD_Produto[],4,FALSE)</f>
        <v>Grampeador Pistola</v>
      </c>
      <c r="G118" s="24"/>
      <c r="H118" s="25"/>
      <c r="I118" s="22"/>
      <c r="J118" s="24"/>
      <c r="K118" s="24" t="str">
        <f>IFERROR(VLOOKUP(Rapid[[#This Row],[Código]],Importação!P:R,3,FALSE),"")</f>
        <v/>
      </c>
      <c r="L118" s="24">
        <f>IFERROR(VLOOKUP(Rapid[[#This Row],[Código]],Saldo[],3,FALSE),0)</f>
        <v>8</v>
      </c>
      <c r="M118" s="24">
        <f>SUM(Rapid[[#This Row],[Produção]:[Estoque]])</f>
        <v>8</v>
      </c>
      <c r="N118" s="24" t="str">
        <f>IFERROR(Rapid[[#This Row],[Estoque+Importação]]/Rapid[[#This Row],[Proj. de V. No prox. mes]],"Sem Projeção")</f>
        <v>Sem Projeção</v>
      </c>
      <c r="O118" s="24" t="str">
        <f>IF(OR(Rapid[[#This Row],[Status]]="Em Linha",Rapid[[#This Row],[Status]]="Componente",Rapid[[#This Row],[Status]]="Materia Prima"),Rapid[[#This Row],[Proj. de V. No prox. mes]]*10,"-")</f>
        <v>-</v>
      </c>
      <c r="P11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8" s="75">
        <f>VLOOKUP(Rapid[[#This Row],[Código]],Projeção[#All],15,FALSE)</f>
        <v>0</v>
      </c>
      <c r="R118" s="39">
        <f>VLOOKUP(Rapid[[#This Row],[Código]],Projeção[#All],14,FALSE)</f>
        <v>0</v>
      </c>
      <c r="S118" s="39">
        <f>IFERROR(VLOOKUP(Rapid[[#This Row],[Código]],Venda_mes[],2,FALSE),0)</f>
        <v>0</v>
      </c>
      <c r="T118" s="44" t="str">
        <f>IFERROR(Rapid[[#This Row],[V. No mes]]/Rapid[[#This Row],[Proj. de V. No mes]],"")</f>
        <v/>
      </c>
      <c r="U118" s="43">
        <f>VLOOKUP(Rapid[[#This Row],[Código]],Projeção[#All],14,FALSE)+VLOOKUP(Rapid[[#This Row],[Código]],Projeção[#All],13,FALSE)+VLOOKUP(Rapid[[#This Row],[Código]],Projeção[#All],12,FALSE)</f>
        <v>0</v>
      </c>
      <c r="V118" s="39">
        <f>IFERROR(VLOOKUP(Rapid[[#This Row],[Código]],Venda_3meses[],2,FALSE),0)</f>
        <v>0</v>
      </c>
      <c r="W118" s="44" t="str">
        <f>IFERROR(Rapid[[#This Row],[V. 3 meses]]/Rapid[[#This Row],[Proj. de V. 3 meses]],"")</f>
        <v/>
      </c>
      <c r="X11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8" s="39">
        <f>IFERROR(VLOOKUP(Rapid[[#This Row],[Código]],Venda_12meses[],2,FALSE),0)</f>
        <v>0</v>
      </c>
      <c r="Z118" s="44" t="str">
        <f>IFERROR(Rapid[[#This Row],[V. 12 meses]]/Rapid[[#This Row],[Proj. de V. 12 meses]],"")</f>
        <v/>
      </c>
      <c r="AA118" s="22"/>
    </row>
    <row r="119" spans="1:27" x14ac:dyDescent="0.25">
      <c r="A119" s="22" t="str">
        <f>VLOOKUP(Rapid[[#This Row],[Código]],BD_Produto[#All],7,FALSE)</f>
        <v>Fora de linha</v>
      </c>
      <c r="B119" s="22" t="str">
        <f>IF(OR(Rapid[[#This Row],[Status]]="Em linha",Rapid[[#This Row],[Status]]="Materia Prima",Rapid[[#This Row],[Status]]="Componente"),"ok",IF(Rapid[[#This Row],[Estoque+Importação]]&lt;1,"Tirar","ok"))</f>
        <v>ok</v>
      </c>
      <c r="C119" s="23">
        <v>33070114936</v>
      </c>
      <c r="D119" s="22" t="s">
        <v>498</v>
      </c>
      <c r="E119" s="22" t="str">
        <f>VLOOKUP(Rapid[[#This Row],[Código]],BD_Produto[],3,FALSE)</f>
        <v>Grampeador ??</v>
      </c>
      <c r="F119" s="22" t="str">
        <f>VLOOKUP(Rapid[[#This Row],[Código]],BD_Produto[],4,FALSE)</f>
        <v>Grampeador ??</v>
      </c>
      <c r="G119" s="24"/>
      <c r="H119" s="25"/>
      <c r="I119" s="22"/>
      <c r="J119" s="24"/>
      <c r="K119" s="24" t="str">
        <f>IFERROR(VLOOKUP(Rapid[[#This Row],[Código]],Importação!P:R,3,FALSE),"")</f>
        <v/>
      </c>
      <c r="L119" s="24">
        <f>IFERROR(VLOOKUP(Rapid[[#This Row],[Código]],Saldo[],3,FALSE),0)</f>
        <v>14</v>
      </c>
      <c r="M119" s="24">
        <f>SUM(Rapid[[#This Row],[Produção]:[Estoque]])</f>
        <v>14</v>
      </c>
      <c r="N119" s="24" t="str">
        <f>IFERROR(Rapid[[#This Row],[Estoque+Importação]]/Rapid[[#This Row],[Proj. de V. No prox. mes]],"Sem Projeção")</f>
        <v>Sem Projeção</v>
      </c>
      <c r="O119" s="24" t="str">
        <f>IF(OR(Rapid[[#This Row],[Status]]="Em Linha",Rapid[[#This Row],[Status]]="Componente",Rapid[[#This Row],[Status]]="Materia Prima"),Rapid[[#This Row],[Proj. de V. No prox. mes]]*10,"-")</f>
        <v>-</v>
      </c>
      <c r="P11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19" s="75">
        <f>VLOOKUP(Rapid[[#This Row],[Código]],Projeção[#All],15,FALSE)</f>
        <v>0</v>
      </c>
      <c r="R119" s="39">
        <f>VLOOKUP(Rapid[[#This Row],[Código]],Projeção[#All],14,FALSE)</f>
        <v>0</v>
      </c>
      <c r="S119" s="39">
        <f>IFERROR(VLOOKUP(Rapid[[#This Row],[Código]],Venda_mes[],2,FALSE),0)</f>
        <v>0</v>
      </c>
      <c r="T119" s="44" t="str">
        <f>IFERROR(Rapid[[#This Row],[V. No mes]]/Rapid[[#This Row],[Proj. de V. No mes]],"")</f>
        <v/>
      </c>
      <c r="U119" s="43">
        <f>VLOOKUP(Rapid[[#This Row],[Código]],Projeção[#All],14,FALSE)+VLOOKUP(Rapid[[#This Row],[Código]],Projeção[#All],13,FALSE)+VLOOKUP(Rapid[[#This Row],[Código]],Projeção[#All],12,FALSE)</f>
        <v>0</v>
      </c>
      <c r="V119" s="39">
        <f>IFERROR(VLOOKUP(Rapid[[#This Row],[Código]],Venda_3meses[],2,FALSE),0)</f>
        <v>0</v>
      </c>
      <c r="W119" s="44" t="str">
        <f>IFERROR(Rapid[[#This Row],[V. 3 meses]]/Rapid[[#This Row],[Proj. de V. 3 meses]],"")</f>
        <v/>
      </c>
      <c r="X11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19" s="39">
        <f>IFERROR(VLOOKUP(Rapid[[#This Row],[Código]],Venda_12meses[],2,FALSE),0)</f>
        <v>0</v>
      </c>
      <c r="Z119" s="44" t="str">
        <f>IFERROR(Rapid[[#This Row],[V. 12 meses]]/Rapid[[#This Row],[Proj. de V. 12 meses]],"")</f>
        <v/>
      </c>
      <c r="AA119" s="22" t="s">
        <v>1686</v>
      </c>
    </row>
    <row r="120" spans="1:27" x14ac:dyDescent="0.25">
      <c r="A120" s="22" t="str">
        <f>VLOOKUP(Rapid[[#This Row],[Código]],BD_Produto[#All],7,FALSE)</f>
        <v>Fora de linha</v>
      </c>
      <c r="B120" s="22" t="str">
        <f>IF(OR(Rapid[[#This Row],[Status]]="Em linha",Rapid[[#This Row],[Status]]="Materia Prima",Rapid[[#This Row],[Status]]="Componente"),"ok",IF(Rapid[[#This Row],[Estoque+Importação]]&lt;1,"Tirar","ok"))</f>
        <v>ok</v>
      </c>
      <c r="C120" s="23">
        <v>33070514949</v>
      </c>
      <c r="D120" s="22" t="s">
        <v>559</v>
      </c>
      <c r="E120" s="22" t="str">
        <f>VLOOKUP(Rapid[[#This Row],[Código]],BD_Produto[],3,FALSE)</f>
        <v>Grampo</v>
      </c>
      <c r="F120" s="22" t="str">
        <f>VLOOKUP(Rapid[[#This Row],[Código]],BD_Produto[],4,FALSE)</f>
        <v>Grampeador Pistola</v>
      </c>
      <c r="G120" s="24"/>
      <c r="H120" s="25"/>
      <c r="I120" s="22"/>
      <c r="J120" s="24"/>
      <c r="K120" s="24" t="str">
        <f>IFERROR(VLOOKUP(Rapid[[#This Row],[Código]],Importação!P:R,3,FALSE),"")</f>
        <v/>
      </c>
      <c r="L120" s="24">
        <f>IFERROR(VLOOKUP(Rapid[[#This Row],[Código]],Saldo[],3,FALSE),0)</f>
        <v>46</v>
      </c>
      <c r="M120" s="24">
        <f>SUM(Rapid[[#This Row],[Produção]:[Estoque]])</f>
        <v>46</v>
      </c>
      <c r="N120" s="24" t="str">
        <f>IFERROR(Rapid[[#This Row],[Estoque+Importação]]/Rapid[[#This Row],[Proj. de V. No prox. mes]],"Sem Projeção")</f>
        <v>Sem Projeção</v>
      </c>
      <c r="O120" s="24" t="str">
        <f>IF(OR(Rapid[[#This Row],[Status]]="Em Linha",Rapid[[#This Row],[Status]]="Componente",Rapid[[#This Row],[Status]]="Materia Prima"),Rapid[[#This Row],[Proj. de V. No prox. mes]]*10,"-")</f>
        <v>-</v>
      </c>
      <c r="P12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0" s="75">
        <f>VLOOKUP(Rapid[[#This Row],[Código]],Projeção[#All],15,FALSE)</f>
        <v>0</v>
      </c>
      <c r="R120" s="39">
        <f>VLOOKUP(Rapid[[#This Row],[Código]],Projeção[#All],14,FALSE)</f>
        <v>0</v>
      </c>
      <c r="S120" s="39">
        <f>IFERROR(VLOOKUP(Rapid[[#This Row],[Código]],Venda_mes[],2,FALSE),0)</f>
        <v>0</v>
      </c>
      <c r="T120" s="44" t="str">
        <f>IFERROR(Rapid[[#This Row],[V. No mes]]/Rapid[[#This Row],[Proj. de V. No mes]],"")</f>
        <v/>
      </c>
      <c r="U120" s="43">
        <f>VLOOKUP(Rapid[[#This Row],[Código]],Projeção[#All],14,FALSE)+VLOOKUP(Rapid[[#This Row],[Código]],Projeção[#All],13,FALSE)+VLOOKUP(Rapid[[#This Row],[Código]],Projeção[#All],12,FALSE)</f>
        <v>0</v>
      </c>
      <c r="V120" s="39">
        <f>IFERROR(VLOOKUP(Rapid[[#This Row],[Código]],Venda_3meses[],2,FALSE),0)</f>
        <v>0</v>
      </c>
      <c r="W120" s="44" t="str">
        <f>IFERROR(Rapid[[#This Row],[V. 3 meses]]/Rapid[[#This Row],[Proj. de V. 3 meses]],"")</f>
        <v/>
      </c>
      <c r="X12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0" s="39">
        <f>IFERROR(VLOOKUP(Rapid[[#This Row],[Código]],Venda_12meses[],2,FALSE),0)</f>
        <v>0</v>
      </c>
      <c r="Z120" s="44" t="str">
        <f>IFERROR(Rapid[[#This Row],[V. 12 meses]]/Rapid[[#This Row],[Proj. de V. 12 meses]],"")</f>
        <v/>
      </c>
      <c r="AA120" s="22"/>
    </row>
    <row r="121" spans="1:27" x14ac:dyDescent="0.25">
      <c r="A121" s="22" t="str">
        <f>VLOOKUP(Rapid[[#This Row],[Código]],BD_Produto[#All],7,FALSE)</f>
        <v>Fora de linha</v>
      </c>
      <c r="B121" s="22" t="str">
        <f>IF(OR(Rapid[[#This Row],[Status]]="Em linha",Rapid[[#This Row],[Status]]="Materia Prima",Rapid[[#This Row],[Status]]="Componente"),"ok",IF(Rapid[[#This Row],[Estoque+Importação]]&lt;1,"Tirar","ok"))</f>
        <v>ok</v>
      </c>
      <c r="C121" s="23">
        <v>33070514948</v>
      </c>
      <c r="D121" s="22" t="s">
        <v>558</v>
      </c>
      <c r="E121" s="22" t="str">
        <f>VLOOKUP(Rapid[[#This Row],[Código]],BD_Produto[],3,FALSE)</f>
        <v>Grampo</v>
      </c>
      <c r="F121" s="22" t="str">
        <f>VLOOKUP(Rapid[[#This Row],[Código]],BD_Produto[],4,FALSE)</f>
        <v>Grampeador Pistola</v>
      </c>
      <c r="G121" s="24"/>
      <c r="H121" s="25"/>
      <c r="I121" s="22"/>
      <c r="J121" s="24"/>
      <c r="K121" s="24" t="str">
        <f>IFERROR(VLOOKUP(Rapid[[#This Row],[Código]],Importação!P:R,3,FALSE),"")</f>
        <v/>
      </c>
      <c r="L121" s="24">
        <f>IFERROR(VLOOKUP(Rapid[[#This Row],[Código]],Saldo[],3,FALSE),0)</f>
        <v>46</v>
      </c>
      <c r="M121" s="24">
        <f>SUM(Rapid[[#This Row],[Produção]:[Estoque]])</f>
        <v>46</v>
      </c>
      <c r="N121" s="24" t="str">
        <f>IFERROR(Rapid[[#This Row],[Estoque+Importação]]/Rapid[[#This Row],[Proj. de V. No prox. mes]],"Sem Projeção")</f>
        <v>Sem Projeção</v>
      </c>
      <c r="O121" s="24" t="str">
        <f>IF(OR(Rapid[[#This Row],[Status]]="Em Linha",Rapid[[#This Row],[Status]]="Componente",Rapid[[#This Row],[Status]]="Materia Prima"),Rapid[[#This Row],[Proj. de V. No prox. mes]]*10,"-")</f>
        <v>-</v>
      </c>
      <c r="P12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1" s="83">
        <f>VLOOKUP(Rapid[[#This Row],[Código]],Projeção[#All],15,FALSE)</f>
        <v>0</v>
      </c>
      <c r="R121" s="39">
        <f>VLOOKUP(Rapid[[#This Row],[Código]],Projeção[#All],14,FALSE)</f>
        <v>0</v>
      </c>
      <c r="S121" s="39">
        <f>IFERROR(VLOOKUP(Rapid[[#This Row],[Código]],Venda_mes[],2,FALSE),0)</f>
        <v>0</v>
      </c>
      <c r="T121" s="45" t="str">
        <f>IFERROR(Rapid[[#This Row],[V. No mes]]/Rapid[[#This Row],[Proj. de V. No mes]],"")</f>
        <v/>
      </c>
      <c r="U121" s="39">
        <f>VLOOKUP(Rapid[[#This Row],[Código]],Projeção[#All],14,FALSE)+VLOOKUP(Rapid[[#This Row],[Código]],Projeção[#All],13,FALSE)+VLOOKUP(Rapid[[#This Row],[Código]],Projeção[#All],12,FALSE)</f>
        <v>0</v>
      </c>
      <c r="V121" s="39">
        <f>IFERROR(VLOOKUP(Rapid[[#This Row],[Código]],Venda_3meses[],2,FALSE),0)</f>
        <v>0</v>
      </c>
      <c r="W121" s="45" t="str">
        <f>IFERROR(Rapid[[#This Row],[V. 3 meses]]/Rapid[[#This Row],[Proj. de V. 3 meses]],"")</f>
        <v/>
      </c>
      <c r="X121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1" s="39">
        <f>IFERROR(VLOOKUP(Rapid[[#This Row],[Código]],Venda_12meses[],2,FALSE),0)</f>
        <v>0</v>
      </c>
      <c r="Z121" s="45" t="str">
        <f>IFERROR(Rapid[[#This Row],[V. 12 meses]]/Rapid[[#This Row],[Proj. de V. 12 meses]],"")</f>
        <v/>
      </c>
      <c r="AA121" s="22"/>
    </row>
    <row r="122" spans="1:27" x14ac:dyDescent="0.25">
      <c r="A122" s="22" t="str">
        <f>VLOOKUP(Rapid[[#This Row],[Código]],BD_Produto[#All],7,FALSE)</f>
        <v>Fora de linha</v>
      </c>
      <c r="B122" s="22" t="str">
        <f>IF(OR(Rapid[[#This Row],[Status]]="Em linha",Rapid[[#This Row],[Status]]="Materia Prima",Rapid[[#This Row],[Status]]="Componente"),"ok",IF(Rapid[[#This Row],[Estoque+Importação]]&lt;1,"Tirar","ok"))</f>
        <v>ok</v>
      </c>
      <c r="C122" s="23">
        <v>33070514954</v>
      </c>
      <c r="D122" s="22" t="s">
        <v>563</v>
      </c>
      <c r="E122" s="22" t="str">
        <f>VLOOKUP(Rapid[[#This Row],[Código]],BD_Produto[],3,FALSE)</f>
        <v>Grampo</v>
      </c>
      <c r="F122" s="22" t="str">
        <f>VLOOKUP(Rapid[[#This Row],[Código]],BD_Produto[],4,FALSE)</f>
        <v>Grampeador Pistola</v>
      </c>
      <c r="G122" s="24"/>
      <c r="H122" s="25"/>
      <c r="I122" s="22"/>
      <c r="J122" s="24"/>
      <c r="K122" s="24" t="str">
        <f>IFERROR(VLOOKUP(Rapid[[#This Row],[Código]],Importação!P:R,3,FALSE),"")</f>
        <v/>
      </c>
      <c r="L122" s="24">
        <f>IFERROR(VLOOKUP(Rapid[[#This Row],[Código]],Saldo[],3,FALSE),0)</f>
        <v>45</v>
      </c>
      <c r="M122" s="24">
        <f>SUM(Rapid[[#This Row],[Produção]:[Estoque]])</f>
        <v>45</v>
      </c>
      <c r="N122" s="24" t="str">
        <f>IFERROR(Rapid[[#This Row],[Estoque+Importação]]/Rapid[[#This Row],[Proj. de V. No prox. mes]],"Sem Projeção")</f>
        <v>Sem Projeção</v>
      </c>
      <c r="O122" s="24" t="str">
        <f>IF(OR(Rapid[[#This Row],[Status]]="Em Linha",Rapid[[#This Row],[Status]]="Componente",Rapid[[#This Row],[Status]]="Materia Prima"),Rapid[[#This Row],[Proj. de V. No prox. mes]]*10,"-")</f>
        <v>-</v>
      </c>
      <c r="P12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2" s="75">
        <f>VLOOKUP(Rapid[[#This Row],[Código]],Projeção[#All],15,FALSE)</f>
        <v>0</v>
      </c>
      <c r="R122" s="39">
        <f>VLOOKUP(Rapid[[#This Row],[Código]],Projeção[#All],14,FALSE)</f>
        <v>0</v>
      </c>
      <c r="S122" s="39">
        <f>IFERROR(VLOOKUP(Rapid[[#This Row],[Código]],Venda_mes[],2,FALSE),0)</f>
        <v>0</v>
      </c>
      <c r="T122" s="44" t="str">
        <f>IFERROR(Rapid[[#This Row],[V. No mes]]/Rapid[[#This Row],[Proj. de V. No mes]],"")</f>
        <v/>
      </c>
      <c r="U122" s="43">
        <f>VLOOKUP(Rapid[[#This Row],[Código]],Projeção[#All],14,FALSE)+VLOOKUP(Rapid[[#This Row],[Código]],Projeção[#All],13,FALSE)+VLOOKUP(Rapid[[#This Row],[Código]],Projeção[#All],12,FALSE)</f>
        <v>0</v>
      </c>
      <c r="V122" s="39">
        <f>IFERROR(VLOOKUP(Rapid[[#This Row],[Código]],Venda_3meses[],2,FALSE),0)</f>
        <v>0</v>
      </c>
      <c r="W122" s="44" t="str">
        <f>IFERROR(Rapid[[#This Row],[V. 3 meses]]/Rapid[[#This Row],[Proj. de V. 3 meses]],"")</f>
        <v/>
      </c>
      <c r="X12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2" s="39">
        <f>IFERROR(VLOOKUP(Rapid[[#This Row],[Código]],Venda_12meses[],2,FALSE),0)</f>
        <v>0</v>
      </c>
      <c r="Z122" s="44" t="str">
        <f>IFERROR(Rapid[[#This Row],[V. 12 meses]]/Rapid[[#This Row],[Proj. de V. 12 meses]],"")</f>
        <v/>
      </c>
      <c r="AA122" s="22" t="s">
        <v>1686</v>
      </c>
    </row>
    <row r="123" spans="1:27" x14ac:dyDescent="0.25">
      <c r="A123" s="22" t="str">
        <f>VLOOKUP(Rapid[[#This Row],[Código]],BD_Produto[#All],7,FALSE)</f>
        <v>Fora de linha</v>
      </c>
      <c r="B123" s="22" t="str">
        <f>IF(OR(Rapid[[#This Row],[Status]]="Em linha",Rapid[[#This Row],[Status]]="Materia Prima",Rapid[[#This Row],[Status]]="Componente"),"ok",IF(Rapid[[#This Row],[Estoque+Importação]]&lt;1,"Tirar","ok"))</f>
        <v>ok</v>
      </c>
      <c r="C123" s="23">
        <v>33070514953</v>
      </c>
      <c r="D123" s="22" t="s">
        <v>1357</v>
      </c>
      <c r="E123" s="22" t="str">
        <f>VLOOKUP(Rapid[[#This Row],[Código]],BD_Produto[],3,FALSE)</f>
        <v>Grampo</v>
      </c>
      <c r="F123" s="22" t="str">
        <f>VLOOKUP(Rapid[[#This Row],[Código]],BD_Produto[],4,FALSE)</f>
        <v>Grampeador Pistola</v>
      </c>
      <c r="G123" s="24"/>
      <c r="H123" s="25"/>
      <c r="I123" s="22"/>
      <c r="J123" s="24"/>
      <c r="K123" s="24" t="str">
        <f>IFERROR(VLOOKUP(Rapid[[#This Row],[Código]],Importação!P:R,3,FALSE),"")</f>
        <v/>
      </c>
      <c r="L123" s="24">
        <f>IFERROR(VLOOKUP(Rapid[[#This Row],[Código]],Saldo[],3,FALSE),0)</f>
        <v>44</v>
      </c>
      <c r="M123" s="24">
        <f>SUM(Rapid[[#This Row],[Produção]:[Estoque]])</f>
        <v>44</v>
      </c>
      <c r="N123" s="24" t="str">
        <f>IFERROR(Rapid[[#This Row],[Estoque+Importação]]/Rapid[[#This Row],[Proj. de V. No prox. mes]],"Sem Projeção")</f>
        <v>Sem Projeção</v>
      </c>
      <c r="O123" s="24" t="str">
        <f>IF(OR(Rapid[[#This Row],[Status]]="Em Linha",Rapid[[#This Row],[Status]]="Componente",Rapid[[#This Row],[Status]]="Materia Prima"),Rapid[[#This Row],[Proj. de V. No prox. mes]]*10,"-")</f>
        <v>-</v>
      </c>
      <c r="P12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3" s="75">
        <f>VLOOKUP(Rapid[[#This Row],[Código]],Projeção[#All],15,FALSE)</f>
        <v>0</v>
      </c>
      <c r="R123" s="39">
        <f>VLOOKUP(Rapid[[#This Row],[Código]],Projeção[#All],14,FALSE)</f>
        <v>0</v>
      </c>
      <c r="S123" s="39">
        <f>IFERROR(VLOOKUP(Rapid[[#This Row],[Código]],Venda_mes[],2,FALSE),0)</f>
        <v>0</v>
      </c>
      <c r="T123" s="44" t="str">
        <f>IFERROR(Rapid[[#This Row],[V. No mes]]/Rapid[[#This Row],[Proj. de V. No mes]],"")</f>
        <v/>
      </c>
      <c r="U123" s="43">
        <f>VLOOKUP(Rapid[[#This Row],[Código]],Projeção[#All],14,FALSE)+VLOOKUP(Rapid[[#This Row],[Código]],Projeção[#All],13,FALSE)+VLOOKUP(Rapid[[#This Row],[Código]],Projeção[#All],12,FALSE)</f>
        <v>0</v>
      </c>
      <c r="V123" s="39">
        <f>IFERROR(VLOOKUP(Rapid[[#This Row],[Código]],Venda_3meses[],2,FALSE),0)</f>
        <v>0</v>
      </c>
      <c r="W123" s="44" t="str">
        <f>IFERROR(Rapid[[#This Row],[V. 3 meses]]/Rapid[[#This Row],[Proj. de V. 3 meses]],"")</f>
        <v/>
      </c>
      <c r="X12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3" s="39">
        <f>IFERROR(VLOOKUP(Rapid[[#This Row],[Código]],Venda_12meses[],2,FALSE),0)</f>
        <v>0</v>
      </c>
      <c r="Z123" s="44" t="str">
        <f>IFERROR(Rapid[[#This Row],[V. 12 meses]]/Rapid[[#This Row],[Proj. de V. 12 meses]],"")</f>
        <v/>
      </c>
      <c r="AA123" s="22" t="s">
        <v>1686</v>
      </c>
    </row>
    <row r="124" spans="1:27" x14ac:dyDescent="0.25">
      <c r="A124" s="22" t="str">
        <f>VLOOKUP(Rapid[[#This Row],[Código]],BD_Produto[#All],7,FALSE)</f>
        <v>Fora de linha</v>
      </c>
      <c r="B12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24" s="23">
        <v>33070514646</v>
      </c>
      <c r="D124" s="22" t="s">
        <v>552</v>
      </c>
      <c r="E124" s="22" t="str">
        <f>VLOOKUP(Rapid[[#This Row],[Código]],BD_Produto[],3,FALSE)</f>
        <v>Grampo</v>
      </c>
      <c r="F124" s="22">
        <f>VLOOKUP(Rapid[[#This Row],[Código]],BD_Produto[],4,FALSE)</f>
        <v>0</v>
      </c>
      <c r="G124" s="24"/>
      <c r="H124" s="25"/>
      <c r="I124" s="22"/>
      <c r="J124" s="24"/>
      <c r="K124" s="24" t="str">
        <f>IFERROR(VLOOKUP(Rapid[[#This Row],[Código]],Importação!P:R,3,FALSE),"")</f>
        <v/>
      </c>
      <c r="L124" s="24">
        <f>IFERROR(VLOOKUP(Rapid[[#This Row],[Código]],Saldo[],3,FALSE),0)</f>
        <v>0</v>
      </c>
      <c r="M124" s="24">
        <f>SUM(Rapid[[#This Row],[Produção]:[Estoque]])</f>
        <v>0</v>
      </c>
      <c r="N124" s="24" t="str">
        <f>IFERROR(Rapid[[#This Row],[Estoque+Importação]]/Rapid[[#This Row],[Proj. de V. No prox. mes]],"Sem Projeção")</f>
        <v>Sem Projeção</v>
      </c>
      <c r="O124" s="24" t="str">
        <f>IF(OR(Rapid[[#This Row],[Status]]="Em Linha",Rapid[[#This Row],[Status]]="Componente",Rapid[[#This Row],[Status]]="Materia Prima"),Rapid[[#This Row],[Proj. de V. No prox. mes]]*10,"-")</f>
        <v>-</v>
      </c>
      <c r="P12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4" s="75">
        <f>VLOOKUP(Rapid[[#This Row],[Código]],Projeção[#All],15,FALSE)</f>
        <v>0</v>
      </c>
      <c r="R124" s="39">
        <f>VLOOKUP(Rapid[[#This Row],[Código]],Projeção[#All],14,FALSE)</f>
        <v>0</v>
      </c>
      <c r="S124" s="39">
        <f>IFERROR(VLOOKUP(Rapid[[#This Row],[Código]],Venda_mes[],2,FALSE),0)</f>
        <v>0</v>
      </c>
      <c r="T124" s="44" t="str">
        <f>IFERROR(Rapid[[#This Row],[V. No mes]]/Rapid[[#This Row],[Proj. de V. No mes]],"")</f>
        <v/>
      </c>
      <c r="U124" s="43">
        <f>VLOOKUP(Rapid[[#This Row],[Código]],Projeção[#All],14,FALSE)+VLOOKUP(Rapid[[#This Row],[Código]],Projeção[#All],13,FALSE)+VLOOKUP(Rapid[[#This Row],[Código]],Projeção[#All],12,FALSE)</f>
        <v>0</v>
      </c>
      <c r="V124" s="39">
        <f>IFERROR(VLOOKUP(Rapid[[#This Row],[Código]],Venda_3meses[],2,FALSE),0)</f>
        <v>0</v>
      </c>
      <c r="W124" s="44" t="str">
        <f>IFERROR(Rapid[[#This Row],[V. 3 meses]]/Rapid[[#This Row],[Proj. de V. 3 meses]],"")</f>
        <v/>
      </c>
      <c r="X12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4" s="39">
        <f>IFERROR(VLOOKUP(Rapid[[#This Row],[Código]],Venda_12meses[],2,FALSE),0)</f>
        <v>0</v>
      </c>
      <c r="Z124" s="44" t="str">
        <f>IFERROR(Rapid[[#This Row],[V. 12 meses]]/Rapid[[#This Row],[Proj. de V. 12 meses]],"")</f>
        <v/>
      </c>
      <c r="AA124" s="22"/>
    </row>
    <row r="125" spans="1:27" x14ac:dyDescent="0.25">
      <c r="A125" s="22" t="str">
        <f>VLOOKUP(Rapid[[#This Row],[Código]],BD_Produto[#All],7,FALSE)</f>
        <v>Fora de linha</v>
      </c>
      <c r="B12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25" s="23">
        <v>33070514647</v>
      </c>
      <c r="D125" s="22" t="s">
        <v>553</v>
      </c>
      <c r="E125" s="22" t="str">
        <f>VLOOKUP(Rapid[[#This Row],[Código]],BD_Produto[],3,FALSE)</f>
        <v>Grampo</v>
      </c>
      <c r="F125" s="22">
        <f>VLOOKUP(Rapid[[#This Row],[Código]],BD_Produto[],4,FALSE)</f>
        <v>0</v>
      </c>
      <c r="G125" s="24"/>
      <c r="H125" s="25"/>
      <c r="I125" s="22"/>
      <c r="J125" s="24"/>
      <c r="K125" s="24" t="str">
        <f>IFERROR(VLOOKUP(Rapid[[#This Row],[Código]],Importação!P:R,3,FALSE),"")</f>
        <v/>
      </c>
      <c r="L125" s="24">
        <f>IFERROR(VLOOKUP(Rapid[[#This Row],[Código]],Saldo[],3,FALSE),0)</f>
        <v>0</v>
      </c>
      <c r="M125" s="24">
        <f>SUM(Rapid[[#This Row],[Produção]:[Estoque]])</f>
        <v>0</v>
      </c>
      <c r="N125" s="24" t="str">
        <f>IFERROR(Rapid[[#This Row],[Estoque+Importação]]/Rapid[[#This Row],[Proj. de V. No prox. mes]],"Sem Projeção")</f>
        <v>Sem Projeção</v>
      </c>
      <c r="O125" s="24" t="str">
        <f>IF(OR(Rapid[[#This Row],[Status]]="Em Linha",Rapid[[#This Row],[Status]]="Componente",Rapid[[#This Row],[Status]]="Materia Prima"),Rapid[[#This Row],[Proj. de V. No prox. mes]]*10,"-")</f>
        <v>-</v>
      </c>
      <c r="P12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5" s="75">
        <f>VLOOKUP(Rapid[[#This Row],[Código]],Projeção[#All],15,FALSE)</f>
        <v>0</v>
      </c>
      <c r="R125" s="39">
        <f>VLOOKUP(Rapid[[#This Row],[Código]],Projeção[#All],14,FALSE)</f>
        <v>0</v>
      </c>
      <c r="S125" s="39">
        <f>IFERROR(VLOOKUP(Rapid[[#This Row],[Código]],Venda_mes[],2,FALSE),0)</f>
        <v>0</v>
      </c>
      <c r="T125" s="44" t="str">
        <f>IFERROR(Rapid[[#This Row],[V. No mes]]/Rapid[[#This Row],[Proj. de V. No mes]],"")</f>
        <v/>
      </c>
      <c r="U125" s="43">
        <f>VLOOKUP(Rapid[[#This Row],[Código]],Projeção[#All],14,FALSE)+VLOOKUP(Rapid[[#This Row],[Código]],Projeção[#All],13,FALSE)+VLOOKUP(Rapid[[#This Row],[Código]],Projeção[#All],12,FALSE)</f>
        <v>0</v>
      </c>
      <c r="V125" s="39">
        <f>IFERROR(VLOOKUP(Rapid[[#This Row],[Código]],Venda_3meses[],2,FALSE),0)</f>
        <v>0</v>
      </c>
      <c r="W125" s="44" t="str">
        <f>IFERROR(Rapid[[#This Row],[V. 3 meses]]/Rapid[[#This Row],[Proj. de V. 3 meses]],"")</f>
        <v/>
      </c>
      <c r="X12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5" s="39">
        <f>IFERROR(VLOOKUP(Rapid[[#This Row],[Código]],Venda_12meses[],2,FALSE),0)</f>
        <v>0</v>
      </c>
      <c r="Z125" s="44" t="str">
        <f>IFERROR(Rapid[[#This Row],[V. 12 meses]]/Rapid[[#This Row],[Proj. de V. 12 meses]],"")</f>
        <v/>
      </c>
      <c r="AA125" s="22"/>
    </row>
    <row r="126" spans="1:27" x14ac:dyDescent="0.25">
      <c r="A126" s="22" t="str">
        <f>VLOOKUP(Rapid[[#This Row],[Código]],BD_Produto[#All],7,FALSE)</f>
        <v>Fora de linha</v>
      </c>
      <c r="B12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26" s="23">
        <v>33070514645</v>
      </c>
      <c r="D126" s="22" t="s">
        <v>551</v>
      </c>
      <c r="E126" s="22" t="str">
        <f>VLOOKUP(Rapid[[#This Row],[Código]],BD_Produto[],3,FALSE)</f>
        <v>Grampo</v>
      </c>
      <c r="F126" s="22">
        <f>VLOOKUP(Rapid[[#This Row],[Código]],BD_Produto[],4,FALSE)</f>
        <v>0</v>
      </c>
      <c r="G126" s="24"/>
      <c r="H126" s="25"/>
      <c r="I126" s="22"/>
      <c r="J126" s="24"/>
      <c r="K126" s="24" t="str">
        <f>IFERROR(VLOOKUP(Rapid[[#This Row],[Código]],Importação!P:R,3,FALSE),"")</f>
        <v/>
      </c>
      <c r="L126" s="24">
        <f>IFERROR(VLOOKUP(Rapid[[#This Row],[Código]],Saldo[],3,FALSE),0)</f>
        <v>0</v>
      </c>
      <c r="M126" s="24">
        <f>SUM(Rapid[[#This Row],[Produção]:[Estoque]])</f>
        <v>0</v>
      </c>
      <c r="N126" s="24" t="str">
        <f>IFERROR(Rapid[[#This Row],[Estoque+Importação]]/Rapid[[#This Row],[Proj. de V. No prox. mes]],"Sem Projeção")</f>
        <v>Sem Projeção</v>
      </c>
      <c r="O126" s="24" t="str">
        <f>IF(OR(Rapid[[#This Row],[Status]]="Em Linha",Rapid[[#This Row],[Status]]="Componente",Rapid[[#This Row],[Status]]="Materia Prima"),Rapid[[#This Row],[Proj. de V. No prox. mes]]*10,"-")</f>
        <v>-</v>
      </c>
      <c r="P12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6" s="75">
        <f>VLOOKUP(Rapid[[#This Row],[Código]],Projeção[#All],15,FALSE)</f>
        <v>0</v>
      </c>
      <c r="R126" s="39">
        <f>VLOOKUP(Rapid[[#This Row],[Código]],Projeção[#All],14,FALSE)</f>
        <v>0</v>
      </c>
      <c r="S126" s="39">
        <f>IFERROR(VLOOKUP(Rapid[[#This Row],[Código]],Venda_mes[],2,FALSE),0)</f>
        <v>0</v>
      </c>
      <c r="T126" s="44" t="str">
        <f>IFERROR(Rapid[[#This Row],[V. No mes]]/Rapid[[#This Row],[Proj. de V. No mes]],"")</f>
        <v/>
      </c>
      <c r="U126" s="43">
        <f>VLOOKUP(Rapid[[#This Row],[Código]],Projeção[#All],14,FALSE)+VLOOKUP(Rapid[[#This Row],[Código]],Projeção[#All],13,FALSE)+VLOOKUP(Rapid[[#This Row],[Código]],Projeção[#All],12,FALSE)</f>
        <v>0</v>
      </c>
      <c r="V126" s="39">
        <f>IFERROR(VLOOKUP(Rapid[[#This Row],[Código]],Venda_3meses[],2,FALSE),0)</f>
        <v>0</v>
      </c>
      <c r="W126" s="44" t="str">
        <f>IFERROR(Rapid[[#This Row],[V. 3 meses]]/Rapid[[#This Row],[Proj. de V. 3 meses]],"")</f>
        <v/>
      </c>
      <c r="X12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6" s="39">
        <f>IFERROR(VLOOKUP(Rapid[[#This Row],[Código]],Venda_12meses[],2,FALSE),0)</f>
        <v>0</v>
      </c>
      <c r="Z126" s="44" t="str">
        <f>IFERROR(Rapid[[#This Row],[V. 12 meses]]/Rapid[[#This Row],[Proj. de V. 12 meses]],"")</f>
        <v/>
      </c>
      <c r="AA126" s="22"/>
    </row>
    <row r="127" spans="1:27" x14ac:dyDescent="0.25">
      <c r="A127" s="22" t="str">
        <f>VLOOKUP(Rapid[[#This Row],[Código]],BD_Produto[#All],7,FALSE)</f>
        <v>Fora de linha</v>
      </c>
      <c r="B12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27" s="23">
        <v>33070514644</v>
      </c>
      <c r="D127" s="22" t="s">
        <v>550</v>
      </c>
      <c r="E127" s="22" t="str">
        <f>VLOOKUP(Rapid[[#This Row],[Código]],BD_Produto[],3,FALSE)</f>
        <v>Grampo</v>
      </c>
      <c r="F127" s="22">
        <f>VLOOKUP(Rapid[[#This Row],[Código]],BD_Produto[],4,FALSE)</f>
        <v>0</v>
      </c>
      <c r="G127" s="24"/>
      <c r="H127" s="25"/>
      <c r="I127" s="22"/>
      <c r="J127" s="24"/>
      <c r="K127" s="24" t="str">
        <f>IFERROR(VLOOKUP(Rapid[[#This Row],[Código]],Importação!P:R,3,FALSE),"")</f>
        <v/>
      </c>
      <c r="L127" s="24">
        <f>IFERROR(VLOOKUP(Rapid[[#This Row],[Código]],Saldo[],3,FALSE),0)</f>
        <v>0</v>
      </c>
      <c r="M127" s="24">
        <f>SUM(Rapid[[#This Row],[Produção]:[Estoque]])</f>
        <v>0</v>
      </c>
      <c r="N127" s="24" t="str">
        <f>IFERROR(Rapid[[#This Row],[Estoque+Importação]]/Rapid[[#This Row],[Proj. de V. No prox. mes]],"Sem Projeção")</f>
        <v>Sem Projeção</v>
      </c>
      <c r="O127" s="24" t="str">
        <f>IF(OR(Rapid[[#This Row],[Status]]="Em Linha",Rapid[[#This Row],[Status]]="Componente",Rapid[[#This Row],[Status]]="Materia Prima"),Rapid[[#This Row],[Proj. de V. No prox. mes]]*10,"-")</f>
        <v>-</v>
      </c>
      <c r="P12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7" s="75">
        <f>VLOOKUP(Rapid[[#This Row],[Código]],Projeção[#All],15,FALSE)</f>
        <v>0</v>
      </c>
      <c r="R127" s="39">
        <f>VLOOKUP(Rapid[[#This Row],[Código]],Projeção[#All],14,FALSE)</f>
        <v>0</v>
      </c>
      <c r="S127" s="39">
        <f>IFERROR(VLOOKUP(Rapid[[#This Row],[Código]],Venda_mes[],2,FALSE),0)</f>
        <v>0</v>
      </c>
      <c r="T127" s="44" t="str">
        <f>IFERROR(Rapid[[#This Row],[V. No mes]]/Rapid[[#This Row],[Proj. de V. No mes]],"")</f>
        <v/>
      </c>
      <c r="U127" s="43">
        <f>VLOOKUP(Rapid[[#This Row],[Código]],Projeção[#All],14,FALSE)+VLOOKUP(Rapid[[#This Row],[Código]],Projeção[#All],13,FALSE)+VLOOKUP(Rapid[[#This Row],[Código]],Projeção[#All],12,FALSE)</f>
        <v>0</v>
      </c>
      <c r="V127" s="39">
        <f>IFERROR(VLOOKUP(Rapid[[#This Row],[Código]],Venda_3meses[],2,FALSE),0)</f>
        <v>0</v>
      </c>
      <c r="W127" s="44" t="str">
        <f>IFERROR(Rapid[[#This Row],[V. 3 meses]]/Rapid[[#This Row],[Proj. de V. 3 meses]],"")</f>
        <v/>
      </c>
      <c r="X12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7" s="39">
        <f>IFERROR(VLOOKUP(Rapid[[#This Row],[Código]],Venda_12meses[],2,FALSE),0)</f>
        <v>0</v>
      </c>
      <c r="Z127" s="44" t="str">
        <f>IFERROR(Rapid[[#This Row],[V. 12 meses]]/Rapid[[#This Row],[Proj. de V. 12 meses]],"")</f>
        <v/>
      </c>
      <c r="AA127" s="22"/>
    </row>
    <row r="128" spans="1:27" x14ac:dyDescent="0.25">
      <c r="A128" s="22" t="str">
        <f>VLOOKUP(Rapid[[#This Row],[Código]],BD_Produto[#All],7,FALSE)</f>
        <v>Fora de linha</v>
      </c>
      <c r="B128" s="22" t="str">
        <f>IF(OR(Rapid[[#This Row],[Status]]="Em linha",Rapid[[#This Row],[Status]]="Materia Prima",Rapid[[#This Row],[Status]]="Componente"),"ok",IF(Rapid[[#This Row],[Estoque+Importação]]&lt;1,"Tirar","ok"))</f>
        <v>ok</v>
      </c>
      <c r="C128" s="23">
        <v>33070514950</v>
      </c>
      <c r="D128" s="22" t="s">
        <v>560</v>
      </c>
      <c r="E128" s="22" t="str">
        <f>VLOOKUP(Rapid[[#This Row],[Código]],BD_Produto[],3,FALSE)</f>
        <v>Grampo</v>
      </c>
      <c r="F128" s="22">
        <f>VLOOKUP(Rapid[[#This Row],[Código]],BD_Produto[],4,FALSE)</f>
        <v>0</v>
      </c>
      <c r="G128" s="24"/>
      <c r="H128" s="25"/>
      <c r="I128" s="22"/>
      <c r="J128" s="24"/>
      <c r="K128" s="24" t="str">
        <f>IFERROR(VLOOKUP(Rapid[[#This Row],[Código]],Importação!P:R,3,FALSE),"")</f>
        <v/>
      </c>
      <c r="L128" s="24">
        <f>IFERROR(VLOOKUP(Rapid[[#This Row],[Código]],Saldo[],3,FALSE),0)</f>
        <v>3</v>
      </c>
      <c r="M128" s="24">
        <f>SUM(Rapid[[#This Row],[Produção]:[Estoque]])</f>
        <v>3</v>
      </c>
      <c r="N128" s="24" t="str">
        <f>IFERROR(Rapid[[#This Row],[Estoque+Importação]]/Rapid[[#This Row],[Proj. de V. No prox. mes]],"Sem Projeção")</f>
        <v>Sem Projeção</v>
      </c>
      <c r="O128" s="24" t="str">
        <f>IF(OR(Rapid[[#This Row],[Status]]="Em Linha",Rapid[[#This Row],[Status]]="Componente",Rapid[[#This Row],[Status]]="Materia Prima"),Rapid[[#This Row],[Proj. de V. No prox. mes]]*10,"-")</f>
        <v>-</v>
      </c>
      <c r="P12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8" s="75">
        <f>VLOOKUP(Rapid[[#This Row],[Código]],Projeção[#All],15,FALSE)</f>
        <v>0</v>
      </c>
      <c r="R128" s="39">
        <f>VLOOKUP(Rapid[[#This Row],[Código]],Projeção[#All],14,FALSE)</f>
        <v>0</v>
      </c>
      <c r="S128" s="39">
        <f>IFERROR(VLOOKUP(Rapid[[#This Row],[Código]],Venda_mes[],2,FALSE),0)</f>
        <v>0</v>
      </c>
      <c r="T128" s="44" t="str">
        <f>IFERROR(Rapid[[#This Row],[V. No mes]]/Rapid[[#This Row],[Proj. de V. No mes]],"")</f>
        <v/>
      </c>
      <c r="U128" s="43">
        <f>VLOOKUP(Rapid[[#This Row],[Código]],Projeção[#All],14,FALSE)+VLOOKUP(Rapid[[#This Row],[Código]],Projeção[#All],13,FALSE)+VLOOKUP(Rapid[[#This Row],[Código]],Projeção[#All],12,FALSE)</f>
        <v>0</v>
      </c>
      <c r="V128" s="39">
        <f>IFERROR(VLOOKUP(Rapid[[#This Row],[Código]],Venda_3meses[],2,FALSE),0)</f>
        <v>0</v>
      </c>
      <c r="W128" s="44" t="str">
        <f>IFERROR(Rapid[[#This Row],[V. 3 meses]]/Rapid[[#This Row],[Proj. de V. 3 meses]],"")</f>
        <v/>
      </c>
      <c r="X12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8" s="39">
        <f>IFERROR(VLOOKUP(Rapid[[#This Row],[Código]],Venda_12meses[],2,FALSE),0)</f>
        <v>0</v>
      </c>
      <c r="Z128" s="44" t="str">
        <f>IFERROR(Rapid[[#This Row],[V. 12 meses]]/Rapid[[#This Row],[Proj. de V. 12 meses]],"")</f>
        <v/>
      </c>
      <c r="AA128" s="22" t="s">
        <v>1686</v>
      </c>
    </row>
    <row r="129" spans="1:27" x14ac:dyDescent="0.25">
      <c r="A129" s="22" t="str">
        <f>VLOOKUP(Rapid[[#This Row],[Código]],BD_Produto[#All],7,FALSE)</f>
        <v>Fora de linha</v>
      </c>
      <c r="B129" s="22" t="str">
        <f>IF(OR(Rapid[[#This Row],[Status]]="Em linha",Rapid[[#This Row],[Status]]="Materia Prima",Rapid[[#This Row],[Status]]="Componente"),"ok",IF(Rapid[[#This Row],[Estoque+Importação]]&lt;1,"Tirar","ok"))</f>
        <v>ok</v>
      </c>
      <c r="C129" s="23">
        <v>33070514952</v>
      </c>
      <c r="D129" s="22" t="s">
        <v>561</v>
      </c>
      <c r="E129" s="22" t="str">
        <f>VLOOKUP(Rapid[[#This Row],[Código]],BD_Produto[],3,FALSE)</f>
        <v>Grampo</v>
      </c>
      <c r="F129" s="22">
        <f>VLOOKUP(Rapid[[#This Row],[Código]],BD_Produto[],4,FALSE)</f>
        <v>0</v>
      </c>
      <c r="G129" s="24"/>
      <c r="H129" s="25"/>
      <c r="I129" s="22"/>
      <c r="J129" s="24"/>
      <c r="K129" s="24" t="str">
        <f>IFERROR(VLOOKUP(Rapid[[#This Row],[Código]],Importação!P:R,3,FALSE),"")</f>
        <v/>
      </c>
      <c r="L129" s="24">
        <f>IFERROR(VLOOKUP(Rapid[[#This Row],[Código]],Saldo[],3,FALSE),0)</f>
        <v>3</v>
      </c>
      <c r="M129" s="24">
        <f>SUM(Rapid[[#This Row],[Produção]:[Estoque]])</f>
        <v>3</v>
      </c>
      <c r="N129" s="24" t="str">
        <f>IFERROR(Rapid[[#This Row],[Estoque+Importação]]/Rapid[[#This Row],[Proj. de V. No prox. mes]],"Sem Projeção")</f>
        <v>Sem Projeção</v>
      </c>
      <c r="O129" s="24" t="str">
        <f>IF(OR(Rapid[[#This Row],[Status]]="Em Linha",Rapid[[#This Row],[Status]]="Componente",Rapid[[#This Row],[Status]]="Materia Prima"),Rapid[[#This Row],[Proj. de V. No prox. mes]]*10,"-")</f>
        <v>-</v>
      </c>
      <c r="P12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29" s="75">
        <f>VLOOKUP(Rapid[[#This Row],[Código]],Projeção[#All],15,FALSE)</f>
        <v>0</v>
      </c>
      <c r="R129" s="39">
        <f>VLOOKUP(Rapid[[#This Row],[Código]],Projeção[#All],14,FALSE)</f>
        <v>0</v>
      </c>
      <c r="S129" s="39">
        <f>IFERROR(VLOOKUP(Rapid[[#This Row],[Código]],Venda_mes[],2,FALSE),0)</f>
        <v>0</v>
      </c>
      <c r="T129" s="44" t="str">
        <f>IFERROR(Rapid[[#This Row],[V. No mes]]/Rapid[[#This Row],[Proj. de V. No mes]],"")</f>
        <v/>
      </c>
      <c r="U129" s="43">
        <f>VLOOKUP(Rapid[[#This Row],[Código]],Projeção[#All],14,FALSE)+VLOOKUP(Rapid[[#This Row],[Código]],Projeção[#All],13,FALSE)+VLOOKUP(Rapid[[#This Row],[Código]],Projeção[#All],12,FALSE)</f>
        <v>0</v>
      </c>
      <c r="V129" s="39">
        <f>IFERROR(VLOOKUP(Rapid[[#This Row],[Código]],Venda_3meses[],2,FALSE),0)</f>
        <v>0</v>
      </c>
      <c r="W129" s="44" t="str">
        <f>IFERROR(Rapid[[#This Row],[V. 3 meses]]/Rapid[[#This Row],[Proj. de V. 3 meses]],"")</f>
        <v/>
      </c>
      <c r="X12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29" s="39">
        <f>IFERROR(VLOOKUP(Rapid[[#This Row],[Código]],Venda_12meses[],2,FALSE),0)</f>
        <v>0</v>
      </c>
      <c r="Z129" s="44" t="str">
        <f>IFERROR(Rapid[[#This Row],[V. 12 meses]]/Rapid[[#This Row],[Proj. de V. 12 meses]],"")</f>
        <v/>
      </c>
      <c r="AA129" s="22" t="s">
        <v>1686</v>
      </c>
    </row>
    <row r="130" spans="1:27" x14ac:dyDescent="0.25">
      <c r="A130" s="22" t="str">
        <f>VLOOKUP(Rapid[[#This Row],[Código]],BD_Produto[#All],7,FALSE)</f>
        <v>Fora de linha</v>
      </c>
      <c r="B130" s="22" t="str">
        <f>IF(OR(Rapid[[#This Row],[Status]]="Em linha",Rapid[[#This Row],[Status]]="Materia Prima",Rapid[[#This Row],[Status]]="Componente"),"ok",IF(Rapid[[#This Row],[Estoque+Importação]]&lt;1,"Tirar","ok"))</f>
        <v>ok</v>
      </c>
      <c r="C130" s="23">
        <v>33060514932</v>
      </c>
      <c r="D130" s="22" t="s">
        <v>1358</v>
      </c>
      <c r="E130" s="22" t="str">
        <f>VLOOKUP(Rapid[[#This Row],[Código]],BD_Produto[],3,FALSE)</f>
        <v>Grampo</v>
      </c>
      <c r="F130" s="22">
        <f>VLOOKUP(Rapid[[#This Row],[Código]],BD_Produto[],4,FALSE)</f>
        <v>0</v>
      </c>
      <c r="G130" s="24"/>
      <c r="H130" s="25"/>
      <c r="I130" s="22"/>
      <c r="J130" s="24"/>
      <c r="K130" s="24" t="str">
        <f>IFERROR(VLOOKUP(Rapid[[#This Row],[Código]],Importação!P:R,3,FALSE),"")</f>
        <v/>
      </c>
      <c r="L130" s="24">
        <f>IFERROR(VLOOKUP(Rapid[[#This Row],[Código]],Saldo[],3,FALSE),0)</f>
        <v>4</v>
      </c>
      <c r="M130" s="24">
        <f>SUM(Rapid[[#This Row],[Produção]:[Estoque]])</f>
        <v>4</v>
      </c>
      <c r="N130" s="24" t="str">
        <f>IFERROR(Rapid[[#This Row],[Estoque+Importação]]/Rapid[[#This Row],[Proj. de V. No prox. mes]],"Sem Projeção")</f>
        <v>Sem Projeção</v>
      </c>
      <c r="O130" s="24" t="str">
        <f>IF(OR(Rapid[[#This Row],[Status]]="Em Linha",Rapid[[#This Row],[Status]]="Componente",Rapid[[#This Row],[Status]]="Materia Prima"),Rapid[[#This Row],[Proj. de V. No prox. mes]]*10,"-")</f>
        <v>-</v>
      </c>
      <c r="P13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0" s="83">
        <f>VLOOKUP(Rapid[[#This Row],[Código]],Projeção[#All],15,FALSE)</f>
        <v>0</v>
      </c>
      <c r="R130" s="39">
        <f>VLOOKUP(Rapid[[#This Row],[Código]],Projeção[#All],14,FALSE)</f>
        <v>0</v>
      </c>
      <c r="S130" s="39">
        <f>IFERROR(VLOOKUP(Rapid[[#This Row],[Código]],Venda_mes[],2,FALSE),0)</f>
        <v>0</v>
      </c>
      <c r="T130" s="45" t="str">
        <f>IFERROR(Rapid[[#This Row],[V. No mes]]/Rapid[[#This Row],[Proj. de V. No mes]],"")</f>
        <v/>
      </c>
      <c r="U130" s="39">
        <f>VLOOKUP(Rapid[[#This Row],[Código]],Projeção[#All],14,FALSE)+VLOOKUP(Rapid[[#This Row],[Código]],Projeção[#All],13,FALSE)+VLOOKUP(Rapid[[#This Row],[Código]],Projeção[#All],12,FALSE)</f>
        <v>0</v>
      </c>
      <c r="V130" s="39">
        <f>IFERROR(VLOOKUP(Rapid[[#This Row],[Código]],Venda_3meses[],2,FALSE),0)</f>
        <v>0</v>
      </c>
      <c r="W130" s="45" t="str">
        <f>IFERROR(Rapid[[#This Row],[V. 3 meses]]/Rapid[[#This Row],[Proj. de V. 3 meses]],"")</f>
        <v/>
      </c>
      <c r="X130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0" s="39">
        <f>IFERROR(VLOOKUP(Rapid[[#This Row],[Código]],Venda_12meses[],2,FALSE),0)</f>
        <v>0</v>
      </c>
      <c r="Z130" s="45" t="str">
        <f>IFERROR(Rapid[[#This Row],[V. 12 meses]]/Rapid[[#This Row],[Proj. de V. 12 meses]],"")</f>
        <v/>
      </c>
      <c r="AA130" s="22" t="s">
        <v>1686</v>
      </c>
    </row>
    <row r="131" spans="1:27" x14ac:dyDescent="0.25">
      <c r="A131" s="22" t="str">
        <f>VLOOKUP(Rapid[[#This Row],[Código]],BD_Produto[#All],7,FALSE)</f>
        <v>Fora de linha</v>
      </c>
      <c r="B131" s="22" t="str">
        <f>IF(OR(Rapid[[#This Row],[Status]]="Em linha",Rapid[[#This Row],[Status]]="Materia Prima",Rapid[[#This Row],[Status]]="Componente"),"ok",IF(Rapid[[#This Row],[Estoque+Importação]]&lt;1,"Tirar","ok"))</f>
        <v>ok</v>
      </c>
      <c r="C131" s="23">
        <v>33070114938</v>
      </c>
      <c r="D131" s="22" t="s">
        <v>1359</v>
      </c>
      <c r="E131" s="22" t="str">
        <f>VLOOKUP(Rapid[[#This Row],[Código]],BD_Produto[],3,FALSE)</f>
        <v>Soprador Termico</v>
      </c>
      <c r="F131" s="22" t="str">
        <f>VLOOKUP(Rapid[[#This Row],[Código]],BD_Produto[],4,FALSE)</f>
        <v>Soprador Termico</v>
      </c>
      <c r="G131" s="24"/>
      <c r="H131" s="25"/>
      <c r="I131" s="22"/>
      <c r="J131" s="24"/>
      <c r="K131" s="24" t="str">
        <f>IFERROR(VLOOKUP(Rapid[[#This Row],[Código]],Importação!P:R,3,FALSE),"")</f>
        <v/>
      </c>
      <c r="L131" s="24">
        <f>IFERROR(VLOOKUP(Rapid[[#This Row],[Código]],Saldo[],3,FALSE),0)</f>
        <v>2</v>
      </c>
      <c r="M131" s="24">
        <f>SUM(Rapid[[#This Row],[Produção]:[Estoque]])</f>
        <v>2</v>
      </c>
      <c r="N131" s="24" t="str">
        <f>IFERROR(Rapid[[#This Row],[Estoque+Importação]]/Rapid[[#This Row],[Proj. de V. No prox. mes]],"Sem Projeção")</f>
        <v>Sem Projeção</v>
      </c>
      <c r="O131" s="24" t="str">
        <f>IF(OR(Rapid[[#This Row],[Status]]="Em Linha",Rapid[[#This Row],[Status]]="Componente",Rapid[[#This Row],[Status]]="Materia Prima"),Rapid[[#This Row],[Proj. de V. No prox. mes]]*10,"-")</f>
        <v>-</v>
      </c>
      <c r="P13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1" s="75">
        <f>VLOOKUP(Rapid[[#This Row],[Código]],Projeção[#All],15,FALSE)</f>
        <v>0</v>
      </c>
      <c r="R131" s="39">
        <f>VLOOKUP(Rapid[[#This Row],[Código]],Projeção[#All],14,FALSE)</f>
        <v>0</v>
      </c>
      <c r="S131" s="39">
        <f>IFERROR(VLOOKUP(Rapid[[#This Row],[Código]],Venda_mes[],2,FALSE),0)</f>
        <v>0</v>
      </c>
      <c r="T131" s="44" t="str">
        <f>IFERROR(Rapid[[#This Row],[V. No mes]]/Rapid[[#This Row],[Proj. de V. No mes]],"")</f>
        <v/>
      </c>
      <c r="U131" s="43">
        <f>VLOOKUP(Rapid[[#This Row],[Código]],Projeção[#All],14,FALSE)+VLOOKUP(Rapid[[#This Row],[Código]],Projeção[#All],13,FALSE)+VLOOKUP(Rapid[[#This Row],[Código]],Projeção[#All],12,FALSE)</f>
        <v>0</v>
      </c>
      <c r="V131" s="39">
        <f>IFERROR(VLOOKUP(Rapid[[#This Row],[Código]],Venda_3meses[],2,FALSE),0)</f>
        <v>0</v>
      </c>
      <c r="W131" s="44" t="str">
        <f>IFERROR(Rapid[[#This Row],[V. 3 meses]]/Rapid[[#This Row],[Proj. de V. 3 meses]],"")</f>
        <v/>
      </c>
      <c r="X13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1" s="39">
        <f>IFERROR(VLOOKUP(Rapid[[#This Row],[Código]],Venda_12meses[],2,FALSE),0)</f>
        <v>0</v>
      </c>
      <c r="Z131" s="44" t="str">
        <f>IFERROR(Rapid[[#This Row],[V. 12 meses]]/Rapid[[#This Row],[Proj. de V. 12 meses]],"")</f>
        <v/>
      </c>
      <c r="AA131" s="22" t="s">
        <v>1686</v>
      </c>
    </row>
    <row r="132" spans="1:27" x14ac:dyDescent="0.25">
      <c r="A132" s="22" t="str">
        <f>VLOOKUP(Rapid[[#This Row],[Código]],BD_Produto[#All],7,FALSE)</f>
        <v>Fora de linha</v>
      </c>
      <c r="B132" s="22" t="str">
        <f>IF(OR(Rapid[[#This Row],[Status]]="Em linha",Rapid[[#This Row],[Status]]="Materia Prima",Rapid[[#This Row],[Status]]="Componente"),"ok",IF(Rapid[[#This Row],[Estoque+Importação]]&lt;1,"Tirar","ok"))</f>
        <v>ok</v>
      </c>
      <c r="C132" s="23">
        <v>33070114955</v>
      </c>
      <c r="D132" s="22" t="s">
        <v>1360</v>
      </c>
      <c r="E132" s="22" t="str">
        <f>VLOOKUP(Rapid[[#This Row],[Código]],BD_Produto[],3,FALSE)</f>
        <v>Soprador Termico</v>
      </c>
      <c r="F132" s="22" t="str">
        <f>VLOOKUP(Rapid[[#This Row],[Código]],BD_Produto[],4,FALSE)</f>
        <v>Soprador Termico</v>
      </c>
      <c r="G132" s="24"/>
      <c r="H132" s="25"/>
      <c r="I132" s="22"/>
      <c r="J132" s="24"/>
      <c r="K132" s="24" t="str">
        <f>IFERROR(VLOOKUP(Rapid[[#This Row],[Código]],Importação!P:R,3,FALSE),"")</f>
        <v/>
      </c>
      <c r="L132" s="24">
        <f>IFERROR(VLOOKUP(Rapid[[#This Row],[Código]],Saldo[],3,FALSE),0)</f>
        <v>6</v>
      </c>
      <c r="M132" s="24">
        <f>SUM(Rapid[[#This Row],[Produção]:[Estoque]])</f>
        <v>6</v>
      </c>
      <c r="N132" s="24" t="str">
        <f>IFERROR(Rapid[[#This Row],[Estoque+Importação]]/Rapid[[#This Row],[Proj. de V. No prox. mes]],"Sem Projeção")</f>
        <v>Sem Projeção</v>
      </c>
      <c r="O132" s="24" t="str">
        <f>IF(OR(Rapid[[#This Row],[Status]]="Em Linha",Rapid[[#This Row],[Status]]="Componente",Rapid[[#This Row],[Status]]="Materia Prima"),Rapid[[#This Row],[Proj. de V. No prox. mes]]*10,"-")</f>
        <v>-</v>
      </c>
      <c r="P13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2" s="75">
        <f>VLOOKUP(Rapid[[#This Row],[Código]],Projeção[#All],15,FALSE)</f>
        <v>0</v>
      </c>
      <c r="R132" s="39">
        <f>VLOOKUP(Rapid[[#This Row],[Código]],Projeção[#All],14,FALSE)</f>
        <v>0</v>
      </c>
      <c r="S132" s="39">
        <f>IFERROR(VLOOKUP(Rapid[[#This Row],[Código]],Venda_mes[],2,FALSE),0)</f>
        <v>0</v>
      </c>
      <c r="T132" s="44" t="str">
        <f>IFERROR(Rapid[[#This Row],[V. No mes]]/Rapid[[#This Row],[Proj. de V. No mes]],"")</f>
        <v/>
      </c>
      <c r="U132" s="43">
        <f>VLOOKUP(Rapid[[#This Row],[Código]],Projeção[#All],14,FALSE)+VLOOKUP(Rapid[[#This Row],[Código]],Projeção[#All],13,FALSE)+VLOOKUP(Rapid[[#This Row],[Código]],Projeção[#All],12,FALSE)</f>
        <v>0</v>
      </c>
      <c r="V132" s="39">
        <f>IFERROR(VLOOKUP(Rapid[[#This Row],[Código]],Venda_3meses[],2,FALSE),0)</f>
        <v>0</v>
      </c>
      <c r="W132" s="44" t="str">
        <f>IFERROR(Rapid[[#This Row],[V. 3 meses]]/Rapid[[#This Row],[Proj. de V. 3 meses]],"")</f>
        <v/>
      </c>
      <c r="X13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2" s="39">
        <f>IFERROR(VLOOKUP(Rapid[[#This Row],[Código]],Venda_12meses[],2,FALSE),0)</f>
        <v>0</v>
      </c>
      <c r="Z132" s="44" t="str">
        <f>IFERROR(Rapid[[#This Row],[V. 12 meses]]/Rapid[[#This Row],[Proj. de V. 12 meses]],"")</f>
        <v/>
      </c>
      <c r="AA132" s="22" t="s">
        <v>1686</v>
      </c>
    </row>
    <row r="133" spans="1:27" x14ac:dyDescent="0.25">
      <c r="A133" s="22" t="str">
        <f>VLOOKUP(Rapid[[#This Row],[Código]],BD_Produto[#All],7,FALSE)</f>
        <v>Fora de linha</v>
      </c>
      <c r="B133" s="22" t="str">
        <f>IF(OR(Rapid[[#This Row],[Status]]="Em linha",Rapid[[#This Row],[Status]]="Materia Prima",Rapid[[#This Row],[Status]]="Componente"),"ok",IF(Rapid[[#This Row],[Estoque+Importação]]&lt;1,"Tirar","ok"))</f>
        <v>ok</v>
      </c>
      <c r="C133" s="23">
        <v>33060114881</v>
      </c>
      <c r="D133" s="22" t="s">
        <v>167</v>
      </c>
      <c r="E133" s="22" t="str">
        <f>VLOOKUP(Rapid[[#This Row],[Código]],BD_Produto[],3,FALSE)</f>
        <v>Grampeador Eletrico</v>
      </c>
      <c r="F133" s="22" t="str">
        <f>VLOOKUP(Rapid[[#This Row],[Código]],BD_Produto[],4,FALSE)</f>
        <v>Grampeador Eletrico</v>
      </c>
      <c r="G133" s="24"/>
      <c r="H133" s="25"/>
      <c r="I133" s="22"/>
      <c r="J133" s="24"/>
      <c r="K133" s="24" t="str">
        <f>IFERROR(VLOOKUP(Rapid[[#This Row],[Código]],Importação!P:R,3,FALSE),"")</f>
        <v/>
      </c>
      <c r="L133" s="24">
        <f>IFERROR(VLOOKUP(Rapid[[#This Row],[Código]],Saldo[],3,FALSE),0)</f>
        <v>4</v>
      </c>
      <c r="M133" s="24">
        <f>SUM(Rapid[[#This Row],[Produção]:[Estoque]])</f>
        <v>4</v>
      </c>
      <c r="N133" s="24" t="str">
        <f>IFERROR(Rapid[[#This Row],[Estoque+Importação]]/Rapid[[#This Row],[Proj. de V. No prox. mes]],"Sem Projeção")</f>
        <v>Sem Projeção</v>
      </c>
      <c r="O133" s="24" t="str">
        <f>IF(OR(Rapid[[#This Row],[Status]]="Em Linha",Rapid[[#This Row],[Status]]="Componente",Rapid[[#This Row],[Status]]="Materia Prima"),Rapid[[#This Row],[Proj. de V. No prox. mes]]*10,"-")</f>
        <v>-</v>
      </c>
      <c r="P13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3" s="75">
        <f>VLOOKUP(Rapid[[#This Row],[Código]],Projeção[#All],15,FALSE)</f>
        <v>0</v>
      </c>
      <c r="R133" s="39">
        <f>VLOOKUP(Rapid[[#This Row],[Código]],Projeção[#All],14,FALSE)</f>
        <v>0</v>
      </c>
      <c r="S133" s="39">
        <f>IFERROR(VLOOKUP(Rapid[[#This Row],[Código]],Venda_mes[],2,FALSE),0)</f>
        <v>0</v>
      </c>
      <c r="T133" s="44" t="str">
        <f>IFERROR(Rapid[[#This Row],[V. No mes]]/Rapid[[#This Row],[Proj. de V. No mes]],"")</f>
        <v/>
      </c>
      <c r="U133" s="43">
        <f>VLOOKUP(Rapid[[#This Row],[Código]],Projeção[#All],14,FALSE)+VLOOKUP(Rapid[[#This Row],[Código]],Projeção[#All],13,FALSE)+VLOOKUP(Rapid[[#This Row],[Código]],Projeção[#All],12,FALSE)</f>
        <v>0</v>
      </c>
      <c r="V133" s="39">
        <f>IFERROR(VLOOKUP(Rapid[[#This Row],[Código]],Venda_3meses[],2,FALSE),0)</f>
        <v>0</v>
      </c>
      <c r="W133" s="44" t="str">
        <f>IFERROR(Rapid[[#This Row],[V. 3 meses]]/Rapid[[#This Row],[Proj. de V. 3 meses]],"")</f>
        <v/>
      </c>
      <c r="X13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3" s="39">
        <f>IFERROR(VLOOKUP(Rapid[[#This Row],[Código]],Venda_12meses[],2,FALSE),0)</f>
        <v>0</v>
      </c>
      <c r="Z133" s="44" t="str">
        <f>IFERROR(Rapid[[#This Row],[V. 12 meses]]/Rapid[[#This Row],[Proj. de V. 12 meses]],"")</f>
        <v/>
      </c>
      <c r="AA133" s="22"/>
    </row>
    <row r="134" spans="1:27" x14ac:dyDescent="0.25">
      <c r="A134" s="22" t="str">
        <f>VLOOKUP(Rapid[[#This Row],[Código]],BD_Produto[#All],7,FALSE)</f>
        <v>Fora de linha</v>
      </c>
      <c r="B134" s="22" t="str">
        <f>IF(OR(Rapid[[#This Row],[Status]]="Em linha",Rapid[[#This Row],[Status]]="Materia Prima",Rapid[[#This Row],[Status]]="Componente"),"ok",IF(Rapid[[#This Row],[Estoque+Importação]]&lt;1,"Tirar","ok"))</f>
        <v>ok</v>
      </c>
      <c r="C134" s="23">
        <v>32060144123</v>
      </c>
      <c r="D134" s="22" t="s">
        <v>112</v>
      </c>
      <c r="E134" s="22" t="str">
        <f>VLOOKUP(Rapid[[#This Row],[Código]],BD_Produto[],3,FALSE)</f>
        <v>Grampeador de Mesa</v>
      </c>
      <c r="F134" s="22" t="str">
        <f>VLOOKUP(Rapid[[#This Row],[Código]],BD_Produto[],4,FALSE)</f>
        <v>Grampeador de Mesa</v>
      </c>
      <c r="G134" s="24"/>
      <c r="H134" s="25"/>
      <c r="I134" s="22"/>
      <c r="J134" s="24"/>
      <c r="K134" s="24" t="str">
        <f>IFERROR(VLOOKUP(Rapid[[#This Row],[Código]],Importação!P:R,3,FALSE),"")</f>
        <v/>
      </c>
      <c r="L134" s="24">
        <f>IFERROR(VLOOKUP(Rapid[[#This Row],[Código]],Saldo[],3,FALSE),0)</f>
        <v>79</v>
      </c>
      <c r="M134" s="24">
        <f>SUM(Rapid[[#This Row],[Produção]:[Estoque]])</f>
        <v>79</v>
      </c>
      <c r="N134" s="24" t="str">
        <f>IFERROR(Rapid[[#This Row],[Estoque+Importação]]/Rapid[[#This Row],[Proj. de V. No prox. mes]],"Sem Projeção")</f>
        <v>Sem Projeção</v>
      </c>
      <c r="O134" s="24" t="str">
        <f>IF(OR(Rapid[[#This Row],[Status]]="Em Linha",Rapid[[#This Row],[Status]]="Componente",Rapid[[#This Row],[Status]]="Materia Prima"),Rapid[[#This Row],[Proj. de V. No prox. mes]]*10,"-")</f>
        <v>-</v>
      </c>
      <c r="P13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4" s="83">
        <f>VLOOKUP(Rapid[[#This Row],[Código]],Projeção[#All],15,FALSE)</f>
        <v>0</v>
      </c>
      <c r="R134" s="39">
        <f>VLOOKUP(Rapid[[#This Row],[Código]],Projeção[#All],14,FALSE)</f>
        <v>0</v>
      </c>
      <c r="S134" s="39">
        <f>IFERROR(VLOOKUP(Rapid[[#This Row],[Código]],Venda_mes[],2,FALSE),0)</f>
        <v>0</v>
      </c>
      <c r="T134" s="45" t="str">
        <f>IFERROR(Rapid[[#This Row],[V. No mes]]/Rapid[[#This Row],[Proj. de V. No mes]],"")</f>
        <v/>
      </c>
      <c r="U134" s="39">
        <f>VLOOKUP(Rapid[[#This Row],[Código]],Projeção[#All],14,FALSE)+VLOOKUP(Rapid[[#This Row],[Código]],Projeção[#All],13,FALSE)+VLOOKUP(Rapid[[#This Row],[Código]],Projeção[#All],12,FALSE)</f>
        <v>0</v>
      </c>
      <c r="V134" s="39">
        <f>IFERROR(VLOOKUP(Rapid[[#This Row],[Código]],Venda_3meses[],2,FALSE),0)</f>
        <v>0</v>
      </c>
      <c r="W134" s="45" t="str">
        <f>IFERROR(Rapid[[#This Row],[V. 3 meses]]/Rapid[[#This Row],[Proj. de V. 3 meses]],"")</f>
        <v/>
      </c>
      <c r="X134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4" s="39">
        <f>IFERROR(VLOOKUP(Rapid[[#This Row],[Código]],Venda_12meses[],2,FALSE),0)</f>
        <v>0</v>
      </c>
      <c r="Z134" s="45" t="str">
        <f>IFERROR(Rapid[[#This Row],[V. 12 meses]]/Rapid[[#This Row],[Proj. de V. 12 meses]],"")</f>
        <v/>
      </c>
      <c r="AA134" s="22"/>
    </row>
    <row r="135" spans="1:27" x14ac:dyDescent="0.25">
      <c r="A135" s="22" t="str">
        <f>VLOOKUP(Rapid[[#This Row],[Código]],BD_Produto[#All],7,FALSE)</f>
        <v>Fora de linha</v>
      </c>
      <c r="B135" s="22" t="str">
        <f>IF(OR(Rapid[[#This Row],[Status]]="Em linha",Rapid[[#This Row],[Status]]="Materia Prima",Rapid[[#This Row],[Status]]="Componente"),"ok",IF(Rapid[[#This Row],[Estoque+Importação]]&lt;1,"Tirar","ok"))</f>
        <v>ok</v>
      </c>
      <c r="C135" s="23">
        <v>33060114877</v>
      </c>
      <c r="D135" s="22" t="s">
        <v>165</v>
      </c>
      <c r="E135" s="22" t="str">
        <f>VLOOKUP(Rapid[[#This Row],[Código]],BD_Produto[],3,FALSE)</f>
        <v>Grampeador Eletrico</v>
      </c>
      <c r="F135" s="22" t="str">
        <f>VLOOKUP(Rapid[[#This Row],[Código]],BD_Produto[],4,FALSE)</f>
        <v>Grampeador Eletrico</v>
      </c>
      <c r="G135" s="24"/>
      <c r="H135" s="25"/>
      <c r="I135" s="22"/>
      <c r="J135" s="24"/>
      <c r="K135" s="24" t="str">
        <f>IFERROR(VLOOKUP(Rapid[[#This Row],[Código]],Importação!P:R,3,FALSE),"")</f>
        <v/>
      </c>
      <c r="L135" s="24">
        <f>IFERROR(VLOOKUP(Rapid[[#This Row],[Código]],Saldo[],3,FALSE),0)</f>
        <v>6</v>
      </c>
      <c r="M135" s="24">
        <f>SUM(Rapid[[#This Row],[Produção]:[Estoque]])</f>
        <v>6</v>
      </c>
      <c r="N135" s="24" t="str">
        <f>IFERROR(Rapid[[#This Row],[Estoque+Importação]]/Rapid[[#This Row],[Proj. de V. No prox. mes]],"Sem Projeção")</f>
        <v>Sem Projeção</v>
      </c>
      <c r="O135" s="24" t="str">
        <f>IF(OR(Rapid[[#This Row],[Status]]="Em Linha",Rapid[[#This Row],[Status]]="Componente",Rapid[[#This Row],[Status]]="Materia Prima"),Rapid[[#This Row],[Proj. de V. No prox. mes]]*10,"-")</f>
        <v>-</v>
      </c>
      <c r="P13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5" s="75">
        <f>VLOOKUP(Rapid[[#This Row],[Código]],Projeção[#All],15,FALSE)</f>
        <v>0</v>
      </c>
      <c r="R135" s="39">
        <f>VLOOKUP(Rapid[[#This Row],[Código]],Projeção[#All],14,FALSE)</f>
        <v>0</v>
      </c>
      <c r="S135" s="39">
        <f>IFERROR(VLOOKUP(Rapid[[#This Row],[Código]],Venda_mes[],2,FALSE),0)</f>
        <v>0</v>
      </c>
      <c r="T135" s="44" t="str">
        <f>IFERROR(Rapid[[#This Row],[V. No mes]]/Rapid[[#This Row],[Proj. de V. No mes]],"")</f>
        <v/>
      </c>
      <c r="U135" s="43">
        <f>VLOOKUP(Rapid[[#This Row],[Código]],Projeção[#All],14,FALSE)+VLOOKUP(Rapid[[#This Row],[Código]],Projeção[#All],13,FALSE)+VLOOKUP(Rapid[[#This Row],[Código]],Projeção[#All],12,FALSE)</f>
        <v>0</v>
      </c>
      <c r="V135" s="39">
        <f>IFERROR(VLOOKUP(Rapid[[#This Row],[Código]],Venda_3meses[],2,FALSE),0)</f>
        <v>0</v>
      </c>
      <c r="W135" s="44" t="str">
        <f>IFERROR(Rapid[[#This Row],[V. 3 meses]]/Rapid[[#This Row],[Proj. de V. 3 meses]],"")</f>
        <v/>
      </c>
      <c r="X13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0.1</v>
      </c>
      <c r="Y135" s="39">
        <f>IFERROR(VLOOKUP(Rapid[[#This Row],[Código]],Venda_12meses[],2,FALSE),0)</f>
        <v>0</v>
      </c>
      <c r="Z135" s="44">
        <f>IFERROR(Rapid[[#This Row],[V. 12 meses]]/Rapid[[#This Row],[Proj. de V. 12 meses]],"")</f>
        <v>0</v>
      </c>
      <c r="AA135" s="22"/>
    </row>
    <row r="136" spans="1:27" x14ac:dyDescent="0.25">
      <c r="A136" s="22" t="str">
        <f>VLOOKUP(Rapid[[#This Row],[Código]],BD_Produto[#All],7,FALSE)</f>
        <v>Fora de linha</v>
      </c>
      <c r="B136" s="22" t="str">
        <f>IF(OR(Rapid[[#This Row],[Status]]="Em linha",Rapid[[#This Row],[Status]]="Materia Prima",Rapid[[#This Row],[Status]]="Componente"),"ok",IF(Rapid[[#This Row],[Estoque+Importação]]&lt;1,"Tirar","ok"))</f>
        <v>ok</v>
      </c>
      <c r="C136" s="23">
        <v>33070114959</v>
      </c>
      <c r="D136" s="22" t="s">
        <v>1356</v>
      </c>
      <c r="E136" s="22" t="str">
        <f>VLOOKUP(Rapid[[#This Row],[Código]],BD_Produto[],3,FALSE)</f>
        <v>Pistola de Cola</v>
      </c>
      <c r="F136" s="22" t="str">
        <f>VLOOKUP(Rapid[[#This Row],[Código]],BD_Produto[],4,FALSE)</f>
        <v>Pistola de Cola</v>
      </c>
      <c r="G136" s="24"/>
      <c r="H136" s="25"/>
      <c r="I136" s="22"/>
      <c r="J136" s="24"/>
      <c r="K136" s="24" t="str">
        <f>IFERROR(VLOOKUP(Rapid[[#This Row],[Código]],Importação!P:R,3,FALSE),"")</f>
        <v/>
      </c>
      <c r="L136" s="24">
        <f>IFERROR(VLOOKUP(Rapid[[#This Row],[Código]],Saldo[],3,FALSE),0)</f>
        <v>2</v>
      </c>
      <c r="M136" s="24">
        <f>SUM(Rapid[[#This Row],[Produção]:[Estoque]])</f>
        <v>2</v>
      </c>
      <c r="N136" s="24" t="str">
        <f>IFERROR(Rapid[[#This Row],[Estoque+Importação]]/Rapid[[#This Row],[Proj. de V. No prox. mes]],"Sem Projeção")</f>
        <v>Sem Projeção</v>
      </c>
      <c r="O136" s="24" t="str">
        <f>IF(OR(Rapid[[#This Row],[Status]]="Em Linha",Rapid[[#This Row],[Status]]="Componente",Rapid[[#This Row],[Status]]="Materia Prima"),Rapid[[#This Row],[Proj. de V. No prox. mes]]*10,"-")</f>
        <v>-</v>
      </c>
      <c r="P13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6" s="75">
        <f>VLOOKUP(Rapid[[#This Row],[Código]],Projeção[#All],15,FALSE)</f>
        <v>0</v>
      </c>
      <c r="R136" s="39">
        <f>VLOOKUP(Rapid[[#This Row],[Código]],Projeção[#All],14,FALSE)</f>
        <v>0</v>
      </c>
      <c r="S136" s="39">
        <f>IFERROR(VLOOKUP(Rapid[[#This Row],[Código]],Venda_mes[],2,FALSE),0)</f>
        <v>0</v>
      </c>
      <c r="T136" s="44" t="str">
        <f>IFERROR(Rapid[[#This Row],[V. No mes]]/Rapid[[#This Row],[Proj. de V. No mes]],"")</f>
        <v/>
      </c>
      <c r="U136" s="43">
        <f>VLOOKUP(Rapid[[#This Row],[Código]],Projeção[#All],14,FALSE)+VLOOKUP(Rapid[[#This Row],[Código]],Projeção[#All],13,FALSE)+VLOOKUP(Rapid[[#This Row],[Código]],Projeção[#All],12,FALSE)</f>
        <v>0</v>
      </c>
      <c r="V136" s="39">
        <f>IFERROR(VLOOKUP(Rapid[[#This Row],[Código]],Venda_3meses[],2,FALSE),0)</f>
        <v>0</v>
      </c>
      <c r="W136" s="44" t="str">
        <f>IFERROR(Rapid[[#This Row],[V. 3 meses]]/Rapid[[#This Row],[Proj. de V. 3 meses]],"")</f>
        <v/>
      </c>
      <c r="X13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6" s="39">
        <f>IFERROR(VLOOKUP(Rapid[[#This Row],[Código]],Venda_12meses[],2,FALSE),0)</f>
        <v>0</v>
      </c>
      <c r="Z136" s="44" t="str">
        <f>IFERROR(Rapid[[#This Row],[V. 12 meses]]/Rapid[[#This Row],[Proj. de V. 12 meses]],"")</f>
        <v/>
      </c>
      <c r="AA136" s="22"/>
    </row>
    <row r="137" spans="1:27" x14ac:dyDescent="0.25">
      <c r="A137" s="22" t="str">
        <f>VLOOKUP(Rapid[[#This Row],[Código]],BD_Produto[#All],7,FALSE)</f>
        <v>Fora de linha</v>
      </c>
      <c r="B137" s="22" t="str">
        <f>IF(OR(Rapid[[#This Row],[Status]]="Em linha",Rapid[[#This Row],[Status]]="Materia Prima",Rapid[[#This Row],[Status]]="Componente"),"ok",IF(Rapid[[#This Row],[Estoque+Importação]]&lt;1,"Tirar","ok"))</f>
        <v>ok</v>
      </c>
      <c r="C137" s="23">
        <v>33070144118</v>
      </c>
      <c r="D137" s="22" t="s">
        <v>520</v>
      </c>
      <c r="E137" s="22" t="str">
        <f>VLOOKUP(Rapid[[#This Row],[Código]],BD_Produto[],3,FALSE)</f>
        <v>Grampeador Martelo</v>
      </c>
      <c r="F137" s="22" t="str">
        <f>VLOOKUP(Rapid[[#This Row],[Código]],BD_Produto[],4,FALSE)</f>
        <v>Grampeador Martelo</v>
      </c>
      <c r="G137" s="24"/>
      <c r="H137" s="25"/>
      <c r="I137" s="22"/>
      <c r="J137" s="24"/>
      <c r="K137" s="24" t="str">
        <f>IFERROR(VLOOKUP(Rapid[[#This Row],[Código]],Importação!P:R,3,FALSE),"")</f>
        <v/>
      </c>
      <c r="L137" s="24">
        <f>IFERROR(VLOOKUP(Rapid[[#This Row],[Código]],Saldo[],3,FALSE),0)</f>
        <v>10</v>
      </c>
      <c r="M137" s="24">
        <f>SUM(Rapid[[#This Row],[Produção]:[Estoque]])</f>
        <v>10</v>
      </c>
      <c r="N137" s="24" t="str">
        <f>IFERROR(Rapid[[#This Row],[Estoque+Importação]]/Rapid[[#This Row],[Proj. de V. No prox. mes]],"Sem Projeção")</f>
        <v>Sem Projeção</v>
      </c>
      <c r="O137" s="24" t="str">
        <f>IF(OR(Rapid[[#This Row],[Status]]="Em Linha",Rapid[[#This Row],[Status]]="Componente",Rapid[[#This Row],[Status]]="Materia Prima"),Rapid[[#This Row],[Proj. de V. No prox. mes]]*10,"-")</f>
        <v>-</v>
      </c>
      <c r="P13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7" s="75">
        <f>VLOOKUP(Rapid[[#This Row],[Código]],Projeção[#All],15,FALSE)</f>
        <v>0</v>
      </c>
      <c r="R137" s="39">
        <f>VLOOKUP(Rapid[[#This Row],[Código]],Projeção[#All],14,FALSE)</f>
        <v>0</v>
      </c>
      <c r="S137" s="39">
        <f>IFERROR(VLOOKUP(Rapid[[#This Row],[Código]],Venda_mes[],2,FALSE),0)</f>
        <v>0</v>
      </c>
      <c r="T137" s="44" t="str">
        <f>IFERROR(Rapid[[#This Row],[V. No mes]]/Rapid[[#This Row],[Proj. de V. No mes]],"")</f>
        <v/>
      </c>
      <c r="U137" s="43">
        <f>VLOOKUP(Rapid[[#This Row],[Código]],Projeção[#All],14,FALSE)+VLOOKUP(Rapid[[#This Row],[Código]],Projeção[#All],13,FALSE)+VLOOKUP(Rapid[[#This Row],[Código]],Projeção[#All],12,FALSE)</f>
        <v>0</v>
      </c>
      <c r="V137" s="39">
        <f>IFERROR(VLOOKUP(Rapid[[#This Row],[Código]],Venda_3meses[],2,FALSE),0)</f>
        <v>0</v>
      </c>
      <c r="W137" s="44" t="str">
        <f>IFERROR(Rapid[[#This Row],[V. 3 meses]]/Rapid[[#This Row],[Proj. de V. 3 meses]],"")</f>
        <v/>
      </c>
      <c r="X13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7" s="39">
        <f>IFERROR(VLOOKUP(Rapid[[#This Row],[Código]],Venda_12meses[],2,FALSE),0)</f>
        <v>0</v>
      </c>
      <c r="Z137" s="44" t="str">
        <f>IFERROR(Rapid[[#This Row],[V. 12 meses]]/Rapid[[#This Row],[Proj. de V. 12 meses]],"")</f>
        <v/>
      </c>
      <c r="AA137" s="22"/>
    </row>
    <row r="138" spans="1:27" x14ac:dyDescent="0.25">
      <c r="A138" s="22" t="str">
        <f>VLOOKUP(Rapid[[#This Row],[Código]],BD_Produto[#All],7,FALSE)</f>
        <v>Fora de linha</v>
      </c>
      <c r="B138" s="22" t="str">
        <f>IF(OR(Rapid[[#This Row],[Status]]="Em linha",Rapid[[#This Row],[Status]]="Materia Prima",Rapid[[#This Row],[Status]]="Componente"),"ok",IF(Rapid[[#This Row],[Estoque+Importação]]&lt;1,"Tirar","ok"))</f>
        <v>ok</v>
      </c>
      <c r="C138" s="23">
        <v>33060161113</v>
      </c>
      <c r="D138" s="22" t="s">
        <v>1167</v>
      </c>
      <c r="E138" s="22" t="str">
        <f>VLOOKUP(Rapid[[#This Row],[Código]],BD_Produto[],3,FALSE)</f>
        <v>Grampeador de Mesa</v>
      </c>
      <c r="F138" s="22" t="str">
        <f>VLOOKUP(Rapid[[#This Row],[Código]],BD_Produto[],4,FALSE)</f>
        <v>Grampeador de Mesa</v>
      </c>
      <c r="G138" s="24"/>
      <c r="H138" s="25"/>
      <c r="I138" s="22"/>
      <c r="J138" s="24"/>
      <c r="K138" s="24" t="str">
        <f>IFERROR(VLOOKUP(Rapid[[#This Row],[Código]],Importação!P:R,3,FALSE),"")</f>
        <v/>
      </c>
      <c r="L138" s="24">
        <f>IFERROR(VLOOKUP(Rapid[[#This Row],[Código]],Saldo[],3,FALSE),0)</f>
        <v>8</v>
      </c>
      <c r="M138" s="24">
        <f>SUM(Rapid[[#This Row],[Produção]:[Estoque]])</f>
        <v>8</v>
      </c>
      <c r="N138" s="24" t="str">
        <f>IFERROR(Rapid[[#This Row],[Estoque+Importação]]/Rapid[[#This Row],[Proj. de V. No prox. mes]],"Sem Projeção")</f>
        <v>Sem Projeção</v>
      </c>
      <c r="O138" s="24" t="str">
        <f>IF(OR(Rapid[[#This Row],[Status]]="Em Linha",Rapid[[#This Row],[Status]]="Componente",Rapid[[#This Row],[Status]]="Materia Prima"),Rapid[[#This Row],[Proj. de V. No prox. mes]]*10,"-")</f>
        <v>-</v>
      </c>
      <c r="P13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8" s="75">
        <f>VLOOKUP(Rapid[[#This Row],[Código]],Projeção[#All],15,FALSE)</f>
        <v>0</v>
      </c>
      <c r="R138" s="39">
        <f>VLOOKUP(Rapid[[#This Row],[Código]],Projeção[#All],14,FALSE)</f>
        <v>0</v>
      </c>
      <c r="S138" s="39">
        <f>IFERROR(VLOOKUP(Rapid[[#This Row],[Código]],Venda_mes[],2,FALSE),0)</f>
        <v>0</v>
      </c>
      <c r="T138" s="44" t="str">
        <f>IFERROR(Rapid[[#This Row],[V. No mes]]/Rapid[[#This Row],[Proj. de V. No mes]],"")</f>
        <v/>
      </c>
      <c r="U138" s="43">
        <f>VLOOKUP(Rapid[[#This Row],[Código]],Projeção[#All],14,FALSE)+VLOOKUP(Rapid[[#This Row],[Código]],Projeção[#All],13,FALSE)+VLOOKUP(Rapid[[#This Row],[Código]],Projeção[#All],12,FALSE)</f>
        <v>0</v>
      </c>
      <c r="V138" s="24">
        <f>IFERROR(VLOOKUP(Rapid[[#This Row],[Código]],Venda_3meses[],2,FALSE),0)</f>
        <v>0</v>
      </c>
      <c r="W138" s="44" t="str">
        <f>IFERROR(Rapid[[#This Row],[V. 3 meses]]/Rapid[[#This Row],[Proj. de V. 3 meses]],"")</f>
        <v/>
      </c>
      <c r="X13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38" s="24">
        <f>IFERROR(VLOOKUP(Rapid[[#This Row],[Código]],Venda_12meses[],2,FALSE),0)</f>
        <v>0</v>
      </c>
      <c r="Z138" s="44" t="str">
        <f>IFERROR(Rapid[[#This Row],[V. 12 meses]]/Rapid[[#This Row],[Proj. de V. 12 meses]],"")</f>
        <v/>
      </c>
      <c r="AA138" s="22"/>
    </row>
    <row r="139" spans="1:27" x14ac:dyDescent="0.25">
      <c r="A139" s="22" t="str">
        <f>VLOOKUP(Rapid[[#This Row],[Código]],BD_Produto[#All],7,FALSE)</f>
        <v>Fora de linha</v>
      </c>
      <c r="B13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39" s="23">
        <v>33060763225</v>
      </c>
      <c r="D139" s="22" t="s">
        <v>336</v>
      </c>
      <c r="E139" s="22" t="str">
        <f>VLOOKUP(Rapid[[#This Row],[Código]],BD_Produto[],3,FALSE)</f>
        <v>Perfurador</v>
      </c>
      <c r="F139" s="22" t="str">
        <f>VLOOKUP(Rapid[[#This Row],[Código]],BD_Produto[],4,FALSE)</f>
        <v>Perfurador</v>
      </c>
      <c r="G139" s="24"/>
      <c r="H139" s="25"/>
      <c r="I139" s="22"/>
      <c r="J139" s="24"/>
      <c r="K139" s="24" t="str">
        <f>IFERROR(VLOOKUP(Rapid[[#This Row],[Código]],Importação!P:R,3,FALSE),"")</f>
        <v/>
      </c>
      <c r="L139" s="24">
        <f>IFERROR(VLOOKUP(Rapid[[#This Row],[Código]],Saldo[],3,FALSE),0)</f>
        <v>0</v>
      </c>
      <c r="M139" s="24">
        <f>SUM(Rapid[[#This Row],[Produção]:[Estoque]])</f>
        <v>0</v>
      </c>
      <c r="N139" s="24">
        <f>IFERROR(Rapid[[#This Row],[Estoque+Importação]]/Rapid[[#This Row],[Proj. de V. No prox. mes]],"Sem Projeção")</f>
        <v>0</v>
      </c>
      <c r="O139" s="24" t="str">
        <f>IF(OR(Rapid[[#This Row],[Status]]="Em Linha",Rapid[[#This Row],[Status]]="Componente",Rapid[[#This Row],[Status]]="Materia Prima"),Rapid[[#This Row],[Proj. de V. No prox. mes]]*10,"-")</f>
        <v>-</v>
      </c>
      <c r="P13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39" s="75">
        <f>VLOOKUP(Rapid[[#This Row],[Código]],Projeção[#All],15,FALSE)</f>
        <v>5.1999999999999993</v>
      </c>
      <c r="R139" s="39">
        <f>VLOOKUP(Rapid[[#This Row],[Código]],Projeção[#All],14,FALSE)</f>
        <v>36.466666666666661</v>
      </c>
      <c r="S139" s="39">
        <f>IFERROR(VLOOKUP(Rapid[[#This Row],[Código]],Venda_mes[],2,FALSE),0)</f>
        <v>0</v>
      </c>
      <c r="T139" s="44">
        <f>IFERROR(Rapid[[#This Row],[V. No mes]]/Rapid[[#This Row],[Proj. de V. No mes]],"")</f>
        <v>0</v>
      </c>
      <c r="U139" s="43">
        <f>VLOOKUP(Rapid[[#This Row],[Código]],Projeção[#All],14,FALSE)+VLOOKUP(Rapid[[#This Row],[Código]],Projeção[#All],13,FALSE)+VLOOKUP(Rapid[[#This Row],[Código]],Projeção[#All],12,FALSE)</f>
        <v>107.36666666666665</v>
      </c>
      <c r="V139" s="39">
        <f>IFERROR(VLOOKUP(Rapid[[#This Row],[Código]],Venda_3meses[],2,FALSE),0)</f>
        <v>0</v>
      </c>
      <c r="W139" s="44">
        <f>IFERROR(Rapid[[#This Row],[V. 3 meses]]/Rapid[[#This Row],[Proj. de V. 3 meses]],"")</f>
        <v>0</v>
      </c>
      <c r="X13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685.46666666666658</v>
      </c>
      <c r="Y139" s="39">
        <f>IFERROR(VLOOKUP(Rapid[[#This Row],[Código]],Venda_12meses[],2,FALSE),0)</f>
        <v>156</v>
      </c>
      <c r="Z139" s="44">
        <f>IFERROR(Rapid[[#This Row],[V. 12 meses]]/Rapid[[#This Row],[Proj. de V. 12 meses]],"")</f>
        <v>0.22758218245477535</v>
      </c>
      <c r="AA139" s="22"/>
    </row>
    <row r="140" spans="1:27" x14ac:dyDescent="0.25">
      <c r="A140" s="22" t="str">
        <f>VLOOKUP(Rapid[[#This Row],[Código]],BD_Produto[#All],7,FALSE)</f>
        <v>Fora de linha</v>
      </c>
      <c r="B14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0" s="23">
        <v>33070114634</v>
      </c>
      <c r="D140" s="22" t="s">
        <v>494</v>
      </c>
      <c r="E140" s="22" t="str">
        <f>VLOOKUP(Rapid[[#This Row],[Código]],BD_Produto[],3,FALSE)</f>
        <v>Grampeador Alicate</v>
      </c>
      <c r="F140" s="22" t="str">
        <f>VLOOKUP(Rapid[[#This Row],[Código]],BD_Produto[],4,FALSE)</f>
        <v>Grampeador Alicate</v>
      </c>
      <c r="G140" s="24">
        <v>10</v>
      </c>
      <c r="H140" s="25"/>
      <c r="I140" s="22"/>
      <c r="J140" s="24"/>
      <c r="K140" s="24" t="str">
        <f>IFERROR(VLOOKUP(Rapid[[#This Row],[Código]],Importação!P:R,3,FALSE),"")</f>
        <v/>
      </c>
      <c r="L140" s="24">
        <f>IFERROR(VLOOKUP(Rapid[[#This Row],[Código]],Saldo[],3,FALSE),0)</f>
        <v>0</v>
      </c>
      <c r="M140" s="24">
        <f>SUM(Rapid[[#This Row],[Produção]:[Estoque]])</f>
        <v>0</v>
      </c>
      <c r="N140" s="24">
        <f>IFERROR(Rapid[[#This Row],[Estoque+Importação]]/Rapid[[#This Row],[Proj. de V. No prox. mes]],"Sem Projeção")</f>
        <v>0</v>
      </c>
      <c r="O140" s="24" t="str">
        <f>IF(OR(Rapid[[#This Row],[Status]]="Em Linha",Rapid[[#This Row],[Status]]="Componente",Rapid[[#This Row],[Status]]="Materia Prima"),Rapid[[#This Row],[Proj. de V. No prox. mes]]*10,"-")</f>
        <v>-</v>
      </c>
      <c r="P14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0" s="75">
        <f>VLOOKUP(Rapid[[#This Row],[Código]],Projeção[#All],15,FALSE)</f>
        <v>4.2666666666666666</v>
      </c>
      <c r="R140" s="39">
        <f>VLOOKUP(Rapid[[#This Row],[Código]],Projeção[#All],14,FALSE)</f>
        <v>5.1333333333333329</v>
      </c>
      <c r="S140" s="39">
        <f>IFERROR(VLOOKUP(Rapid[[#This Row],[Código]],Venda_mes[],2,FALSE),0)</f>
        <v>0</v>
      </c>
      <c r="T140" s="44">
        <f>IFERROR(Rapid[[#This Row],[V. No mes]]/Rapid[[#This Row],[Proj. de V. No mes]],"")</f>
        <v>0</v>
      </c>
      <c r="U140" s="43">
        <f>VLOOKUP(Rapid[[#This Row],[Código]],Projeção[#All],14,FALSE)+VLOOKUP(Rapid[[#This Row],[Código]],Projeção[#All],13,FALSE)+VLOOKUP(Rapid[[#This Row],[Código]],Projeção[#All],12,FALSE)</f>
        <v>15.833333333333334</v>
      </c>
      <c r="V140" s="39">
        <f>IFERROR(VLOOKUP(Rapid[[#This Row],[Código]],Venda_3meses[],2,FALSE),0)</f>
        <v>0</v>
      </c>
      <c r="W140" s="44">
        <f>IFERROR(Rapid[[#This Row],[V. 3 meses]]/Rapid[[#This Row],[Proj. de V. 3 meses]],"")</f>
        <v>0</v>
      </c>
      <c r="X14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52.733333333333327</v>
      </c>
      <c r="Y140" s="39">
        <f>IFERROR(VLOOKUP(Rapid[[#This Row],[Código]],Venda_12meses[],2,FALSE),0)</f>
        <v>98</v>
      </c>
      <c r="Z140" s="44">
        <f>IFERROR(Rapid[[#This Row],[V. 12 meses]]/Rapid[[#This Row],[Proj. de V. 12 meses]],"")</f>
        <v>1.8584070796460179</v>
      </c>
      <c r="AA140" s="22"/>
    </row>
    <row r="141" spans="1:27" x14ac:dyDescent="0.25">
      <c r="A141" s="22" t="str">
        <f>VLOOKUP(Rapid[[#This Row],[Código]],BD_Produto[#All],7,FALSE)</f>
        <v>Fora de linha</v>
      </c>
      <c r="B141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1" s="23">
        <v>33060714919</v>
      </c>
      <c r="D141" s="22" t="s">
        <v>328</v>
      </c>
      <c r="E141" s="22" t="str">
        <f>VLOOKUP(Rapid[[#This Row],[Código]],BD_Produto[],3,FALSE)</f>
        <v>Perfurador</v>
      </c>
      <c r="F141" s="22" t="str">
        <f>VLOOKUP(Rapid[[#This Row],[Código]],BD_Produto[],4,FALSE)</f>
        <v>Perfurador</v>
      </c>
      <c r="G141" s="24"/>
      <c r="H141" s="25"/>
      <c r="I141" s="22"/>
      <c r="J141" s="24"/>
      <c r="K141" s="24" t="str">
        <f>IFERROR(VLOOKUP(Rapid[[#This Row],[Código]],Importação!P:R,3,FALSE),"")</f>
        <v/>
      </c>
      <c r="L141" s="24">
        <f>IFERROR(VLOOKUP(Rapid[[#This Row],[Código]],Saldo[],3,FALSE),0)</f>
        <v>0</v>
      </c>
      <c r="M141" s="24">
        <f>SUM(Rapid[[#This Row],[Produção]:[Estoque]])</f>
        <v>0</v>
      </c>
      <c r="N141" s="24">
        <f>IFERROR(Rapid[[#This Row],[Estoque+Importação]]/Rapid[[#This Row],[Proj. de V. No prox. mes]],"Sem Projeção")</f>
        <v>0</v>
      </c>
      <c r="O141" s="24" t="str">
        <f>IF(OR(Rapid[[#This Row],[Status]]="Em Linha",Rapid[[#This Row],[Status]]="Componente",Rapid[[#This Row],[Status]]="Materia Prima"),Rapid[[#This Row],[Proj. de V. No prox. mes]]*10,"-")</f>
        <v>-</v>
      </c>
      <c r="P14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1" s="75">
        <f>VLOOKUP(Rapid[[#This Row],[Código]],Projeção[#All],15,FALSE)</f>
        <v>15.499999999999998</v>
      </c>
      <c r="R141" s="39">
        <f>VLOOKUP(Rapid[[#This Row],[Código]],Projeção[#All],14,FALSE)</f>
        <v>125.03333333333335</v>
      </c>
      <c r="S141" s="39">
        <f>IFERROR(VLOOKUP(Rapid[[#This Row],[Código]],Venda_mes[],2,FALSE),0)</f>
        <v>0</v>
      </c>
      <c r="T141" s="44">
        <f>IFERROR(Rapid[[#This Row],[V. No mes]]/Rapid[[#This Row],[Proj. de V. No mes]],"")</f>
        <v>0</v>
      </c>
      <c r="U141" s="43">
        <f>VLOOKUP(Rapid[[#This Row],[Código]],Projeção[#All],14,FALSE)+VLOOKUP(Rapid[[#This Row],[Código]],Projeção[#All],13,FALSE)+VLOOKUP(Rapid[[#This Row],[Código]],Projeção[#All],12,FALSE)</f>
        <v>198.70000000000002</v>
      </c>
      <c r="V141" s="39">
        <f>IFERROR(VLOOKUP(Rapid[[#This Row],[Código]],Venda_3meses[],2,FALSE),0)</f>
        <v>2</v>
      </c>
      <c r="W141" s="44">
        <f>IFERROR(Rapid[[#This Row],[V. 3 meses]]/Rapid[[#This Row],[Proj. de V. 3 meses]],"")</f>
        <v>1.0065425264217413E-2</v>
      </c>
      <c r="X14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333</v>
      </c>
      <c r="Y141" s="39">
        <f>IFERROR(VLOOKUP(Rapid[[#This Row],[Código]],Venda_12meses[],2,FALSE),0)</f>
        <v>453</v>
      </c>
      <c r="Z141" s="44">
        <f>IFERROR(Rapid[[#This Row],[V. 12 meses]]/Rapid[[#This Row],[Proj. de V. 12 meses]],"")</f>
        <v>1.3603603603603605</v>
      </c>
      <c r="AA141" s="22"/>
    </row>
    <row r="142" spans="1:27" x14ac:dyDescent="0.25">
      <c r="A142" s="22" t="str">
        <f>VLOOKUP(Rapid[[#This Row],[Código]],BD_Produto[#All],7,FALSE)</f>
        <v>Fora de linha</v>
      </c>
      <c r="B142" s="22" t="str">
        <f>IF(OR(Rapid[[#This Row],[Status]]="Em linha",Rapid[[#This Row],[Status]]="Materia Prima",Rapid[[#This Row],[Status]]="Componente"),"ok",IF(Rapid[[#This Row],[Estoque+Importação]]&lt;1,"Tirar","ok"))</f>
        <v>ok</v>
      </c>
      <c r="C142" s="23">
        <v>33060160539</v>
      </c>
      <c r="D142" s="22" t="s">
        <v>192</v>
      </c>
      <c r="E142" s="22" t="str">
        <f>VLOOKUP(Rapid[[#This Row],[Código]],BD_Produto[],3,FALSE)</f>
        <v>Grampeador de Mesa</v>
      </c>
      <c r="F142" s="22" t="str">
        <f>VLOOKUP(Rapid[[#This Row],[Código]],BD_Produto[],4,FALSE)</f>
        <v>Grampeador de Mesa</v>
      </c>
      <c r="G142" s="24"/>
      <c r="H142" s="25"/>
      <c r="I142" s="22"/>
      <c r="J142" s="24"/>
      <c r="K142" s="24" t="str">
        <f>IFERROR(VLOOKUP(Rapid[[#This Row],[Código]],Importação!P:R,3,FALSE),"")</f>
        <v/>
      </c>
      <c r="L142" s="24">
        <f>IFERROR(VLOOKUP(Rapid[[#This Row],[Código]],Saldo[],3,FALSE),0)</f>
        <v>1</v>
      </c>
      <c r="M142" s="24">
        <f>SUM(Rapid[[#This Row],[Produção]:[Estoque]])</f>
        <v>1</v>
      </c>
      <c r="N142" s="24">
        <f>IFERROR(Rapid[[#This Row],[Estoque+Importação]]/Rapid[[#This Row],[Proj. de V. No prox. mes]],"Sem Projeção")</f>
        <v>15</v>
      </c>
      <c r="O142" s="24" t="str">
        <f>IF(OR(Rapid[[#This Row],[Status]]="Em Linha",Rapid[[#This Row],[Status]]="Componente",Rapid[[#This Row],[Status]]="Materia Prima"),Rapid[[#This Row],[Proj. de V. No prox. mes]]*10,"-")</f>
        <v>-</v>
      </c>
      <c r="P14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2" s="75">
        <f>VLOOKUP(Rapid[[#This Row],[Código]],Projeção[#All],15,FALSE)</f>
        <v>6.6666666666666666E-2</v>
      </c>
      <c r="R142" s="39">
        <f>VLOOKUP(Rapid[[#This Row],[Código]],Projeção[#All],14,FALSE)</f>
        <v>1.0333333333333332</v>
      </c>
      <c r="S142" s="39">
        <f>IFERROR(VLOOKUP(Rapid[[#This Row],[Código]],Venda_mes[],2,FALSE),0)</f>
        <v>0</v>
      </c>
      <c r="T142" s="44">
        <f>IFERROR(Rapid[[#This Row],[V. No mes]]/Rapid[[#This Row],[Proj. de V. No mes]],"")</f>
        <v>0</v>
      </c>
      <c r="U142" s="43">
        <f>VLOOKUP(Rapid[[#This Row],[Código]],Projeção[#All],14,FALSE)+VLOOKUP(Rapid[[#This Row],[Código]],Projeção[#All],13,FALSE)+VLOOKUP(Rapid[[#This Row],[Código]],Projeção[#All],12,FALSE)</f>
        <v>3.5</v>
      </c>
      <c r="V142" s="39">
        <f>IFERROR(VLOOKUP(Rapid[[#This Row],[Código]],Venda_3meses[],2,FALSE),0)</f>
        <v>0</v>
      </c>
      <c r="W142" s="44">
        <f>IFERROR(Rapid[[#This Row],[V. 3 meses]]/Rapid[[#This Row],[Proj. de V. 3 meses]],"")</f>
        <v>0</v>
      </c>
      <c r="X14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28.666666666666664</v>
      </c>
      <c r="Y142" s="39">
        <f>IFERROR(VLOOKUP(Rapid[[#This Row],[Código]],Venda_12meses[],2,FALSE),0)</f>
        <v>2</v>
      </c>
      <c r="Z142" s="44">
        <f>IFERROR(Rapid[[#This Row],[V. 12 meses]]/Rapid[[#This Row],[Proj. de V. 12 meses]],"")</f>
        <v>6.9767441860465115E-2</v>
      </c>
      <c r="AA142" s="22"/>
    </row>
    <row r="143" spans="1:27" x14ac:dyDescent="0.25">
      <c r="A143" s="22" t="str">
        <f>VLOOKUP(Rapid[[#This Row],[Código]],BD_Produto[#All],7,FALSE)</f>
        <v>Fora de linha</v>
      </c>
      <c r="B143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3" s="23">
        <v>33070561586</v>
      </c>
      <c r="D143" s="22" t="s">
        <v>588</v>
      </c>
      <c r="E143" s="22" t="str">
        <f>VLOOKUP(Rapid[[#This Row],[Código]],BD_Produto[],3,FALSE)</f>
        <v>Grampo</v>
      </c>
      <c r="F143" s="22" t="str">
        <f>VLOOKUP(Rapid[[#This Row],[Código]],BD_Produto[],4,FALSE)</f>
        <v>Grampeador Pistola</v>
      </c>
      <c r="G143" s="24"/>
      <c r="H143" s="25"/>
      <c r="I143" s="22"/>
      <c r="J143" s="24"/>
      <c r="K143" s="24" t="str">
        <f>IFERROR(VLOOKUP(Rapid[[#This Row],[Código]],Importação!P:R,3,FALSE),"")</f>
        <v/>
      </c>
      <c r="L143" s="24">
        <f>IFERROR(VLOOKUP(Rapid[[#This Row],[Código]],Saldo[],3,FALSE),0)</f>
        <v>0</v>
      </c>
      <c r="M143" s="24">
        <f>SUM(Rapid[[#This Row],[Produção]:[Estoque]])</f>
        <v>0</v>
      </c>
      <c r="N143" s="24" t="str">
        <f>IFERROR(Rapid[[#This Row],[Estoque+Importação]]/Rapid[[#This Row],[Proj. de V. No prox. mes]],"Sem Projeção")</f>
        <v>Sem Projeção</v>
      </c>
      <c r="O143" s="24" t="str">
        <f>IF(OR(Rapid[[#This Row],[Status]]="Em Linha",Rapid[[#This Row],[Status]]="Componente",Rapid[[#This Row],[Status]]="Materia Prima"),Rapid[[#This Row],[Proj. de V. No prox. mes]]*10,"-")</f>
        <v>-</v>
      </c>
      <c r="P14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3" s="75">
        <f>VLOOKUP(Rapid[[#This Row],[Código]],Projeção[#All],15,FALSE)</f>
        <v>0</v>
      </c>
      <c r="R143" s="39">
        <f>VLOOKUP(Rapid[[#This Row],[Código]],Projeção[#All],14,FALSE)</f>
        <v>6.9999999999999991</v>
      </c>
      <c r="S143" s="39">
        <f>IFERROR(VLOOKUP(Rapid[[#This Row],[Código]],Venda_mes[],2,FALSE),0)</f>
        <v>0</v>
      </c>
      <c r="T143" s="44">
        <f>IFERROR(Rapid[[#This Row],[V. No mes]]/Rapid[[#This Row],[Proj. de V. No mes]],"")</f>
        <v>0</v>
      </c>
      <c r="U143" s="43">
        <f>VLOOKUP(Rapid[[#This Row],[Código]],Projeção[#All],14,FALSE)+VLOOKUP(Rapid[[#This Row],[Código]],Projeção[#All],13,FALSE)+VLOOKUP(Rapid[[#This Row],[Código]],Projeção[#All],12,FALSE)</f>
        <v>25.666666666666664</v>
      </c>
      <c r="V143" s="39">
        <f>IFERROR(VLOOKUP(Rapid[[#This Row],[Código]],Venda_3meses[],2,FALSE),0)</f>
        <v>0</v>
      </c>
      <c r="W143" s="44">
        <f>IFERROR(Rapid[[#This Row],[V. 3 meses]]/Rapid[[#This Row],[Proj. de V. 3 meses]],"")</f>
        <v>0</v>
      </c>
      <c r="X14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115.63333333333333</v>
      </c>
      <c r="Y143" s="39">
        <f>IFERROR(VLOOKUP(Rapid[[#This Row],[Código]],Venda_12meses[],2,FALSE),0)</f>
        <v>0</v>
      </c>
      <c r="Z143" s="44">
        <f>IFERROR(Rapid[[#This Row],[V. 12 meses]]/Rapid[[#This Row],[Proj. de V. 12 meses]],"")</f>
        <v>0</v>
      </c>
      <c r="AA143" s="22">
        <v>23391400</v>
      </c>
    </row>
    <row r="144" spans="1:27" x14ac:dyDescent="0.25">
      <c r="A144" s="22" t="str">
        <f>VLOOKUP(Rapid[[#This Row],[Código]],BD_Produto[#All],7,FALSE)</f>
        <v>Fora de linha</v>
      </c>
      <c r="B14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4" s="23">
        <v>33070514630</v>
      </c>
      <c r="D144" s="22" t="s">
        <v>1177</v>
      </c>
      <c r="E144" s="22" t="str">
        <f>VLOOKUP(Rapid[[#This Row],[Código]],BD_Produto[],3,FALSE)</f>
        <v>Grampo</v>
      </c>
      <c r="F144" s="22" t="str">
        <f>VLOOKUP(Rapid[[#This Row],[Código]],BD_Produto[],4,FALSE)</f>
        <v>Grampeador Alicate</v>
      </c>
      <c r="G144" s="24"/>
      <c r="H144" s="25"/>
      <c r="I144" s="22"/>
      <c r="J144" s="24"/>
      <c r="K144" s="24" t="str">
        <f>IFERROR(VLOOKUP(Rapid[[#This Row],[Código]],Importação!P:R,3,FALSE),"")</f>
        <v/>
      </c>
      <c r="L144" s="24">
        <f>IFERROR(VLOOKUP(Rapid[[#This Row],[Código]],Saldo[],3,FALSE),0)</f>
        <v>0</v>
      </c>
      <c r="M144" s="24">
        <f>SUM(Rapid[[#This Row],[Produção]:[Estoque]])</f>
        <v>0</v>
      </c>
      <c r="N144" s="24" t="str">
        <f>IFERROR(Rapid[[#This Row],[Estoque+Importação]]/Rapid[[#This Row],[Proj. de V. No prox. mes]],"Sem Projeção")</f>
        <v>Sem Projeção</v>
      </c>
      <c r="O144" s="24" t="str">
        <f>IF(OR(Rapid[[#This Row],[Status]]="Em Linha",Rapid[[#This Row],[Status]]="Componente",Rapid[[#This Row],[Status]]="Materia Prima"),Rapid[[#This Row],[Proj. de V. No prox. mes]]*10,"-")</f>
        <v>-</v>
      </c>
      <c r="P14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4" s="83">
        <f>VLOOKUP(Rapid[[#This Row],[Código]],Projeção[#All],15,FALSE)</f>
        <v>0</v>
      </c>
      <c r="R144" s="24">
        <f>VLOOKUP(Rapid[[#This Row],[Código]],Projeção[#All],14,FALSE)</f>
        <v>5.7333333333333334</v>
      </c>
      <c r="S144" s="24">
        <f>IFERROR(VLOOKUP(Rapid[[#This Row],[Código]],Venda_mes[],2,FALSE),0)</f>
        <v>0</v>
      </c>
      <c r="T144" s="45">
        <f>IFERROR(Rapid[[#This Row],[V. No mes]]/Rapid[[#This Row],[Proj. de V. No mes]],"")</f>
        <v>0</v>
      </c>
      <c r="U144" s="39">
        <f>VLOOKUP(Rapid[[#This Row],[Código]],Projeção[#All],14,FALSE)+VLOOKUP(Rapid[[#This Row],[Código]],Projeção[#All],13,FALSE)+VLOOKUP(Rapid[[#This Row],[Código]],Projeção[#All],12,FALSE)</f>
        <v>19.400000000000002</v>
      </c>
      <c r="V144" s="24">
        <f>IFERROR(VLOOKUP(Rapid[[#This Row],[Código]],Venda_3meses[],2,FALSE),0)</f>
        <v>0</v>
      </c>
      <c r="W144" s="45">
        <f>IFERROR(Rapid[[#This Row],[V. 3 meses]]/Rapid[[#This Row],[Proj. de V. 3 meses]],"")</f>
        <v>0</v>
      </c>
      <c r="X144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183.26666666666668</v>
      </c>
      <c r="Y144" s="24">
        <f>IFERROR(VLOOKUP(Rapid[[#This Row],[Código]],Venda_12meses[],2,FALSE),0)</f>
        <v>0</v>
      </c>
      <c r="Z144" s="45">
        <f>IFERROR(Rapid[[#This Row],[V. 12 meses]]/Rapid[[#This Row],[Proj. de V. 12 meses]],"")</f>
        <v>0</v>
      </c>
      <c r="AA144" s="22" t="s">
        <v>1696</v>
      </c>
    </row>
    <row r="145" spans="1:27" x14ac:dyDescent="0.25">
      <c r="A145" s="22" t="str">
        <f>VLOOKUP(Rapid[[#This Row],[Código]],BD_Produto[#All],7,FALSE)</f>
        <v>Fora de linha</v>
      </c>
      <c r="B14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5" s="23">
        <v>33070114933</v>
      </c>
      <c r="D145" s="22" t="s">
        <v>497</v>
      </c>
      <c r="E145" s="22" t="str">
        <f>VLOOKUP(Rapid[[#This Row],[Código]],BD_Produto[],3,FALSE)</f>
        <v>Grampeador Pistola</v>
      </c>
      <c r="F145" s="22" t="str">
        <f>VLOOKUP(Rapid[[#This Row],[Código]],BD_Produto[],4,FALSE)</f>
        <v>Grampeador Pistola</v>
      </c>
      <c r="G145" s="24"/>
      <c r="H145" s="25"/>
      <c r="I145" s="22"/>
      <c r="J145" s="24"/>
      <c r="K145" s="24" t="str">
        <f>IFERROR(VLOOKUP(Rapid[[#This Row],[Código]],Importação!P:R,3,FALSE),"")</f>
        <v/>
      </c>
      <c r="L145" s="24">
        <f>IFERROR(VLOOKUP(Rapid[[#This Row],[Código]],Saldo[],3,FALSE),0)</f>
        <v>0</v>
      </c>
      <c r="M145" s="24">
        <f>SUM(Rapid[[#This Row],[Produção]:[Estoque]])</f>
        <v>0</v>
      </c>
      <c r="N145" s="24" t="str">
        <f>IFERROR(Rapid[[#This Row],[Estoque+Importação]]/Rapid[[#This Row],[Proj. de V. No prox. mes]],"Sem Projeção")</f>
        <v>Sem Projeção</v>
      </c>
      <c r="O145" s="24" t="str">
        <f>IF(OR(Rapid[[#This Row],[Status]]="Em Linha",Rapid[[#This Row],[Status]]="Componente",Rapid[[#This Row],[Status]]="Materia Prima"),Rapid[[#This Row],[Proj. de V. No prox. mes]]*10,"-")</f>
        <v>-</v>
      </c>
      <c r="P14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5" s="75">
        <f>VLOOKUP(Rapid[[#This Row],[Código]],Projeção[#All],15,FALSE)</f>
        <v>0</v>
      </c>
      <c r="R145" s="24">
        <f>VLOOKUP(Rapid[[#This Row],[Código]],Projeção[#All],14,FALSE)</f>
        <v>0.16666666666666666</v>
      </c>
      <c r="S145" s="24">
        <f>IFERROR(VLOOKUP(Rapid[[#This Row],[Código]],Venda_mes[],2,FALSE),0)</f>
        <v>0</v>
      </c>
      <c r="T145" s="44">
        <f>IFERROR(Rapid[[#This Row],[V. No mes]]/Rapid[[#This Row],[Proj. de V. No mes]],"")</f>
        <v>0</v>
      </c>
      <c r="U145" s="43">
        <f>VLOOKUP(Rapid[[#This Row],[Código]],Projeção[#All],14,FALSE)+VLOOKUP(Rapid[[#This Row],[Código]],Projeção[#All],13,FALSE)+VLOOKUP(Rapid[[#This Row],[Código]],Projeção[#All],12,FALSE)</f>
        <v>0.5</v>
      </c>
      <c r="V145" s="24">
        <f>IFERROR(VLOOKUP(Rapid[[#This Row],[Código]],Venda_3meses[],2,FALSE),0)</f>
        <v>0</v>
      </c>
      <c r="W145" s="44">
        <f>IFERROR(Rapid[[#This Row],[V. 3 meses]]/Rapid[[#This Row],[Proj. de V. 3 meses]],"")</f>
        <v>0</v>
      </c>
      <c r="X14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5.9666666666666668</v>
      </c>
      <c r="Y145" s="24">
        <f>IFERROR(VLOOKUP(Rapid[[#This Row],[Código]],Venda_12meses[],2,FALSE),0)</f>
        <v>0</v>
      </c>
      <c r="Z145" s="44">
        <f>IFERROR(Rapid[[#This Row],[V. 12 meses]]/Rapid[[#This Row],[Proj. de V. 12 meses]],"")</f>
        <v>0</v>
      </c>
      <c r="AA145" s="22" t="s">
        <v>1686</v>
      </c>
    </row>
    <row r="146" spans="1:27" x14ac:dyDescent="0.25">
      <c r="A146" s="22" t="str">
        <f>VLOOKUP(Rapid[[#This Row],[Código]],BD_Produto[#All],7,FALSE)</f>
        <v>Fora de linha</v>
      </c>
      <c r="B14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6" s="23">
        <v>33060114806</v>
      </c>
      <c r="D146" s="22" t="s">
        <v>159</v>
      </c>
      <c r="E146" s="22" t="str">
        <f>VLOOKUP(Rapid[[#This Row],[Código]],BD_Produto[],3,FALSE)</f>
        <v>Grampeador de Mesa</v>
      </c>
      <c r="F146" s="22" t="str">
        <f>VLOOKUP(Rapid[[#This Row],[Código]],BD_Produto[],4,FALSE)</f>
        <v>Grampeador de Mesa</v>
      </c>
      <c r="G146" s="24"/>
      <c r="H146" s="25"/>
      <c r="I146" s="22"/>
      <c r="J146" s="24"/>
      <c r="K146" s="24" t="str">
        <f>IFERROR(VLOOKUP(Rapid[[#This Row],[Código]],Importação!P:R,3,FALSE),"")</f>
        <v/>
      </c>
      <c r="L146" s="24">
        <f>IFERROR(VLOOKUP(Rapid[[#This Row],[Código]],Saldo[],3,FALSE),0)</f>
        <v>0</v>
      </c>
      <c r="M146" s="24">
        <f>SUM(Rapid[[#This Row],[Produção]:[Estoque]])</f>
        <v>0</v>
      </c>
      <c r="N146" s="24" t="str">
        <f>IFERROR(Rapid[[#This Row],[Estoque+Importação]]/Rapid[[#This Row],[Proj. de V. No prox. mes]],"Sem Projeção")</f>
        <v>Sem Projeção</v>
      </c>
      <c r="O146" s="24" t="str">
        <f>IF(OR(Rapid[[#This Row],[Status]]="Em Linha",Rapid[[#This Row],[Status]]="Componente",Rapid[[#This Row],[Status]]="Materia Prima"),Rapid[[#This Row],[Proj. de V. No prox. mes]]*10,"-")</f>
        <v>-</v>
      </c>
      <c r="P14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6" s="75">
        <f>VLOOKUP(Rapid[[#This Row],[Código]],Projeção[#All],15,FALSE)</f>
        <v>0</v>
      </c>
      <c r="R146" s="24">
        <f>VLOOKUP(Rapid[[#This Row],[Código]],Projeção[#All],14,FALSE)</f>
        <v>0.16666666666666666</v>
      </c>
      <c r="S146" s="24">
        <f>IFERROR(VLOOKUP(Rapid[[#This Row],[Código]],Venda_mes[],2,FALSE),0)</f>
        <v>0</v>
      </c>
      <c r="T146" s="44">
        <f>IFERROR(Rapid[[#This Row],[V. No mes]]/Rapid[[#This Row],[Proj. de V. No mes]],"")</f>
        <v>0</v>
      </c>
      <c r="U146" s="43">
        <f>VLOOKUP(Rapid[[#This Row],[Código]],Projeção[#All],14,FALSE)+VLOOKUP(Rapid[[#This Row],[Código]],Projeção[#All],13,FALSE)+VLOOKUP(Rapid[[#This Row],[Código]],Projeção[#All],12,FALSE)</f>
        <v>0.5</v>
      </c>
      <c r="V146" s="24">
        <f>IFERROR(VLOOKUP(Rapid[[#This Row],[Código]],Venda_3meses[],2,FALSE),0)</f>
        <v>0</v>
      </c>
      <c r="W146" s="44">
        <f>IFERROR(Rapid[[#This Row],[V. 3 meses]]/Rapid[[#This Row],[Proj. de V. 3 meses]],"")</f>
        <v>0</v>
      </c>
      <c r="X14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6</v>
      </c>
      <c r="Y146" s="24">
        <f>IFERROR(VLOOKUP(Rapid[[#This Row],[Código]],Venda_12meses[],2,FALSE),0)</f>
        <v>0</v>
      </c>
      <c r="Z146" s="44">
        <f>IFERROR(Rapid[[#This Row],[V. 12 meses]]/Rapid[[#This Row],[Proj. de V. 12 meses]],"")</f>
        <v>0</v>
      </c>
      <c r="AA146" s="22"/>
    </row>
    <row r="147" spans="1:27" x14ac:dyDescent="0.25">
      <c r="A147" s="22" t="str">
        <f>VLOOKUP(Rapid[[#This Row],[Código]],BD_Produto[#All],7,FALSE)</f>
        <v>Fora de linha</v>
      </c>
      <c r="B14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7" s="23">
        <v>33060114810</v>
      </c>
      <c r="D147" s="22" t="s">
        <v>161</v>
      </c>
      <c r="E147" s="22" t="str">
        <f>VLOOKUP(Rapid[[#This Row],[Código]],BD_Produto[],3,FALSE)</f>
        <v>Grampeador de Mesa</v>
      </c>
      <c r="F147" s="22" t="str">
        <f>VLOOKUP(Rapid[[#This Row],[Código]],BD_Produto[],4,FALSE)</f>
        <v>Grampeador de Mesa</v>
      </c>
      <c r="G147" s="24"/>
      <c r="H147" s="25"/>
      <c r="I147" s="22"/>
      <c r="J147" s="24"/>
      <c r="K147" s="24" t="str">
        <f>IFERROR(VLOOKUP(Rapid[[#This Row],[Código]],Importação!P:R,3,FALSE),"")</f>
        <v/>
      </c>
      <c r="L147" s="24">
        <f>IFERROR(VLOOKUP(Rapid[[#This Row],[Código]],Saldo[],3,FALSE),0)</f>
        <v>0</v>
      </c>
      <c r="M147" s="24">
        <f>SUM(Rapid[[#This Row],[Produção]:[Estoque]])</f>
        <v>0</v>
      </c>
      <c r="N147" s="24" t="str">
        <f>IFERROR(Rapid[[#This Row],[Estoque+Importação]]/Rapid[[#This Row],[Proj. de V. No prox. mes]],"Sem Projeção")</f>
        <v>Sem Projeção</v>
      </c>
      <c r="O147" s="24" t="str">
        <f>IF(OR(Rapid[[#This Row],[Status]]="Em Linha",Rapid[[#This Row],[Status]]="Componente",Rapid[[#This Row],[Status]]="Materia Prima"),Rapid[[#This Row],[Proj. de V. No prox. mes]]*10,"-")</f>
        <v>-</v>
      </c>
      <c r="P14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7" s="75">
        <f>VLOOKUP(Rapid[[#This Row],[Código]],Projeção[#All],15,FALSE)</f>
        <v>0</v>
      </c>
      <c r="R147" s="24">
        <f>VLOOKUP(Rapid[[#This Row],[Código]],Projeção[#All],14,FALSE)</f>
        <v>0.43333333333333329</v>
      </c>
      <c r="S147" s="24">
        <f>IFERROR(VLOOKUP(Rapid[[#This Row],[Código]],Venda_mes[],2,FALSE),0)</f>
        <v>0</v>
      </c>
      <c r="T147" s="44">
        <f>IFERROR(Rapid[[#This Row],[V. No mes]]/Rapid[[#This Row],[Proj. de V. No mes]],"")</f>
        <v>0</v>
      </c>
      <c r="U147" s="43">
        <f>VLOOKUP(Rapid[[#This Row],[Código]],Projeção[#All],14,FALSE)+VLOOKUP(Rapid[[#This Row],[Código]],Projeção[#All],13,FALSE)+VLOOKUP(Rapid[[#This Row],[Código]],Projeção[#All],12,FALSE)</f>
        <v>1.2999999999999998</v>
      </c>
      <c r="V147" s="24">
        <f>IFERROR(VLOOKUP(Rapid[[#This Row],[Código]],Venda_3meses[],2,FALSE),0)</f>
        <v>0</v>
      </c>
      <c r="W147" s="44">
        <f>IFERROR(Rapid[[#This Row],[V. 3 meses]]/Rapid[[#This Row],[Proj. de V. 3 meses]],"")</f>
        <v>0</v>
      </c>
      <c r="X14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13.466666666666663</v>
      </c>
      <c r="Y147" s="24">
        <f>IFERROR(VLOOKUP(Rapid[[#This Row],[Código]],Venda_12meses[],2,FALSE),0)</f>
        <v>0</v>
      </c>
      <c r="Z147" s="44">
        <f>IFERROR(Rapid[[#This Row],[V. 12 meses]]/Rapid[[#This Row],[Proj. de V. 12 meses]],"")</f>
        <v>0</v>
      </c>
      <c r="AA147" s="22"/>
    </row>
    <row r="148" spans="1:27" x14ac:dyDescent="0.25">
      <c r="A148" s="22" t="str">
        <f>VLOOKUP(Rapid[[#This Row],[Código]],BD_Produto[#All],7,FALSE)</f>
        <v>Fora de linha</v>
      </c>
      <c r="B14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8" s="23">
        <v>33060114993</v>
      </c>
      <c r="D148" s="22" t="s">
        <v>178</v>
      </c>
      <c r="E148" s="22" t="str">
        <f>VLOOKUP(Rapid[[#This Row],[Código]],BD_Produto[],3,FALSE)</f>
        <v>Grampeador de Mesa</v>
      </c>
      <c r="F148" s="22" t="str">
        <f>VLOOKUP(Rapid[[#This Row],[Código]],BD_Produto[],4,FALSE)</f>
        <v>Grampeador de Mesa</v>
      </c>
      <c r="G148" s="24">
        <v>20</v>
      </c>
      <c r="H148" s="25"/>
      <c r="I148" s="22"/>
      <c r="J148" s="24"/>
      <c r="K148" s="24" t="str">
        <f>IFERROR(VLOOKUP(Rapid[[#This Row],[Código]],Importação!P:R,3,FALSE),"")</f>
        <v/>
      </c>
      <c r="L148" s="24">
        <f>IFERROR(VLOOKUP(Rapid[[#This Row],[Código]],Saldo[],3,FALSE),0)</f>
        <v>0</v>
      </c>
      <c r="M148" s="24">
        <f>SUM(Rapid[[#This Row],[Produção]:[Estoque]])</f>
        <v>0</v>
      </c>
      <c r="N148" s="24" t="str">
        <f>IFERROR(Rapid[[#This Row],[Estoque+Importação]]/Rapid[[#This Row],[Proj. de V. No prox. mes]],"Sem Projeção")</f>
        <v>Sem Projeção</v>
      </c>
      <c r="O148" s="24" t="str">
        <f>IF(OR(Rapid[[#This Row],[Status]]="Em Linha",Rapid[[#This Row],[Status]]="Componente",Rapid[[#This Row],[Status]]="Materia Prima"),Rapid[[#This Row],[Proj. de V. No prox. mes]]*10,"-")</f>
        <v>-</v>
      </c>
      <c r="P14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8" s="75">
        <f>VLOOKUP(Rapid[[#This Row],[Código]],Projeção[#All],15,FALSE)</f>
        <v>0</v>
      </c>
      <c r="R148" s="39">
        <f>VLOOKUP(Rapid[[#This Row],[Código]],Projeção[#All],14,FALSE)</f>
        <v>0</v>
      </c>
      <c r="S148" s="39">
        <f>IFERROR(VLOOKUP(Rapid[[#This Row],[Código]],Venda_mes[],2,FALSE),0)</f>
        <v>0</v>
      </c>
      <c r="T148" s="44" t="str">
        <f>IFERROR(Rapid[[#This Row],[V. No mes]]/Rapid[[#This Row],[Proj. de V. No mes]],"")</f>
        <v/>
      </c>
      <c r="U148" s="43">
        <f>VLOOKUP(Rapid[[#This Row],[Código]],Projeção[#All],14,FALSE)+VLOOKUP(Rapid[[#This Row],[Código]],Projeção[#All],13,FALSE)+VLOOKUP(Rapid[[#This Row],[Código]],Projeção[#All],12,FALSE)</f>
        <v>0</v>
      </c>
      <c r="V148" s="24">
        <f>IFERROR(VLOOKUP(Rapid[[#This Row],[Código]],Venda_3meses[],2,FALSE),0)</f>
        <v>0</v>
      </c>
      <c r="W148" s="44" t="str">
        <f>IFERROR(Rapid[[#This Row],[V. 3 meses]]/Rapid[[#This Row],[Proj. de V. 3 meses]],"")</f>
        <v/>
      </c>
      <c r="X14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48" s="24">
        <f>IFERROR(VLOOKUP(Rapid[[#This Row],[Código]],Venda_12meses[],2,FALSE),0)</f>
        <v>0</v>
      </c>
      <c r="Z148" s="44" t="str">
        <f>IFERROR(Rapid[[#This Row],[V. 12 meses]]/Rapid[[#This Row],[Proj. de V. 12 meses]],"")</f>
        <v/>
      </c>
      <c r="AA148" s="22">
        <v>20530420</v>
      </c>
    </row>
    <row r="149" spans="1:27" x14ac:dyDescent="0.25">
      <c r="A149" s="22" t="str">
        <f>VLOOKUP(Rapid[[#This Row],[Código]],BD_Produto[#All],7,FALSE)</f>
        <v>Fora de linha</v>
      </c>
      <c r="B14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49" s="23">
        <v>33060154033</v>
      </c>
      <c r="D149" s="22" t="s">
        <v>1153</v>
      </c>
      <c r="E149" s="22" t="str">
        <f>VLOOKUP(Rapid[[#This Row],[Código]],BD_Produto[],3,FALSE)</f>
        <v>Grampeador Eletrico</v>
      </c>
      <c r="F149" s="22" t="str">
        <f>VLOOKUP(Rapid[[#This Row],[Código]],BD_Produto[],4,FALSE)</f>
        <v>Grampeador Eletrico</v>
      </c>
      <c r="G149" s="24"/>
      <c r="H149" s="25"/>
      <c r="I149" s="22"/>
      <c r="J149" s="24"/>
      <c r="K149" s="24" t="str">
        <f>IFERROR(VLOOKUP(Rapid[[#This Row],[Código]],Importação!P:R,3,FALSE),"")</f>
        <v/>
      </c>
      <c r="L149" s="24">
        <f>IFERROR(VLOOKUP(Rapid[[#This Row],[Código]],Saldo[],3,FALSE),0)</f>
        <v>0</v>
      </c>
      <c r="M149" s="24">
        <f>SUM(Rapid[[#This Row],[Produção]:[Estoque]])</f>
        <v>0</v>
      </c>
      <c r="N149" s="24" t="str">
        <f>IFERROR(Rapid[[#This Row],[Estoque+Importação]]/Rapid[[#This Row],[Proj. de V. No prox. mes]],"Sem Projeção")</f>
        <v>Sem Projeção</v>
      </c>
      <c r="O149" s="24" t="str">
        <f>IF(OR(Rapid[[#This Row],[Status]]="Em Linha",Rapid[[#This Row],[Status]]="Componente",Rapid[[#This Row],[Status]]="Materia Prima"),Rapid[[#This Row],[Proj. de V. No prox. mes]]*10,"-")</f>
        <v>-</v>
      </c>
      <c r="P14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49" s="75">
        <f>VLOOKUP(Rapid[[#This Row],[Código]],Projeção[#All],15,FALSE)</f>
        <v>0</v>
      </c>
      <c r="R149" s="24">
        <f>VLOOKUP(Rapid[[#This Row],[Código]],Projeção[#All],14,FALSE)</f>
        <v>0</v>
      </c>
      <c r="S149" s="24">
        <f>IFERROR(VLOOKUP(Rapid[[#This Row],[Código]],Venda_mes[],2,FALSE),0)</f>
        <v>0</v>
      </c>
      <c r="T149" s="44" t="str">
        <f>IFERROR(Rapid[[#This Row],[V. No mes]]/Rapid[[#This Row],[Proj. de V. No mes]],"")</f>
        <v/>
      </c>
      <c r="U149" s="43">
        <f>VLOOKUP(Rapid[[#This Row],[Código]],Projeção[#All],14,FALSE)+VLOOKUP(Rapid[[#This Row],[Código]],Projeção[#All],13,FALSE)+VLOOKUP(Rapid[[#This Row],[Código]],Projeção[#All],12,FALSE)</f>
        <v>0</v>
      </c>
      <c r="V149" s="24">
        <f>IFERROR(VLOOKUP(Rapid[[#This Row],[Código]],Venda_3meses[],2,FALSE),0)</f>
        <v>0</v>
      </c>
      <c r="W149" s="44" t="str">
        <f>IFERROR(Rapid[[#This Row],[V. 3 meses]]/Rapid[[#This Row],[Proj. de V. 3 meses]],"")</f>
        <v/>
      </c>
      <c r="X14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1.5</v>
      </c>
      <c r="Y149" s="24">
        <f>IFERROR(VLOOKUP(Rapid[[#This Row],[Código]],Venda_12meses[],2,FALSE),0)</f>
        <v>0</v>
      </c>
      <c r="Z149" s="44">
        <f>IFERROR(Rapid[[#This Row],[V. 12 meses]]/Rapid[[#This Row],[Proj. de V. 12 meses]],"")</f>
        <v>0</v>
      </c>
      <c r="AA149" s="22"/>
    </row>
    <row r="150" spans="1:27" x14ac:dyDescent="0.25">
      <c r="A150" s="22" t="str">
        <f>VLOOKUP(Rapid[[#This Row],[Código]],BD_Produto[#All],7,FALSE)</f>
        <v>Fora de linha</v>
      </c>
      <c r="B15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0" s="23">
        <v>33060114809</v>
      </c>
      <c r="D150" s="22" t="s">
        <v>160</v>
      </c>
      <c r="E150" s="22" t="str">
        <f>VLOOKUP(Rapid[[#This Row],[Código]],BD_Produto[],3,FALSE)</f>
        <v>Grampeador de Mesa</v>
      </c>
      <c r="F150" s="22" t="str">
        <f>VLOOKUP(Rapid[[#This Row],[Código]],BD_Produto[],4,FALSE)</f>
        <v>Grampeador de Mesa</v>
      </c>
      <c r="G150" s="24"/>
      <c r="H150" s="25"/>
      <c r="I150" s="22"/>
      <c r="J150" s="24"/>
      <c r="K150" s="24" t="str">
        <f>IFERROR(VLOOKUP(Rapid[[#This Row],[Código]],Importação!P:R,3,FALSE),"")</f>
        <v/>
      </c>
      <c r="L150" s="24">
        <f>IFERROR(VLOOKUP(Rapid[[#This Row],[Código]],Saldo[],3,FALSE),0)</f>
        <v>0</v>
      </c>
      <c r="M150" s="24">
        <f>SUM(Rapid[[#This Row],[Produção]:[Estoque]])</f>
        <v>0</v>
      </c>
      <c r="N150" s="24" t="str">
        <f>IFERROR(Rapid[[#This Row],[Estoque+Importação]]/Rapid[[#This Row],[Proj. de V. No prox. mes]],"Sem Projeção")</f>
        <v>Sem Projeção</v>
      </c>
      <c r="O150" s="24" t="str">
        <f>IF(OR(Rapid[[#This Row],[Status]]="Em Linha",Rapid[[#This Row],[Status]]="Componente",Rapid[[#This Row],[Status]]="Materia Prima"),Rapid[[#This Row],[Proj. de V. No prox. mes]]*10,"-")</f>
        <v>-</v>
      </c>
      <c r="P15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0" s="75">
        <f>VLOOKUP(Rapid[[#This Row],[Código]],Projeção[#All],15,FALSE)</f>
        <v>0</v>
      </c>
      <c r="R150" s="24">
        <f>VLOOKUP(Rapid[[#This Row],[Código]],Projeção[#All],14,FALSE)</f>
        <v>0</v>
      </c>
      <c r="S150" s="24">
        <f>IFERROR(VLOOKUP(Rapid[[#This Row],[Código]],Venda_mes[],2,FALSE),0)</f>
        <v>0</v>
      </c>
      <c r="T150" s="44" t="str">
        <f>IFERROR(Rapid[[#This Row],[V. No mes]]/Rapid[[#This Row],[Proj. de V. No mes]],"")</f>
        <v/>
      </c>
      <c r="U150" s="43">
        <f>VLOOKUP(Rapid[[#This Row],[Código]],Projeção[#All],14,FALSE)+VLOOKUP(Rapid[[#This Row],[Código]],Projeção[#All],13,FALSE)+VLOOKUP(Rapid[[#This Row],[Código]],Projeção[#All],12,FALSE)</f>
        <v>0.26666666666666666</v>
      </c>
      <c r="V150" s="24">
        <f>IFERROR(VLOOKUP(Rapid[[#This Row],[Código]],Venda_3meses[],2,FALSE),0)</f>
        <v>0</v>
      </c>
      <c r="W150" s="44">
        <f>IFERROR(Rapid[[#This Row],[V. 3 meses]]/Rapid[[#This Row],[Proj. de V. 3 meses]],"")</f>
        <v>0</v>
      </c>
      <c r="X15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1.9999999999999998</v>
      </c>
      <c r="Y150" s="24">
        <f>IFERROR(VLOOKUP(Rapid[[#This Row],[Código]],Venda_12meses[],2,FALSE),0)</f>
        <v>0</v>
      </c>
      <c r="Z150" s="44">
        <f>IFERROR(Rapid[[#This Row],[V. 12 meses]]/Rapid[[#This Row],[Proj. de V. 12 meses]],"")</f>
        <v>0</v>
      </c>
      <c r="AA150" s="22"/>
    </row>
    <row r="151" spans="1:27" x14ac:dyDescent="0.25">
      <c r="A151" s="22" t="str">
        <f>VLOOKUP(Rapid[[#This Row],[Código]],BD_Produto[#All],7,FALSE)</f>
        <v>Fora de linha</v>
      </c>
      <c r="B151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1" s="23">
        <v>33060114989</v>
      </c>
      <c r="D151" s="22" t="s">
        <v>1481</v>
      </c>
      <c r="E151" s="22" t="str">
        <f>VLOOKUP(Rapid[[#This Row],[Código]],BD_Produto[],3,FALSE)</f>
        <v>Extrator de Grampo</v>
      </c>
      <c r="F151" s="22" t="str">
        <f>VLOOKUP(Rapid[[#This Row],[Código]],BD_Produto[],4,FALSE)</f>
        <v>EXTRATOR DE GRAMPO</v>
      </c>
      <c r="G151" s="24"/>
      <c r="H151" s="25"/>
      <c r="I151" s="22"/>
      <c r="J151" s="24"/>
      <c r="K151" s="24" t="str">
        <f>IFERROR(VLOOKUP(Rapid[[#This Row],[Código]],Importação!P:R,3,FALSE),"")</f>
        <v/>
      </c>
      <c r="L151" s="24">
        <f>IFERROR(VLOOKUP(Rapid[[#This Row],[Código]],Saldo[],3,FALSE),0)</f>
        <v>0</v>
      </c>
      <c r="M151" s="24">
        <f>SUM(Rapid[[#This Row],[Produção]:[Estoque]])</f>
        <v>0</v>
      </c>
      <c r="N151" s="24" t="str">
        <f>IFERROR(Rapid[[#This Row],[Estoque+Importação]]/Rapid[[#This Row],[Proj. de V. No prox. mes]],"Sem Projeção")</f>
        <v>Sem Projeção</v>
      </c>
      <c r="O151" s="24" t="str">
        <f>IF(OR(Rapid[[#This Row],[Status]]="Em Linha",Rapid[[#This Row],[Status]]="Componente",Rapid[[#This Row],[Status]]="Materia Prima"),Rapid[[#This Row],[Proj. de V. No prox. mes]]*10,"-")</f>
        <v>-</v>
      </c>
      <c r="P15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1" s="75">
        <f>VLOOKUP(Rapid[[#This Row],[Código]],Projeção[#All],15,FALSE)</f>
        <v>0</v>
      </c>
      <c r="R151" s="39">
        <f>VLOOKUP(Rapid[[#This Row],[Código]],Projeção[#All],14,FALSE)</f>
        <v>0</v>
      </c>
      <c r="S151" s="39">
        <f>IFERROR(VLOOKUP(Rapid[[#This Row],[Código]],Venda_mes[],2,FALSE),0)</f>
        <v>0</v>
      </c>
      <c r="T151" s="44" t="str">
        <f>IFERROR(Rapid[[#This Row],[V. No mes]]/Rapid[[#This Row],[Proj. de V. No mes]],"")</f>
        <v/>
      </c>
      <c r="U151" s="43">
        <f>VLOOKUP(Rapid[[#This Row],[Código]],Projeção[#All],14,FALSE)+VLOOKUP(Rapid[[#This Row],[Código]],Projeção[#All],13,FALSE)+VLOOKUP(Rapid[[#This Row],[Código]],Projeção[#All],12,FALSE)</f>
        <v>0</v>
      </c>
      <c r="V151" s="24">
        <f>IFERROR(VLOOKUP(Rapid[[#This Row],[Código]],Venda_3meses[],2,FALSE),0)</f>
        <v>0</v>
      </c>
      <c r="W151" s="44" t="str">
        <f>IFERROR(Rapid[[#This Row],[V. 3 meses]]/Rapid[[#This Row],[Proj. de V. 3 meses]],"")</f>
        <v/>
      </c>
      <c r="X15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1" s="24">
        <f>IFERROR(VLOOKUP(Rapid[[#This Row],[Código]],Venda_12meses[],2,FALSE),0)</f>
        <v>0</v>
      </c>
      <c r="Z151" s="44" t="str">
        <f>IFERROR(Rapid[[#This Row],[V. 12 meses]]/Rapid[[#This Row],[Proj. de V. 12 meses]],"")</f>
        <v/>
      </c>
      <c r="AA151" s="22"/>
    </row>
    <row r="152" spans="1:27" x14ac:dyDescent="0.25">
      <c r="A152" s="22" t="str">
        <f>VLOOKUP(Rapid[[#This Row],[Código]],BD_Produto[#All],7,FALSE)</f>
        <v>Fora de linha</v>
      </c>
      <c r="B152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2" s="23">
        <v>33060114941</v>
      </c>
      <c r="D152" s="22" t="s">
        <v>1482</v>
      </c>
      <c r="E152" s="22" t="str">
        <f>VLOOKUP(Rapid[[#This Row],[Código]],BD_Produto[],3,FALSE)</f>
        <v>Extrator de Grampo</v>
      </c>
      <c r="F152" s="22" t="str">
        <f>VLOOKUP(Rapid[[#This Row],[Código]],BD_Produto[],4,FALSE)</f>
        <v>EXTRATOR DE GRAMPO</v>
      </c>
      <c r="G152" s="24"/>
      <c r="H152" s="25"/>
      <c r="I152" s="22"/>
      <c r="J152" s="24"/>
      <c r="K152" s="24" t="str">
        <f>IFERROR(VLOOKUP(Rapid[[#This Row],[Código]],Importação!P:R,3,FALSE),"")</f>
        <v/>
      </c>
      <c r="L152" s="24">
        <f>IFERROR(VLOOKUP(Rapid[[#This Row],[Código]],Saldo[],3,FALSE),0)</f>
        <v>0</v>
      </c>
      <c r="M152" s="24">
        <f>SUM(Rapid[[#This Row],[Produção]:[Estoque]])</f>
        <v>0</v>
      </c>
      <c r="N152" s="24" t="str">
        <f>IFERROR(Rapid[[#This Row],[Estoque+Importação]]/Rapid[[#This Row],[Proj. de V. No prox. mes]],"Sem Projeção")</f>
        <v>Sem Projeção</v>
      </c>
      <c r="O152" s="24" t="str">
        <f>IF(OR(Rapid[[#This Row],[Status]]="Em Linha",Rapid[[#This Row],[Status]]="Componente",Rapid[[#This Row],[Status]]="Materia Prima"),Rapid[[#This Row],[Proj. de V. No prox. mes]]*10,"-")</f>
        <v>-</v>
      </c>
      <c r="P15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2" s="83">
        <f>VLOOKUP(Rapid[[#This Row],[Código]],Projeção[#All],15,FALSE)</f>
        <v>0</v>
      </c>
      <c r="R152" s="39">
        <f>VLOOKUP(Rapid[[#This Row],[Código]],Projeção[#All],14,FALSE)</f>
        <v>0</v>
      </c>
      <c r="S152" s="39">
        <f>IFERROR(VLOOKUP(Rapid[[#This Row],[Código]],Venda_mes[],2,FALSE),0)</f>
        <v>0</v>
      </c>
      <c r="T152" s="45" t="str">
        <f>IFERROR(Rapid[[#This Row],[V. No mes]]/Rapid[[#This Row],[Proj. de V. No mes]],"")</f>
        <v/>
      </c>
      <c r="U152" s="39">
        <f>VLOOKUP(Rapid[[#This Row],[Código]],Projeção[#All],14,FALSE)+VLOOKUP(Rapid[[#This Row],[Código]],Projeção[#All],13,FALSE)+VLOOKUP(Rapid[[#This Row],[Código]],Projeção[#All],12,FALSE)</f>
        <v>0</v>
      </c>
      <c r="V152" s="24">
        <f>IFERROR(VLOOKUP(Rapid[[#This Row],[Código]],Venda_3meses[],2,FALSE),0)</f>
        <v>0</v>
      </c>
      <c r="W152" s="45" t="str">
        <f>IFERROR(Rapid[[#This Row],[V. 3 meses]]/Rapid[[#This Row],[Proj. de V. 3 meses]],"")</f>
        <v/>
      </c>
      <c r="X152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2" s="24">
        <f>IFERROR(VLOOKUP(Rapid[[#This Row],[Código]],Venda_12meses[],2,FALSE),0)</f>
        <v>0</v>
      </c>
      <c r="Z152" s="45" t="str">
        <f>IFERROR(Rapid[[#This Row],[V. 12 meses]]/Rapid[[#This Row],[Proj. de V. 12 meses]],"")</f>
        <v/>
      </c>
      <c r="AA152" s="22" t="s">
        <v>1687</v>
      </c>
    </row>
    <row r="153" spans="1:27" x14ac:dyDescent="0.25">
      <c r="A153" s="22" t="str">
        <f>VLOOKUP(Rapid[[#This Row],[Código]],BD_Produto[#All],7,FALSE)</f>
        <v>Fora de linha</v>
      </c>
      <c r="B153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3" s="23">
        <v>33070114958</v>
      </c>
      <c r="D153" s="22" t="s">
        <v>1483</v>
      </c>
      <c r="E153" s="22" t="str">
        <f>VLOOKUP(Rapid[[#This Row],[Código]],BD_Produto[],3,FALSE)</f>
        <v>Grampeador Pneumatico</v>
      </c>
      <c r="F153" s="22" t="str">
        <f>VLOOKUP(Rapid[[#This Row],[Código]],BD_Produto[],4,FALSE)</f>
        <v>Grampeador Pneumatico</v>
      </c>
      <c r="G153" s="24"/>
      <c r="H153" s="25"/>
      <c r="I153" s="22"/>
      <c r="J153" s="24"/>
      <c r="K153" s="24" t="str">
        <f>IFERROR(VLOOKUP(Rapid[[#This Row],[Código]],Importação!P:R,3,FALSE),"")</f>
        <v/>
      </c>
      <c r="L153" s="24">
        <f>IFERROR(VLOOKUP(Rapid[[#This Row],[Código]],Saldo[],3,FALSE),0)</f>
        <v>0</v>
      </c>
      <c r="M153" s="24">
        <f>SUM(Rapid[[#This Row],[Produção]:[Estoque]])</f>
        <v>0</v>
      </c>
      <c r="N153" s="24" t="str">
        <f>IFERROR(Rapid[[#This Row],[Estoque+Importação]]/Rapid[[#This Row],[Proj. de V. No prox. mes]],"Sem Projeção")</f>
        <v>Sem Projeção</v>
      </c>
      <c r="O153" s="24" t="str">
        <f>IF(OR(Rapid[[#This Row],[Status]]="Em Linha",Rapid[[#This Row],[Status]]="Componente",Rapid[[#This Row],[Status]]="Materia Prima"),Rapid[[#This Row],[Proj. de V. No prox. mes]]*10,"-")</f>
        <v>-</v>
      </c>
      <c r="P15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3" s="83">
        <f>VLOOKUP(Rapid[[#This Row],[Código]],Projeção[#All],15,FALSE)</f>
        <v>0</v>
      </c>
      <c r="R153" s="39">
        <f>VLOOKUP(Rapid[[#This Row],[Código]],Projeção[#All],14,FALSE)</f>
        <v>0</v>
      </c>
      <c r="S153" s="39">
        <f>IFERROR(VLOOKUP(Rapid[[#This Row],[Código]],Venda_mes[],2,FALSE),0)</f>
        <v>0</v>
      </c>
      <c r="T153" s="45" t="str">
        <f>IFERROR(Rapid[[#This Row],[V. No mes]]/Rapid[[#This Row],[Proj. de V. No mes]],"")</f>
        <v/>
      </c>
      <c r="U153" s="39">
        <f>VLOOKUP(Rapid[[#This Row],[Código]],Projeção[#All],14,FALSE)+VLOOKUP(Rapid[[#This Row],[Código]],Projeção[#All],13,FALSE)+VLOOKUP(Rapid[[#This Row],[Código]],Projeção[#All],12,FALSE)</f>
        <v>0</v>
      </c>
      <c r="V153" s="24">
        <f>IFERROR(VLOOKUP(Rapid[[#This Row],[Código]],Venda_3meses[],2,FALSE),0)</f>
        <v>0</v>
      </c>
      <c r="W153" s="45" t="str">
        <f>IFERROR(Rapid[[#This Row],[V. 3 meses]]/Rapid[[#This Row],[Proj. de V. 3 meses]],"")</f>
        <v/>
      </c>
      <c r="X153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3" s="24">
        <f>IFERROR(VLOOKUP(Rapid[[#This Row],[Código]],Venda_12meses[],2,FALSE),0)</f>
        <v>0</v>
      </c>
      <c r="Z153" s="45" t="str">
        <f>IFERROR(Rapid[[#This Row],[V. 12 meses]]/Rapid[[#This Row],[Proj. de V. 12 meses]],"")</f>
        <v/>
      </c>
      <c r="AA153" s="22" t="s">
        <v>1686</v>
      </c>
    </row>
    <row r="154" spans="1:27" x14ac:dyDescent="0.25">
      <c r="A154" s="22" t="str">
        <f>VLOOKUP(Rapid[[#This Row],[Código]],BD_Produto[#All],7,FALSE)</f>
        <v>Fora de linha</v>
      </c>
      <c r="B15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4" s="23">
        <v>33070124120</v>
      </c>
      <c r="D154" s="22" t="s">
        <v>1484</v>
      </c>
      <c r="E154" s="22" t="str">
        <f>VLOOKUP(Rapid[[#This Row],[Código]],BD_Produto[],3,FALSE)</f>
        <v>Grampeador Pistola</v>
      </c>
      <c r="F154" s="22" t="str">
        <f>VLOOKUP(Rapid[[#This Row],[Código]],BD_Produto[],4,FALSE)</f>
        <v>Grampeador Pistola</v>
      </c>
      <c r="G154" s="24"/>
      <c r="H154" s="25"/>
      <c r="I154" s="22"/>
      <c r="J154" s="24"/>
      <c r="K154" s="24" t="str">
        <f>IFERROR(VLOOKUP(Rapid[[#This Row],[Código]],Importação!P:R,3,FALSE),"")</f>
        <v/>
      </c>
      <c r="L154" s="24">
        <f>IFERROR(VLOOKUP(Rapid[[#This Row],[Código]],Saldo[],3,FALSE),0)</f>
        <v>0</v>
      </c>
      <c r="M154" s="24">
        <f>SUM(Rapid[[#This Row],[Produção]:[Estoque]])</f>
        <v>0</v>
      </c>
      <c r="N154" s="24" t="str">
        <f>IFERROR(Rapid[[#This Row],[Estoque+Importação]]/Rapid[[#This Row],[Proj. de V. No prox. mes]],"Sem Projeção")</f>
        <v>Sem Projeção</v>
      </c>
      <c r="O154" s="24" t="str">
        <f>IF(OR(Rapid[[#This Row],[Status]]="Em Linha",Rapid[[#This Row],[Status]]="Componente",Rapid[[#This Row],[Status]]="Materia Prima"),Rapid[[#This Row],[Proj. de V. No prox. mes]]*10,"-")</f>
        <v>-</v>
      </c>
      <c r="P15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4" s="75">
        <f>VLOOKUP(Rapid[[#This Row],[Código]],Projeção[#All],15,FALSE)</f>
        <v>0</v>
      </c>
      <c r="R154" s="39">
        <f>VLOOKUP(Rapid[[#This Row],[Código]],Projeção[#All],14,FALSE)</f>
        <v>0</v>
      </c>
      <c r="S154" s="39">
        <f>IFERROR(VLOOKUP(Rapid[[#This Row],[Código]],Venda_mes[],2,FALSE),0)</f>
        <v>0</v>
      </c>
      <c r="T154" s="44" t="str">
        <f>IFERROR(Rapid[[#This Row],[V. No mes]]/Rapid[[#This Row],[Proj. de V. No mes]],"")</f>
        <v/>
      </c>
      <c r="U154" s="43">
        <f>VLOOKUP(Rapid[[#This Row],[Código]],Projeção[#All],14,FALSE)+VLOOKUP(Rapid[[#This Row],[Código]],Projeção[#All],13,FALSE)+VLOOKUP(Rapid[[#This Row],[Código]],Projeção[#All],12,FALSE)</f>
        <v>0</v>
      </c>
      <c r="V154" s="24">
        <f>IFERROR(VLOOKUP(Rapid[[#This Row],[Código]],Venda_3meses[],2,FALSE),0)</f>
        <v>0</v>
      </c>
      <c r="W154" s="44" t="str">
        <f>IFERROR(Rapid[[#This Row],[V. 3 meses]]/Rapid[[#This Row],[Proj. de V. 3 meses]],"")</f>
        <v/>
      </c>
      <c r="X15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4" s="24">
        <f>IFERROR(VLOOKUP(Rapid[[#This Row],[Código]],Venda_12meses[],2,FALSE),0)</f>
        <v>0</v>
      </c>
      <c r="Z154" s="44" t="str">
        <f>IFERROR(Rapid[[#This Row],[V. 12 meses]]/Rapid[[#This Row],[Proj. de V. 12 meses]],"")</f>
        <v/>
      </c>
      <c r="AA154" s="22"/>
    </row>
    <row r="155" spans="1:27" x14ac:dyDescent="0.25">
      <c r="A155" s="22" t="str">
        <f>VLOOKUP(Rapid[[#This Row],[Código]],BD_Produto[#All],7,FALSE)</f>
        <v>Fora de linha</v>
      </c>
      <c r="B15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5" s="23">
        <v>33060114815</v>
      </c>
      <c r="D155" s="22" t="s">
        <v>1485</v>
      </c>
      <c r="E155" s="22" t="str">
        <f>VLOOKUP(Rapid[[#This Row],[Código]],BD_Produto[],3,FALSE)</f>
        <v>Grampeador ??</v>
      </c>
      <c r="F155" s="22" t="str">
        <f>VLOOKUP(Rapid[[#This Row],[Código]],BD_Produto[],4,FALSE)</f>
        <v>Grampeador ??</v>
      </c>
      <c r="G155" s="24"/>
      <c r="H155" s="25"/>
      <c r="I155" s="22"/>
      <c r="J155" s="24"/>
      <c r="K155" s="24" t="str">
        <f>IFERROR(VLOOKUP(Rapid[[#This Row],[Código]],Importação!P:R,3,FALSE),"")</f>
        <v/>
      </c>
      <c r="L155" s="24">
        <f>IFERROR(VLOOKUP(Rapid[[#This Row],[Código]],Saldo[],3,FALSE),0)</f>
        <v>0</v>
      </c>
      <c r="M155" s="24">
        <f>SUM(Rapid[[#This Row],[Produção]:[Estoque]])</f>
        <v>0</v>
      </c>
      <c r="N155" s="24" t="str">
        <f>IFERROR(Rapid[[#This Row],[Estoque+Importação]]/Rapid[[#This Row],[Proj. de V. No prox. mes]],"Sem Projeção")</f>
        <v>Sem Projeção</v>
      </c>
      <c r="O155" s="24" t="str">
        <f>IF(OR(Rapid[[#This Row],[Status]]="Em Linha",Rapid[[#This Row],[Status]]="Componente",Rapid[[#This Row],[Status]]="Materia Prima"),Rapid[[#This Row],[Proj. de V. No prox. mes]]*10,"-")</f>
        <v>-</v>
      </c>
      <c r="P15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5" s="75">
        <f>VLOOKUP(Rapid[[#This Row],[Código]],Projeção[#All],15,FALSE)</f>
        <v>0</v>
      </c>
      <c r="R155" s="39">
        <f>VLOOKUP(Rapid[[#This Row],[Código]],Projeção[#All],14,FALSE)</f>
        <v>0</v>
      </c>
      <c r="S155" s="39">
        <f>IFERROR(VLOOKUP(Rapid[[#This Row],[Código]],Venda_mes[],2,FALSE),0)</f>
        <v>0</v>
      </c>
      <c r="T155" s="44" t="str">
        <f>IFERROR(Rapid[[#This Row],[V. No mes]]/Rapid[[#This Row],[Proj. de V. No mes]],"")</f>
        <v/>
      </c>
      <c r="U155" s="43">
        <f>VLOOKUP(Rapid[[#This Row],[Código]],Projeção[#All],14,FALSE)+VLOOKUP(Rapid[[#This Row],[Código]],Projeção[#All],13,FALSE)+VLOOKUP(Rapid[[#This Row],[Código]],Projeção[#All],12,FALSE)</f>
        <v>0</v>
      </c>
      <c r="V155" s="24">
        <f>IFERROR(VLOOKUP(Rapid[[#This Row],[Código]],Venda_3meses[],2,FALSE),0)</f>
        <v>0</v>
      </c>
      <c r="W155" s="44" t="str">
        <f>IFERROR(Rapid[[#This Row],[V. 3 meses]]/Rapid[[#This Row],[Proj. de V. 3 meses]],"")</f>
        <v/>
      </c>
      <c r="X15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5" s="24">
        <f>IFERROR(VLOOKUP(Rapid[[#This Row],[Código]],Venda_12meses[],2,FALSE),0)</f>
        <v>0</v>
      </c>
      <c r="Z155" s="44" t="str">
        <f>IFERROR(Rapid[[#This Row],[V. 12 meses]]/Rapid[[#This Row],[Proj. de V. 12 meses]],"")</f>
        <v/>
      </c>
      <c r="AA155" s="22" t="s">
        <v>1663</v>
      </c>
    </row>
    <row r="156" spans="1:27" x14ac:dyDescent="0.25">
      <c r="A156" s="22" t="str">
        <f>VLOOKUP(Rapid[[#This Row],[Código]],BD_Produto[#All],7,FALSE)</f>
        <v>Fora de linha</v>
      </c>
      <c r="B15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6" s="23">
        <v>33060114586</v>
      </c>
      <c r="D156" s="22" t="s">
        <v>1486</v>
      </c>
      <c r="E156" s="22" t="str">
        <f>VLOOKUP(Rapid[[#This Row],[Código]],BD_Produto[],3,FALSE)</f>
        <v>Grampeador Eletrico</v>
      </c>
      <c r="F156" s="22" t="str">
        <f>VLOOKUP(Rapid[[#This Row],[Código]],BD_Produto[],4,FALSE)</f>
        <v>Grampeador Eletrico</v>
      </c>
      <c r="G156" s="24"/>
      <c r="H156" s="25"/>
      <c r="I156" s="22"/>
      <c r="J156" s="24"/>
      <c r="K156" s="24" t="str">
        <f>IFERROR(VLOOKUP(Rapid[[#This Row],[Código]],Importação!P:R,3,FALSE),"")</f>
        <v/>
      </c>
      <c r="L156" s="24">
        <f>IFERROR(VLOOKUP(Rapid[[#This Row],[Código]],Saldo[],3,FALSE),0)</f>
        <v>0</v>
      </c>
      <c r="M156" s="24">
        <f>SUM(Rapid[[#This Row],[Produção]:[Estoque]])</f>
        <v>0</v>
      </c>
      <c r="N156" s="24" t="str">
        <f>IFERROR(Rapid[[#This Row],[Estoque+Importação]]/Rapid[[#This Row],[Proj. de V. No prox. mes]],"Sem Projeção")</f>
        <v>Sem Projeção</v>
      </c>
      <c r="O156" s="24" t="str">
        <f>IF(OR(Rapid[[#This Row],[Status]]="Em Linha",Rapid[[#This Row],[Status]]="Componente",Rapid[[#This Row],[Status]]="Materia Prima"),Rapid[[#This Row],[Proj. de V. No prox. mes]]*10,"-")</f>
        <v>-</v>
      </c>
      <c r="P15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6" s="75">
        <f>VLOOKUP(Rapid[[#This Row],[Código]],Projeção[#All],15,FALSE)</f>
        <v>0</v>
      </c>
      <c r="R156" s="39">
        <f>VLOOKUP(Rapid[[#This Row],[Código]],Projeção[#All],14,FALSE)</f>
        <v>0</v>
      </c>
      <c r="S156" s="39">
        <f>IFERROR(VLOOKUP(Rapid[[#This Row],[Código]],Venda_mes[],2,FALSE),0)</f>
        <v>0</v>
      </c>
      <c r="T156" s="44" t="str">
        <f>IFERROR(Rapid[[#This Row],[V. No mes]]/Rapid[[#This Row],[Proj. de V. No mes]],"")</f>
        <v/>
      </c>
      <c r="U156" s="43">
        <f>VLOOKUP(Rapid[[#This Row],[Código]],Projeção[#All],14,FALSE)+VLOOKUP(Rapid[[#This Row],[Código]],Projeção[#All],13,FALSE)+VLOOKUP(Rapid[[#This Row],[Código]],Projeção[#All],12,FALSE)</f>
        <v>0</v>
      </c>
      <c r="V156" s="24">
        <f>IFERROR(VLOOKUP(Rapid[[#This Row],[Código]],Venda_3meses[],2,FALSE),0)</f>
        <v>0</v>
      </c>
      <c r="W156" s="44" t="str">
        <f>IFERROR(Rapid[[#This Row],[V. 3 meses]]/Rapid[[#This Row],[Proj. de V. 3 meses]],"")</f>
        <v/>
      </c>
      <c r="X15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6" s="24">
        <f>IFERROR(VLOOKUP(Rapid[[#This Row],[Código]],Venda_12meses[],2,FALSE),0)</f>
        <v>0</v>
      </c>
      <c r="Z156" s="44" t="str">
        <f>IFERROR(Rapid[[#This Row],[V. 12 meses]]/Rapid[[#This Row],[Proj. de V. 12 meses]],"")</f>
        <v/>
      </c>
      <c r="AA156" s="22" t="s">
        <v>1663</v>
      </c>
    </row>
    <row r="157" spans="1:27" x14ac:dyDescent="0.25">
      <c r="A157" s="22" t="str">
        <f>VLOOKUP(Rapid[[#This Row],[Código]],BD_Produto[#All],7,FALSE)</f>
        <v>Fora de linha</v>
      </c>
      <c r="B15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7" s="23">
        <v>33060114995</v>
      </c>
      <c r="D157" s="22" t="s">
        <v>1487</v>
      </c>
      <c r="E157" s="22" t="str">
        <f>VLOOKUP(Rapid[[#This Row],[Código]],BD_Produto[],3,FALSE)</f>
        <v>Grampeador de Mesa</v>
      </c>
      <c r="F157" s="22" t="str">
        <f>VLOOKUP(Rapid[[#This Row],[Código]],BD_Produto[],4,FALSE)</f>
        <v>Grampeador de Mesa</v>
      </c>
      <c r="G157" s="24"/>
      <c r="H157" s="25"/>
      <c r="I157" s="22"/>
      <c r="J157" s="24"/>
      <c r="K157" s="24" t="str">
        <f>IFERROR(VLOOKUP(Rapid[[#This Row],[Código]],Importação!P:R,3,FALSE),"")</f>
        <v/>
      </c>
      <c r="L157" s="24">
        <f>IFERROR(VLOOKUP(Rapid[[#This Row],[Código]],Saldo[],3,FALSE),0)</f>
        <v>0</v>
      </c>
      <c r="M157" s="24">
        <f>SUM(Rapid[[#This Row],[Produção]:[Estoque]])</f>
        <v>0</v>
      </c>
      <c r="N157" s="24" t="str">
        <f>IFERROR(Rapid[[#This Row],[Estoque+Importação]]/Rapid[[#This Row],[Proj. de V. No prox. mes]],"Sem Projeção")</f>
        <v>Sem Projeção</v>
      </c>
      <c r="O157" s="24" t="str">
        <f>IF(OR(Rapid[[#This Row],[Status]]="Em Linha",Rapid[[#This Row],[Status]]="Componente",Rapid[[#This Row],[Status]]="Materia Prima"),Rapid[[#This Row],[Proj. de V. No prox. mes]]*10,"-")</f>
        <v>-</v>
      </c>
      <c r="P15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7" s="75">
        <f>VLOOKUP(Rapid[[#This Row],[Código]],Projeção[#All],15,FALSE)</f>
        <v>0</v>
      </c>
      <c r="R157" s="39">
        <f>VLOOKUP(Rapid[[#This Row],[Código]],Projeção[#All],14,FALSE)</f>
        <v>0</v>
      </c>
      <c r="S157" s="39">
        <f>IFERROR(VLOOKUP(Rapid[[#This Row],[Código]],Venda_mes[],2,FALSE),0)</f>
        <v>0</v>
      </c>
      <c r="T157" s="44" t="str">
        <f>IFERROR(Rapid[[#This Row],[V. No mes]]/Rapid[[#This Row],[Proj. de V. No mes]],"")</f>
        <v/>
      </c>
      <c r="U157" s="43">
        <f>VLOOKUP(Rapid[[#This Row],[Código]],Projeção[#All],14,FALSE)+VLOOKUP(Rapid[[#This Row],[Código]],Projeção[#All],13,FALSE)+VLOOKUP(Rapid[[#This Row],[Código]],Projeção[#All],12,FALSE)</f>
        <v>0</v>
      </c>
      <c r="V157" s="24">
        <f>IFERROR(VLOOKUP(Rapid[[#This Row],[Código]],Venda_3meses[],2,FALSE),0)</f>
        <v>0</v>
      </c>
      <c r="W157" s="44" t="str">
        <f>IFERROR(Rapid[[#This Row],[V. 3 meses]]/Rapid[[#This Row],[Proj. de V. 3 meses]],"")</f>
        <v/>
      </c>
      <c r="X15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7" s="24">
        <f>IFERROR(VLOOKUP(Rapid[[#This Row],[Código]],Venda_12meses[],2,FALSE),0)</f>
        <v>0</v>
      </c>
      <c r="Z157" s="44" t="str">
        <f>IFERROR(Rapid[[#This Row],[V. 12 meses]]/Rapid[[#This Row],[Proj. de V. 12 meses]],"")</f>
        <v/>
      </c>
      <c r="AA157" s="22"/>
    </row>
    <row r="158" spans="1:27" x14ac:dyDescent="0.25">
      <c r="A158" s="22" t="str">
        <f>VLOOKUP(Rapid[[#This Row],[Código]],BD_Produto[#All],7,FALSE)</f>
        <v>Fora de linha</v>
      </c>
      <c r="B15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8" s="23">
        <v>33060114822</v>
      </c>
      <c r="D158" s="22" t="s">
        <v>1488</v>
      </c>
      <c r="E158" s="22" t="str">
        <f>VLOOKUP(Rapid[[#This Row],[Código]],BD_Produto[],3,FALSE)</f>
        <v>Grampeador de Mesa</v>
      </c>
      <c r="F158" s="22" t="str">
        <f>VLOOKUP(Rapid[[#This Row],[Código]],BD_Produto[],4,FALSE)</f>
        <v>Grampeador de Mesa</v>
      </c>
      <c r="G158" s="24"/>
      <c r="H158" s="25"/>
      <c r="I158" s="22"/>
      <c r="J158" s="24"/>
      <c r="K158" s="24" t="str">
        <f>IFERROR(VLOOKUP(Rapid[[#This Row],[Código]],Importação!P:R,3,FALSE),"")</f>
        <v/>
      </c>
      <c r="L158" s="24">
        <f>IFERROR(VLOOKUP(Rapid[[#This Row],[Código]],Saldo[],3,FALSE),0)</f>
        <v>0</v>
      </c>
      <c r="M158" s="24">
        <f>SUM(Rapid[[#This Row],[Produção]:[Estoque]])</f>
        <v>0</v>
      </c>
      <c r="N158" s="24" t="str">
        <f>IFERROR(Rapid[[#This Row],[Estoque+Importação]]/Rapid[[#This Row],[Proj. de V. No prox. mes]],"Sem Projeção")</f>
        <v>Sem Projeção</v>
      </c>
      <c r="O158" s="24" t="str">
        <f>IF(OR(Rapid[[#This Row],[Status]]="Em Linha",Rapid[[#This Row],[Status]]="Componente",Rapid[[#This Row],[Status]]="Materia Prima"),Rapid[[#This Row],[Proj. de V. No prox. mes]]*10,"-")</f>
        <v>-</v>
      </c>
      <c r="P15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8" s="75">
        <f>VLOOKUP(Rapid[[#This Row],[Código]],Projeção[#All],15,FALSE)</f>
        <v>0</v>
      </c>
      <c r="R158" s="39">
        <f>VLOOKUP(Rapid[[#This Row],[Código]],Projeção[#All],14,FALSE)</f>
        <v>0</v>
      </c>
      <c r="S158" s="39">
        <f>IFERROR(VLOOKUP(Rapid[[#This Row],[Código]],Venda_mes[],2,FALSE),0)</f>
        <v>0</v>
      </c>
      <c r="T158" s="44" t="str">
        <f>IFERROR(Rapid[[#This Row],[V. No mes]]/Rapid[[#This Row],[Proj. de V. No mes]],"")</f>
        <v/>
      </c>
      <c r="U158" s="43">
        <f>VLOOKUP(Rapid[[#This Row],[Código]],Projeção[#All],14,FALSE)+VLOOKUP(Rapid[[#This Row],[Código]],Projeção[#All],13,FALSE)+VLOOKUP(Rapid[[#This Row],[Código]],Projeção[#All],12,FALSE)</f>
        <v>0</v>
      </c>
      <c r="V158" s="24">
        <f>IFERROR(VLOOKUP(Rapid[[#This Row],[Código]],Venda_3meses[],2,FALSE),0)</f>
        <v>0</v>
      </c>
      <c r="W158" s="44" t="str">
        <f>IFERROR(Rapid[[#This Row],[V. 3 meses]]/Rapid[[#This Row],[Proj. de V. 3 meses]],"")</f>
        <v/>
      </c>
      <c r="X15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8" s="24">
        <f>IFERROR(VLOOKUP(Rapid[[#This Row],[Código]],Venda_12meses[],2,FALSE),0)</f>
        <v>0</v>
      </c>
      <c r="Z158" s="44" t="str">
        <f>IFERROR(Rapid[[#This Row],[V. 12 meses]]/Rapid[[#This Row],[Proj. de V. 12 meses]],"")</f>
        <v/>
      </c>
      <c r="AA158" s="22" t="s">
        <v>1663</v>
      </c>
    </row>
    <row r="159" spans="1:27" x14ac:dyDescent="0.25">
      <c r="A159" s="22" t="str">
        <f>VLOOKUP(Rapid[[#This Row],[Código]],BD_Produto[#All],7,FALSE)</f>
        <v>Fora de linha</v>
      </c>
      <c r="B15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59" s="23">
        <v>33060114823</v>
      </c>
      <c r="D159" s="22" t="s">
        <v>1489</v>
      </c>
      <c r="E159" s="22" t="str">
        <f>VLOOKUP(Rapid[[#This Row],[Código]],BD_Produto[],3,FALSE)</f>
        <v>Grampeador de Mesa</v>
      </c>
      <c r="F159" s="22" t="str">
        <f>VLOOKUP(Rapid[[#This Row],[Código]],BD_Produto[],4,FALSE)</f>
        <v>Grampeador de Mesa</v>
      </c>
      <c r="G159" s="24"/>
      <c r="H159" s="25"/>
      <c r="I159" s="22"/>
      <c r="J159" s="24"/>
      <c r="K159" s="24" t="str">
        <f>IFERROR(VLOOKUP(Rapid[[#This Row],[Código]],Importação!P:R,3,FALSE),"")</f>
        <v/>
      </c>
      <c r="L159" s="24">
        <f>IFERROR(VLOOKUP(Rapid[[#This Row],[Código]],Saldo[],3,FALSE),0)</f>
        <v>0</v>
      </c>
      <c r="M159" s="24">
        <f>SUM(Rapid[[#This Row],[Produção]:[Estoque]])</f>
        <v>0</v>
      </c>
      <c r="N159" s="24" t="str">
        <f>IFERROR(Rapid[[#This Row],[Estoque+Importação]]/Rapid[[#This Row],[Proj. de V. No prox. mes]],"Sem Projeção")</f>
        <v>Sem Projeção</v>
      </c>
      <c r="O159" s="24" t="str">
        <f>IF(OR(Rapid[[#This Row],[Status]]="Em Linha",Rapid[[#This Row],[Status]]="Componente",Rapid[[#This Row],[Status]]="Materia Prima"),Rapid[[#This Row],[Proj. de V. No prox. mes]]*10,"-")</f>
        <v>-</v>
      </c>
      <c r="P15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59" s="75">
        <f>VLOOKUP(Rapid[[#This Row],[Código]],Projeção[#All],15,FALSE)</f>
        <v>0</v>
      </c>
      <c r="R159" s="39">
        <f>VLOOKUP(Rapid[[#This Row],[Código]],Projeção[#All],14,FALSE)</f>
        <v>0</v>
      </c>
      <c r="S159" s="39">
        <f>IFERROR(VLOOKUP(Rapid[[#This Row],[Código]],Venda_mes[],2,FALSE),0)</f>
        <v>0</v>
      </c>
      <c r="T159" s="44" t="str">
        <f>IFERROR(Rapid[[#This Row],[V. No mes]]/Rapid[[#This Row],[Proj. de V. No mes]],"")</f>
        <v/>
      </c>
      <c r="U159" s="43">
        <f>VLOOKUP(Rapid[[#This Row],[Código]],Projeção[#All],14,FALSE)+VLOOKUP(Rapid[[#This Row],[Código]],Projeção[#All],13,FALSE)+VLOOKUP(Rapid[[#This Row],[Código]],Projeção[#All],12,FALSE)</f>
        <v>0</v>
      </c>
      <c r="V159" s="24">
        <f>IFERROR(VLOOKUP(Rapid[[#This Row],[Código]],Venda_3meses[],2,FALSE),0)</f>
        <v>0</v>
      </c>
      <c r="W159" s="44" t="str">
        <f>IFERROR(Rapid[[#This Row],[V. 3 meses]]/Rapid[[#This Row],[Proj. de V. 3 meses]],"")</f>
        <v/>
      </c>
      <c r="X15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59" s="24">
        <f>IFERROR(VLOOKUP(Rapid[[#This Row],[Código]],Venda_12meses[],2,FALSE),0)</f>
        <v>0</v>
      </c>
      <c r="Z159" s="44" t="str">
        <f>IFERROR(Rapid[[#This Row],[V. 12 meses]]/Rapid[[#This Row],[Proj. de V. 12 meses]],"")</f>
        <v/>
      </c>
      <c r="AA159" s="22" t="s">
        <v>1687</v>
      </c>
    </row>
    <row r="160" spans="1:27" x14ac:dyDescent="0.25">
      <c r="A160" s="22" t="str">
        <f>VLOOKUP(Rapid[[#This Row],[Código]],BD_Produto[#All],7,FALSE)</f>
        <v>Fora de linha</v>
      </c>
      <c r="B16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0" s="23">
        <v>33060114688</v>
      </c>
      <c r="D160" s="22" t="s">
        <v>1490</v>
      </c>
      <c r="E160" s="22" t="str">
        <f>VLOOKUP(Rapid[[#This Row],[Código]],BD_Produto[],3,FALSE)</f>
        <v>Grampeador de Mesa</v>
      </c>
      <c r="F160" s="22" t="str">
        <f>VLOOKUP(Rapid[[#This Row],[Código]],BD_Produto[],4,FALSE)</f>
        <v>Grampeador de Mesa</v>
      </c>
      <c r="G160" s="24"/>
      <c r="H160" s="25"/>
      <c r="I160" s="22"/>
      <c r="J160" s="24"/>
      <c r="K160" s="24" t="str">
        <f>IFERROR(VLOOKUP(Rapid[[#This Row],[Código]],Importação!P:R,3,FALSE),"")</f>
        <v/>
      </c>
      <c r="L160" s="24">
        <f>IFERROR(VLOOKUP(Rapid[[#This Row],[Código]],Saldo[],3,FALSE),0)</f>
        <v>0</v>
      </c>
      <c r="M160" s="24">
        <f>SUM(Rapid[[#This Row],[Produção]:[Estoque]])</f>
        <v>0</v>
      </c>
      <c r="N160" s="24" t="str">
        <f>IFERROR(Rapid[[#This Row],[Estoque+Importação]]/Rapid[[#This Row],[Proj. de V. No prox. mes]],"Sem Projeção")</f>
        <v>Sem Projeção</v>
      </c>
      <c r="O160" s="24" t="str">
        <f>IF(OR(Rapid[[#This Row],[Status]]="Em Linha",Rapid[[#This Row],[Status]]="Componente",Rapid[[#This Row],[Status]]="Materia Prima"),Rapid[[#This Row],[Proj. de V. No prox. mes]]*10,"-")</f>
        <v>-</v>
      </c>
      <c r="P16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0" s="83">
        <f>VLOOKUP(Rapid[[#This Row],[Código]],Projeção[#All],15,FALSE)</f>
        <v>0</v>
      </c>
      <c r="R160" s="39">
        <f>VLOOKUP(Rapid[[#This Row],[Código]],Projeção[#All],14,FALSE)</f>
        <v>0</v>
      </c>
      <c r="S160" s="39">
        <f>IFERROR(VLOOKUP(Rapid[[#This Row],[Código]],Venda_mes[],2,FALSE),0)</f>
        <v>0</v>
      </c>
      <c r="T160" s="45" t="str">
        <f>IFERROR(Rapid[[#This Row],[V. No mes]]/Rapid[[#This Row],[Proj. de V. No mes]],"")</f>
        <v/>
      </c>
      <c r="U160" s="39">
        <f>VLOOKUP(Rapid[[#This Row],[Código]],Projeção[#All],14,FALSE)+VLOOKUP(Rapid[[#This Row],[Código]],Projeção[#All],13,FALSE)+VLOOKUP(Rapid[[#This Row],[Código]],Projeção[#All],12,FALSE)</f>
        <v>0</v>
      </c>
      <c r="V160" s="24">
        <f>IFERROR(VLOOKUP(Rapid[[#This Row],[Código]],Venda_3meses[],2,FALSE),0)</f>
        <v>0</v>
      </c>
      <c r="W160" s="45" t="str">
        <f>IFERROR(Rapid[[#This Row],[V. 3 meses]]/Rapid[[#This Row],[Proj. de V. 3 meses]],"")</f>
        <v/>
      </c>
      <c r="X160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0" s="24">
        <f>IFERROR(VLOOKUP(Rapid[[#This Row],[Código]],Venda_12meses[],2,FALSE),0)</f>
        <v>0</v>
      </c>
      <c r="Z160" s="45" t="str">
        <f>IFERROR(Rapid[[#This Row],[V. 12 meses]]/Rapid[[#This Row],[Proj. de V. 12 meses]],"")</f>
        <v/>
      </c>
      <c r="AA160" s="22"/>
    </row>
    <row r="161" spans="1:27" x14ac:dyDescent="0.25">
      <c r="A161" s="22" t="str">
        <f>VLOOKUP(Rapid[[#This Row],[Código]],BD_Produto[#All],7,FALSE)</f>
        <v>Fora de linha</v>
      </c>
      <c r="B161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1" s="23">
        <v>33060114674</v>
      </c>
      <c r="D161" s="22" t="s">
        <v>1491</v>
      </c>
      <c r="E161" s="22" t="str">
        <f>VLOOKUP(Rapid[[#This Row],[Código]],BD_Produto[],3,FALSE)</f>
        <v>Grampeador de Mesa</v>
      </c>
      <c r="F161" s="22" t="str">
        <f>VLOOKUP(Rapid[[#This Row],[Código]],BD_Produto[],4,FALSE)</f>
        <v>Grampeador ??</v>
      </c>
      <c r="G161" s="24"/>
      <c r="H161" s="25"/>
      <c r="I161" s="22"/>
      <c r="J161" s="24"/>
      <c r="K161" s="24" t="str">
        <f>IFERROR(VLOOKUP(Rapid[[#This Row],[Código]],Importação!P:R,3,FALSE),"")</f>
        <v/>
      </c>
      <c r="L161" s="24">
        <f>IFERROR(VLOOKUP(Rapid[[#This Row],[Código]],Saldo[],3,FALSE),0)</f>
        <v>0</v>
      </c>
      <c r="M161" s="24">
        <f>SUM(Rapid[[#This Row],[Produção]:[Estoque]])</f>
        <v>0</v>
      </c>
      <c r="N161" s="24" t="str">
        <f>IFERROR(Rapid[[#This Row],[Estoque+Importação]]/Rapid[[#This Row],[Proj. de V. No prox. mes]],"Sem Projeção")</f>
        <v>Sem Projeção</v>
      </c>
      <c r="O161" s="24" t="str">
        <f>IF(OR(Rapid[[#This Row],[Status]]="Em Linha",Rapid[[#This Row],[Status]]="Componente",Rapid[[#This Row],[Status]]="Materia Prima"),Rapid[[#This Row],[Proj. de V. No prox. mes]]*10,"-")</f>
        <v>-</v>
      </c>
      <c r="P16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1" s="75">
        <f>VLOOKUP(Rapid[[#This Row],[Código]],Projeção[#All],15,FALSE)</f>
        <v>0</v>
      </c>
      <c r="R161" s="39">
        <f>VLOOKUP(Rapid[[#This Row],[Código]],Projeção[#All],14,FALSE)</f>
        <v>0</v>
      </c>
      <c r="S161" s="39">
        <f>IFERROR(VLOOKUP(Rapid[[#This Row],[Código]],Venda_mes[],2,FALSE),0)</f>
        <v>0</v>
      </c>
      <c r="T161" s="44" t="str">
        <f>IFERROR(Rapid[[#This Row],[V. No mes]]/Rapid[[#This Row],[Proj. de V. No mes]],"")</f>
        <v/>
      </c>
      <c r="U161" s="43">
        <f>VLOOKUP(Rapid[[#This Row],[Código]],Projeção[#All],14,FALSE)+VLOOKUP(Rapid[[#This Row],[Código]],Projeção[#All],13,FALSE)+VLOOKUP(Rapid[[#This Row],[Código]],Projeção[#All],12,FALSE)</f>
        <v>0</v>
      </c>
      <c r="V161" s="24">
        <f>IFERROR(VLOOKUP(Rapid[[#This Row],[Código]],Venda_3meses[],2,FALSE),0)</f>
        <v>0</v>
      </c>
      <c r="W161" s="44" t="str">
        <f>IFERROR(Rapid[[#This Row],[V. 3 meses]]/Rapid[[#This Row],[Proj. de V. 3 meses]],"")</f>
        <v/>
      </c>
      <c r="X16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1" s="24">
        <f>IFERROR(VLOOKUP(Rapid[[#This Row],[Código]],Venda_12meses[],2,FALSE),0)</f>
        <v>0</v>
      </c>
      <c r="Z161" s="44" t="str">
        <f>IFERROR(Rapid[[#This Row],[V. 12 meses]]/Rapid[[#This Row],[Proj. de V. 12 meses]],"")</f>
        <v/>
      </c>
      <c r="AA161" s="22"/>
    </row>
    <row r="162" spans="1:27" x14ac:dyDescent="0.25">
      <c r="A162" s="22" t="str">
        <f>VLOOKUP(Rapid[[#This Row],[Código]],BD_Produto[#All],7,FALSE)</f>
        <v>Fora de linha</v>
      </c>
      <c r="B162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2" s="23">
        <v>33070114937</v>
      </c>
      <c r="D162" s="22" t="s">
        <v>1492</v>
      </c>
      <c r="E162" s="22" t="str">
        <f>VLOOKUP(Rapid[[#This Row],[Código]],BD_Produto[],3,FALSE)</f>
        <v>Grampeador ??</v>
      </c>
      <c r="F162" s="22" t="str">
        <f>VLOOKUP(Rapid[[#This Row],[Código]],BD_Produto[],4,FALSE)</f>
        <v>Grampeador ??</v>
      </c>
      <c r="G162" s="24"/>
      <c r="H162" s="25"/>
      <c r="I162" s="22"/>
      <c r="J162" s="24"/>
      <c r="K162" s="24" t="str">
        <f>IFERROR(VLOOKUP(Rapid[[#This Row],[Código]],Importação!P:R,3,FALSE),"")</f>
        <v/>
      </c>
      <c r="L162" s="24">
        <f>IFERROR(VLOOKUP(Rapid[[#This Row],[Código]],Saldo[],3,FALSE),0)</f>
        <v>0</v>
      </c>
      <c r="M162" s="24">
        <f>SUM(Rapid[[#This Row],[Produção]:[Estoque]])</f>
        <v>0</v>
      </c>
      <c r="N162" s="24" t="str">
        <f>IFERROR(Rapid[[#This Row],[Estoque+Importação]]/Rapid[[#This Row],[Proj. de V. No prox. mes]],"Sem Projeção")</f>
        <v>Sem Projeção</v>
      </c>
      <c r="O162" s="24" t="str">
        <f>IF(OR(Rapid[[#This Row],[Status]]="Em Linha",Rapid[[#This Row],[Status]]="Componente",Rapid[[#This Row],[Status]]="Materia Prima"),Rapid[[#This Row],[Proj. de V. No prox. mes]]*10,"-")</f>
        <v>-</v>
      </c>
      <c r="P16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2" s="75">
        <f>VLOOKUP(Rapid[[#This Row],[Código]],Projeção[#All],15,FALSE)</f>
        <v>0</v>
      </c>
      <c r="R162" s="39">
        <f>VLOOKUP(Rapid[[#This Row],[Código]],Projeção[#All],14,FALSE)</f>
        <v>0</v>
      </c>
      <c r="S162" s="39">
        <f>IFERROR(VLOOKUP(Rapid[[#This Row],[Código]],Venda_mes[],2,FALSE),0)</f>
        <v>0</v>
      </c>
      <c r="T162" s="44" t="str">
        <f>IFERROR(Rapid[[#This Row],[V. No mes]]/Rapid[[#This Row],[Proj. de V. No mes]],"")</f>
        <v/>
      </c>
      <c r="U162" s="43">
        <f>VLOOKUP(Rapid[[#This Row],[Código]],Projeção[#All],14,FALSE)+VLOOKUP(Rapid[[#This Row],[Código]],Projeção[#All],13,FALSE)+VLOOKUP(Rapid[[#This Row],[Código]],Projeção[#All],12,FALSE)</f>
        <v>0</v>
      </c>
      <c r="V162" s="24">
        <f>IFERROR(VLOOKUP(Rapid[[#This Row],[Código]],Venda_3meses[],2,FALSE),0)</f>
        <v>0</v>
      </c>
      <c r="W162" s="44" t="str">
        <f>IFERROR(Rapid[[#This Row],[V. 3 meses]]/Rapid[[#This Row],[Proj. de V. 3 meses]],"")</f>
        <v/>
      </c>
      <c r="X16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2" s="24">
        <f>IFERROR(VLOOKUP(Rapid[[#This Row],[Código]],Venda_12meses[],2,FALSE),0)</f>
        <v>0</v>
      </c>
      <c r="Z162" s="44" t="str">
        <f>IFERROR(Rapid[[#This Row],[V. 12 meses]]/Rapid[[#This Row],[Proj. de V. 12 meses]],"")</f>
        <v/>
      </c>
      <c r="AA162" s="22" t="s">
        <v>1686</v>
      </c>
    </row>
    <row r="163" spans="1:27" x14ac:dyDescent="0.25">
      <c r="A163" s="22" t="str">
        <f>VLOOKUP(Rapid[[#This Row],[Código]],BD_Produto[#All],7,FALSE)</f>
        <v>Fora de linha</v>
      </c>
      <c r="B163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3" s="23">
        <v>33060114903</v>
      </c>
      <c r="D163" s="22" t="s">
        <v>1200</v>
      </c>
      <c r="E163" s="22" t="str">
        <f>VLOOKUP(Rapid[[#This Row],[Código]],BD_Produto[],3,FALSE)</f>
        <v>Grampeador de Mesa</v>
      </c>
      <c r="F163" s="22" t="str">
        <f>VLOOKUP(Rapid[[#This Row],[Código]],BD_Produto[],4,FALSE)</f>
        <v>Grampeador de Mesa</v>
      </c>
      <c r="G163" s="24"/>
      <c r="H163" s="25"/>
      <c r="I163" s="22"/>
      <c r="J163" s="24"/>
      <c r="K163" s="24" t="str">
        <f>IFERROR(VLOOKUP(Rapid[[#This Row],[Código]],Importação!P:R,3,FALSE),"")</f>
        <v/>
      </c>
      <c r="L163" s="24">
        <f>IFERROR(VLOOKUP(Rapid[[#This Row],[Código]],Saldo[],3,FALSE),0)</f>
        <v>0</v>
      </c>
      <c r="M163" s="24">
        <f>SUM(Rapid[[#This Row],[Produção]:[Estoque]])</f>
        <v>0</v>
      </c>
      <c r="N163" s="24" t="str">
        <f>IFERROR(Rapid[[#This Row],[Estoque+Importação]]/Rapid[[#This Row],[Proj. de V. No prox. mes]],"Sem Projeção")</f>
        <v>Sem Projeção</v>
      </c>
      <c r="O163" s="24" t="str">
        <f>IF(OR(Rapid[[#This Row],[Status]]="Em Linha",Rapid[[#This Row],[Status]]="Componente",Rapid[[#This Row],[Status]]="Materia Prima"),Rapid[[#This Row],[Proj. de V. No prox. mes]]*10,"-")</f>
        <v>-</v>
      </c>
      <c r="P16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3" s="75">
        <f>VLOOKUP(Rapid[[#This Row],[Código]],Projeção[#All],15,FALSE)</f>
        <v>0</v>
      </c>
      <c r="R163" s="39">
        <f>VLOOKUP(Rapid[[#This Row],[Código]],Projeção[#All],14,FALSE)</f>
        <v>0</v>
      </c>
      <c r="S163" s="39">
        <f>IFERROR(VLOOKUP(Rapid[[#This Row],[Código]],Venda_mes[],2,FALSE),0)</f>
        <v>0</v>
      </c>
      <c r="T163" s="44" t="str">
        <f>IFERROR(Rapid[[#This Row],[V. No mes]]/Rapid[[#This Row],[Proj. de V. No mes]],"")</f>
        <v/>
      </c>
      <c r="U163" s="43">
        <f>VLOOKUP(Rapid[[#This Row],[Código]],Projeção[#All],14,FALSE)+VLOOKUP(Rapid[[#This Row],[Código]],Projeção[#All],13,FALSE)+VLOOKUP(Rapid[[#This Row],[Código]],Projeção[#All],12,FALSE)</f>
        <v>0</v>
      </c>
      <c r="V163" s="24">
        <f>IFERROR(VLOOKUP(Rapid[[#This Row],[Código]],Venda_3meses[],2,FALSE),0)</f>
        <v>0</v>
      </c>
      <c r="W163" s="44" t="str">
        <f>IFERROR(Rapid[[#This Row],[V. 3 meses]]/Rapid[[#This Row],[Proj. de V. 3 meses]],"")</f>
        <v/>
      </c>
      <c r="X16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3" s="24">
        <f>IFERROR(VLOOKUP(Rapid[[#This Row],[Código]],Venda_12meses[],2,FALSE),0)</f>
        <v>0</v>
      </c>
      <c r="Z163" s="44" t="str">
        <f>IFERROR(Rapid[[#This Row],[V. 12 meses]]/Rapid[[#This Row],[Proj. de V. 12 meses]],"")</f>
        <v/>
      </c>
      <c r="AA163" s="22"/>
    </row>
    <row r="164" spans="1:27" x14ac:dyDescent="0.25">
      <c r="A164" s="22" t="str">
        <f>VLOOKUP(Rapid[[#This Row],[Código]],BD_Produto[#All],7,FALSE)</f>
        <v>Fora de linha</v>
      </c>
      <c r="B16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4" s="23">
        <v>33060514940</v>
      </c>
      <c r="D164" s="22" t="s">
        <v>1493</v>
      </c>
      <c r="E164" s="22" t="str">
        <f>VLOOKUP(Rapid[[#This Row],[Código]],BD_Produto[],3,FALSE)</f>
        <v>Grampo</v>
      </c>
      <c r="F164" s="22" t="str">
        <f>VLOOKUP(Rapid[[#This Row],[Código]],BD_Produto[],4,FALSE)</f>
        <v>Grampeador de Mesa</v>
      </c>
      <c r="G164" s="24"/>
      <c r="H164" s="25"/>
      <c r="I164" s="22"/>
      <c r="J164" s="24"/>
      <c r="K164" s="24" t="str">
        <f>IFERROR(VLOOKUP(Rapid[[#This Row],[Código]],Importação!P:R,3,FALSE),"")</f>
        <v/>
      </c>
      <c r="L164" s="24">
        <f>IFERROR(VLOOKUP(Rapid[[#This Row],[Código]],Saldo[],3,FALSE),0)</f>
        <v>0</v>
      </c>
      <c r="M164" s="24">
        <f>SUM(Rapid[[#This Row],[Produção]:[Estoque]])</f>
        <v>0</v>
      </c>
      <c r="N164" s="24" t="str">
        <f>IFERROR(Rapid[[#This Row],[Estoque+Importação]]/Rapid[[#This Row],[Proj. de V. No prox. mes]],"Sem Projeção")</f>
        <v>Sem Projeção</v>
      </c>
      <c r="O164" s="24" t="str">
        <f>IF(OR(Rapid[[#This Row],[Status]]="Em Linha",Rapid[[#This Row],[Status]]="Componente",Rapid[[#This Row],[Status]]="Materia Prima"),Rapid[[#This Row],[Proj. de V. No prox. mes]]*10,"-")</f>
        <v>-</v>
      </c>
      <c r="P16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4" s="75">
        <f>VLOOKUP(Rapid[[#This Row],[Código]],Projeção[#All],15,FALSE)</f>
        <v>0</v>
      </c>
      <c r="R164" s="39">
        <f>VLOOKUP(Rapid[[#This Row],[Código]],Projeção[#All],14,FALSE)</f>
        <v>0</v>
      </c>
      <c r="S164" s="39">
        <f>IFERROR(VLOOKUP(Rapid[[#This Row],[Código]],Venda_mes[],2,FALSE),0)</f>
        <v>0</v>
      </c>
      <c r="T164" s="44" t="str">
        <f>IFERROR(Rapid[[#This Row],[V. No mes]]/Rapid[[#This Row],[Proj. de V. No mes]],"")</f>
        <v/>
      </c>
      <c r="U164" s="43">
        <f>VLOOKUP(Rapid[[#This Row],[Código]],Projeção[#All],14,FALSE)+VLOOKUP(Rapid[[#This Row],[Código]],Projeção[#All],13,FALSE)+VLOOKUP(Rapid[[#This Row],[Código]],Projeção[#All],12,FALSE)</f>
        <v>0</v>
      </c>
      <c r="V164" s="24">
        <f>IFERROR(VLOOKUP(Rapid[[#This Row],[Código]],Venda_3meses[],2,FALSE),0)</f>
        <v>0</v>
      </c>
      <c r="W164" s="44" t="str">
        <f>IFERROR(Rapid[[#This Row],[V. 3 meses]]/Rapid[[#This Row],[Proj. de V. 3 meses]],"")</f>
        <v/>
      </c>
      <c r="X16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4" s="24">
        <f>IFERROR(VLOOKUP(Rapid[[#This Row],[Código]],Venda_12meses[],2,FALSE),0)</f>
        <v>0</v>
      </c>
      <c r="Z164" s="44" t="str">
        <f>IFERROR(Rapid[[#This Row],[V. 12 meses]]/Rapid[[#This Row],[Proj. de V. 12 meses]],"")</f>
        <v/>
      </c>
      <c r="AA164" s="22">
        <v>22682300</v>
      </c>
    </row>
    <row r="165" spans="1:27" x14ac:dyDescent="0.25">
      <c r="A165" s="22" t="str">
        <f>VLOOKUP(Rapid[[#This Row],[Código]],BD_Produto[#All],7,FALSE)</f>
        <v>Fora de linha</v>
      </c>
      <c r="B16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5" s="23">
        <v>32070534592</v>
      </c>
      <c r="D165" s="22" t="s">
        <v>1494</v>
      </c>
      <c r="E165" s="22" t="str">
        <f>VLOOKUP(Rapid[[#This Row],[Código]],BD_Produto[],3,FALSE)</f>
        <v>Grampo</v>
      </c>
      <c r="F165" s="22">
        <f>VLOOKUP(Rapid[[#This Row],[Código]],BD_Produto[],4,FALSE)</f>
        <v>0</v>
      </c>
      <c r="G165" s="24"/>
      <c r="H165" s="25"/>
      <c r="I165" s="22"/>
      <c r="J165" s="24"/>
      <c r="K165" s="24" t="str">
        <f>IFERROR(VLOOKUP(Rapid[[#This Row],[Código]],Importação!P:R,3,FALSE),"")</f>
        <v/>
      </c>
      <c r="L165" s="24">
        <f>IFERROR(VLOOKUP(Rapid[[#This Row],[Código]],Saldo[],3,FALSE),0)</f>
        <v>0</v>
      </c>
      <c r="M165" s="24">
        <f>SUM(Rapid[[#This Row],[Produção]:[Estoque]])</f>
        <v>0</v>
      </c>
      <c r="N165" s="24" t="str">
        <f>IFERROR(Rapid[[#This Row],[Estoque+Importação]]/Rapid[[#This Row],[Proj. de V. No prox. mes]],"Sem Projeção")</f>
        <v>Sem Projeção</v>
      </c>
      <c r="O165" s="24" t="str">
        <f>IF(OR(Rapid[[#This Row],[Status]]="Em Linha",Rapid[[#This Row],[Status]]="Componente",Rapid[[#This Row],[Status]]="Materia Prima"),Rapid[[#This Row],[Proj. de V. No prox. mes]]*10,"-")</f>
        <v>-</v>
      </c>
      <c r="P16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5" s="75">
        <f>VLOOKUP(Rapid[[#This Row],[Código]],Projeção[#All],15,FALSE)</f>
        <v>0</v>
      </c>
      <c r="R165" s="39">
        <f>VLOOKUP(Rapid[[#This Row],[Código]],Projeção[#All],14,FALSE)</f>
        <v>0</v>
      </c>
      <c r="S165" s="39">
        <f>IFERROR(VLOOKUP(Rapid[[#This Row],[Código]],Venda_mes[],2,FALSE),0)</f>
        <v>0</v>
      </c>
      <c r="T165" s="44" t="str">
        <f>IFERROR(Rapid[[#This Row],[V. No mes]]/Rapid[[#This Row],[Proj. de V. No mes]],"")</f>
        <v/>
      </c>
      <c r="U165" s="43">
        <f>VLOOKUP(Rapid[[#This Row],[Código]],Projeção[#All],14,FALSE)+VLOOKUP(Rapid[[#This Row],[Código]],Projeção[#All],13,FALSE)+VLOOKUP(Rapid[[#This Row],[Código]],Projeção[#All],12,FALSE)</f>
        <v>0</v>
      </c>
      <c r="V165" s="24">
        <f>IFERROR(VLOOKUP(Rapid[[#This Row],[Código]],Venda_3meses[],2,FALSE),0)</f>
        <v>0</v>
      </c>
      <c r="W165" s="44" t="str">
        <f>IFERROR(Rapid[[#This Row],[V. 3 meses]]/Rapid[[#This Row],[Proj. de V. 3 meses]],"")</f>
        <v/>
      </c>
      <c r="X16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5" s="24">
        <f>IFERROR(VLOOKUP(Rapid[[#This Row],[Código]],Venda_12meses[],2,FALSE),0)</f>
        <v>0</v>
      </c>
      <c r="Z165" s="44" t="str">
        <f>IFERROR(Rapid[[#This Row],[V. 12 meses]]/Rapid[[#This Row],[Proj. de V. 12 meses]],"")</f>
        <v/>
      </c>
      <c r="AA165" s="22"/>
    </row>
    <row r="166" spans="1:27" x14ac:dyDescent="0.25">
      <c r="A166" s="22" t="str">
        <f>VLOOKUP(Rapid[[#This Row],[Código]],BD_Produto[#All],7,FALSE)</f>
        <v>Fora de linha</v>
      </c>
      <c r="B16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6" s="23">
        <v>32070534147</v>
      </c>
      <c r="D166" s="22" t="s">
        <v>1495</v>
      </c>
      <c r="E166" s="22" t="str">
        <f>VLOOKUP(Rapid[[#This Row],[Código]],BD_Produto[],3,FALSE)</f>
        <v>Grampo</v>
      </c>
      <c r="F166" s="22">
        <f>VLOOKUP(Rapid[[#This Row],[Código]],BD_Produto[],4,FALSE)</f>
        <v>0</v>
      </c>
      <c r="G166" s="24"/>
      <c r="H166" s="25"/>
      <c r="I166" s="22"/>
      <c r="J166" s="24"/>
      <c r="K166" s="24" t="str">
        <f>IFERROR(VLOOKUP(Rapid[[#This Row],[Código]],Importação!P:R,3,FALSE),"")</f>
        <v/>
      </c>
      <c r="L166" s="24">
        <f>IFERROR(VLOOKUP(Rapid[[#This Row],[Código]],Saldo[],3,FALSE),0)</f>
        <v>0</v>
      </c>
      <c r="M166" s="24">
        <f>SUM(Rapid[[#This Row],[Produção]:[Estoque]])</f>
        <v>0</v>
      </c>
      <c r="N166" s="24" t="str">
        <f>IFERROR(Rapid[[#This Row],[Estoque+Importação]]/Rapid[[#This Row],[Proj. de V. No prox. mes]],"Sem Projeção")</f>
        <v>Sem Projeção</v>
      </c>
      <c r="O166" s="24" t="str">
        <f>IF(OR(Rapid[[#This Row],[Status]]="Em Linha",Rapid[[#This Row],[Status]]="Componente",Rapid[[#This Row],[Status]]="Materia Prima"),Rapid[[#This Row],[Proj. de V. No prox. mes]]*10,"-")</f>
        <v>-</v>
      </c>
      <c r="P16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6" s="75">
        <f>VLOOKUP(Rapid[[#This Row],[Código]],Projeção[#All],15,FALSE)</f>
        <v>0</v>
      </c>
      <c r="R166" s="24">
        <f>VLOOKUP(Rapid[[#This Row],[Código]],Projeção[#All],14,FALSE)</f>
        <v>0</v>
      </c>
      <c r="S166" s="24">
        <f>IFERROR(VLOOKUP(Rapid[[#This Row],[Código]],Venda_mes[],2,FALSE),0)</f>
        <v>0</v>
      </c>
      <c r="T166" s="44" t="str">
        <f>IFERROR(Rapid[[#This Row],[V. No mes]]/Rapid[[#This Row],[Proj. de V. No mes]],"")</f>
        <v/>
      </c>
      <c r="U166" s="43">
        <f>VLOOKUP(Rapid[[#This Row],[Código]],Projeção[#All],14,FALSE)+VLOOKUP(Rapid[[#This Row],[Código]],Projeção[#All],13,FALSE)+VLOOKUP(Rapid[[#This Row],[Código]],Projeção[#All],12,FALSE)</f>
        <v>0</v>
      </c>
      <c r="V166" s="24">
        <f>IFERROR(VLOOKUP(Rapid[[#This Row],[Código]],Venda_3meses[],2,FALSE),0)</f>
        <v>0</v>
      </c>
      <c r="W166" s="44" t="str">
        <f>IFERROR(Rapid[[#This Row],[V. 3 meses]]/Rapid[[#This Row],[Proj. de V. 3 meses]],"")</f>
        <v/>
      </c>
      <c r="X16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6" s="24">
        <f>IFERROR(VLOOKUP(Rapid[[#This Row],[Código]],Venda_12meses[],2,FALSE),0)</f>
        <v>0</v>
      </c>
      <c r="Z166" s="44" t="str">
        <f>IFERROR(Rapid[[#This Row],[V. 12 meses]]/Rapid[[#This Row],[Proj. de V. 12 meses]],"")</f>
        <v/>
      </c>
      <c r="AA166" s="22"/>
    </row>
    <row r="167" spans="1:27" x14ac:dyDescent="0.25">
      <c r="A167" s="22" t="str">
        <f>VLOOKUP(Rapid[[#This Row],[Código]],BD_Produto[#All],7,FALSE)</f>
        <v>Fora de linha</v>
      </c>
      <c r="B16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7" s="23">
        <v>32060524134</v>
      </c>
      <c r="D167" s="22" t="s">
        <v>1496</v>
      </c>
      <c r="E167" s="22" t="str">
        <f>VLOOKUP(Rapid[[#This Row],[Código]],BD_Produto[],3,FALSE)</f>
        <v>Grampo</v>
      </c>
      <c r="F167" s="22" t="str">
        <f>VLOOKUP(Rapid[[#This Row],[Código]],BD_Produto[],4,FALSE)</f>
        <v>Grampeador Heavy Duty</v>
      </c>
      <c r="G167" s="24"/>
      <c r="H167" s="25"/>
      <c r="I167" s="22"/>
      <c r="J167" s="24"/>
      <c r="K167" s="24" t="str">
        <f>IFERROR(VLOOKUP(Rapid[[#This Row],[Código]],Importação!P:R,3,FALSE),"")</f>
        <v/>
      </c>
      <c r="L167" s="24">
        <f>IFERROR(VLOOKUP(Rapid[[#This Row],[Código]],Saldo[],3,FALSE),0)</f>
        <v>0</v>
      </c>
      <c r="M167" s="24">
        <f>SUM(Rapid[[#This Row],[Produção]:[Estoque]])</f>
        <v>0</v>
      </c>
      <c r="N167" s="24" t="str">
        <f>IFERROR(Rapid[[#This Row],[Estoque+Importação]]/Rapid[[#This Row],[Proj. de V. No prox. mes]],"Sem Projeção")</f>
        <v>Sem Projeção</v>
      </c>
      <c r="O167" s="24" t="str">
        <f>IF(OR(Rapid[[#This Row],[Status]]="Em Linha",Rapid[[#This Row],[Status]]="Componente",Rapid[[#This Row],[Status]]="Materia Prima"),Rapid[[#This Row],[Proj. de V. No prox. mes]]*10,"-")</f>
        <v>-</v>
      </c>
      <c r="P16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7" s="75">
        <f>VLOOKUP(Rapid[[#This Row],[Código]],Projeção[#All],15,FALSE)</f>
        <v>0</v>
      </c>
      <c r="R167" s="24">
        <f>VLOOKUP(Rapid[[#This Row],[Código]],Projeção[#All],14,FALSE)</f>
        <v>0</v>
      </c>
      <c r="S167" s="24">
        <f>IFERROR(VLOOKUP(Rapid[[#This Row],[Código]],Venda_mes[],2,FALSE),0)</f>
        <v>0</v>
      </c>
      <c r="T167" s="44" t="str">
        <f>IFERROR(Rapid[[#This Row],[V. No mes]]/Rapid[[#This Row],[Proj. de V. No mes]],"")</f>
        <v/>
      </c>
      <c r="U167" s="43">
        <f>VLOOKUP(Rapid[[#This Row],[Código]],Projeção[#All],14,FALSE)+VLOOKUP(Rapid[[#This Row],[Código]],Projeção[#All],13,FALSE)+VLOOKUP(Rapid[[#This Row],[Código]],Projeção[#All],12,FALSE)</f>
        <v>0</v>
      </c>
      <c r="V167" s="24">
        <f>IFERROR(VLOOKUP(Rapid[[#This Row],[Código]],Venda_3meses[],2,FALSE),0)</f>
        <v>0</v>
      </c>
      <c r="W167" s="44" t="str">
        <f>IFERROR(Rapid[[#This Row],[V. 3 meses]]/Rapid[[#This Row],[Proj. de V. 3 meses]],"")</f>
        <v/>
      </c>
      <c r="X16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7" s="24">
        <f>IFERROR(VLOOKUP(Rapid[[#This Row],[Código]],Venda_12meses[],2,FALSE),0)</f>
        <v>0</v>
      </c>
      <c r="Z167" s="44" t="str">
        <f>IFERROR(Rapid[[#This Row],[V. 12 meses]]/Rapid[[#This Row],[Proj. de V. 12 meses]],"")</f>
        <v/>
      </c>
      <c r="AA167" s="22"/>
    </row>
    <row r="168" spans="1:27" x14ac:dyDescent="0.25">
      <c r="A168" s="22" t="str">
        <f>VLOOKUP(Rapid[[#This Row],[Código]],BD_Produto[#All],7,FALSE)</f>
        <v>Fora de linha</v>
      </c>
      <c r="B16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8" s="23">
        <v>32070524649</v>
      </c>
      <c r="D168" s="22" t="s">
        <v>1497</v>
      </c>
      <c r="E168" s="22" t="str">
        <f>VLOOKUP(Rapid[[#This Row],[Código]],BD_Produto[],3,FALSE)</f>
        <v>Grampo</v>
      </c>
      <c r="F168" s="22">
        <f>VLOOKUP(Rapid[[#This Row],[Código]],BD_Produto[],4,FALSE)</f>
        <v>0</v>
      </c>
      <c r="G168" s="24"/>
      <c r="H168" s="25"/>
      <c r="I168" s="22"/>
      <c r="J168" s="24"/>
      <c r="K168" s="24" t="str">
        <f>IFERROR(VLOOKUP(Rapid[[#This Row],[Código]],Importação!P:R,3,FALSE),"")</f>
        <v/>
      </c>
      <c r="L168" s="24">
        <f>IFERROR(VLOOKUP(Rapid[[#This Row],[Código]],Saldo[],3,FALSE),0)</f>
        <v>0</v>
      </c>
      <c r="M168" s="24">
        <f>SUM(Rapid[[#This Row],[Produção]:[Estoque]])</f>
        <v>0</v>
      </c>
      <c r="N168" s="24" t="str">
        <f>IFERROR(Rapid[[#This Row],[Estoque+Importação]]/Rapid[[#This Row],[Proj. de V. No prox. mes]],"Sem Projeção")</f>
        <v>Sem Projeção</v>
      </c>
      <c r="O168" s="24" t="str">
        <f>IF(OR(Rapid[[#This Row],[Status]]="Em Linha",Rapid[[#This Row],[Status]]="Componente",Rapid[[#This Row],[Status]]="Materia Prima"),Rapid[[#This Row],[Proj. de V. No prox. mes]]*10,"-")</f>
        <v>-</v>
      </c>
      <c r="P16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8" s="83">
        <f>VLOOKUP(Rapid[[#This Row],[Código]],Projeção[#All],15,FALSE)</f>
        <v>0</v>
      </c>
      <c r="R168" s="24">
        <f>VLOOKUP(Rapid[[#This Row],[Código]],Projeção[#All],14,FALSE)</f>
        <v>0</v>
      </c>
      <c r="S168" s="24">
        <f>IFERROR(VLOOKUP(Rapid[[#This Row],[Código]],Venda_mes[],2,FALSE),0)</f>
        <v>0</v>
      </c>
      <c r="T168" s="45" t="str">
        <f>IFERROR(Rapid[[#This Row],[V. No mes]]/Rapid[[#This Row],[Proj. de V. No mes]],"")</f>
        <v/>
      </c>
      <c r="U168" s="39">
        <f>VLOOKUP(Rapid[[#This Row],[Código]],Projeção[#All],14,FALSE)+VLOOKUP(Rapid[[#This Row],[Código]],Projeção[#All],13,FALSE)+VLOOKUP(Rapid[[#This Row],[Código]],Projeção[#All],12,FALSE)</f>
        <v>0</v>
      </c>
      <c r="V168" s="24">
        <f>IFERROR(VLOOKUP(Rapid[[#This Row],[Código]],Venda_3meses[],2,FALSE),0)</f>
        <v>0</v>
      </c>
      <c r="W168" s="45" t="str">
        <f>IFERROR(Rapid[[#This Row],[V. 3 meses]]/Rapid[[#This Row],[Proj. de V. 3 meses]],"")</f>
        <v/>
      </c>
      <c r="X168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8" s="24">
        <f>IFERROR(VLOOKUP(Rapid[[#This Row],[Código]],Venda_12meses[],2,FALSE),0)</f>
        <v>0</v>
      </c>
      <c r="Z168" s="45" t="str">
        <f>IFERROR(Rapid[[#This Row],[V. 12 meses]]/Rapid[[#This Row],[Proj. de V. 12 meses]],"")</f>
        <v/>
      </c>
      <c r="AA168" s="22"/>
    </row>
    <row r="169" spans="1:27" x14ac:dyDescent="0.25">
      <c r="A169" s="22" t="str">
        <f>VLOOKUP(Rapid[[#This Row],[Código]],BD_Produto[#All],7,FALSE)</f>
        <v>Fora de linha</v>
      </c>
      <c r="B16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69" s="23">
        <v>32070524648</v>
      </c>
      <c r="D169" s="22" t="s">
        <v>1498</v>
      </c>
      <c r="E169" s="22" t="str">
        <f>VLOOKUP(Rapid[[#This Row],[Código]],BD_Produto[],3,FALSE)</f>
        <v>Grampo</v>
      </c>
      <c r="F169" s="22">
        <f>VLOOKUP(Rapid[[#This Row],[Código]],BD_Produto[],4,FALSE)</f>
        <v>0</v>
      </c>
      <c r="G169" s="24"/>
      <c r="H169" s="25"/>
      <c r="I169" s="22"/>
      <c r="J169" s="24"/>
      <c r="K169" s="24" t="str">
        <f>IFERROR(VLOOKUP(Rapid[[#This Row],[Código]],Importação!P:R,3,FALSE),"")</f>
        <v/>
      </c>
      <c r="L169" s="24">
        <f>IFERROR(VLOOKUP(Rapid[[#This Row],[Código]],Saldo[],3,FALSE),0)</f>
        <v>0</v>
      </c>
      <c r="M169" s="24">
        <f>SUM(Rapid[[#This Row],[Produção]:[Estoque]])</f>
        <v>0</v>
      </c>
      <c r="N169" s="24" t="str">
        <f>IFERROR(Rapid[[#This Row],[Estoque+Importação]]/Rapid[[#This Row],[Proj. de V. No prox. mes]],"Sem Projeção")</f>
        <v>Sem Projeção</v>
      </c>
      <c r="O169" s="24" t="str">
        <f>IF(OR(Rapid[[#This Row],[Status]]="Em Linha",Rapid[[#This Row],[Status]]="Componente",Rapid[[#This Row],[Status]]="Materia Prima"),Rapid[[#This Row],[Proj. de V. No prox. mes]]*10,"-")</f>
        <v>-</v>
      </c>
      <c r="P16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69" s="75">
        <f>VLOOKUP(Rapid[[#This Row],[Código]],Projeção[#All],15,FALSE)</f>
        <v>0</v>
      </c>
      <c r="R169" s="24">
        <f>VLOOKUP(Rapid[[#This Row],[Código]],Projeção[#All],14,FALSE)</f>
        <v>0</v>
      </c>
      <c r="S169" s="24">
        <f>IFERROR(VLOOKUP(Rapid[[#This Row],[Código]],Venda_mes[],2,FALSE),0)</f>
        <v>0</v>
      </c>
      <c r="T169" s="44" t="str">
        <f>IFERROR(Rapid[[#This Row],[V. No mes]]/Rapid[[#This Row],[Proj. de V. No mes]],"")</f>
        <v/>
      </c>
      <c r="U169" s="43">
        <f>VLOOKUP(Rapid[[#This Row],[Código]],Projeção[#All],14,FALSE)+VLOOKUP(Rapid[[#This Row],[Código]],Projeção[#All],13,FALSE)+VLOOKUP(Rapid[[#This Row],[Código]],Projeção[#All],12,FALSE)</f>
        <v>0</v>
      </c>
      <c r="V169" s="24">
        <f>IFERROR(VLOOKUP(Rapid[[#This Row],[Código]],Venda_3meses[],2,FALSE),0)</f>
        <v>0</v>
      </c>
      <c r="W169" s="44" t="str">
        <f>IFERROR(Rapid[[#This Row],[V. 3 meses]]/Rapid[[#This Row],[Proj. de V. 3 meses]],"")</f>
        <v/>
      </c>
      <c r="X16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69" s="24">
        <f>IFERROR(VLOOKUP(Rapid[[#This Row],[Código]],Venda_12meses[],2,FALSE),0)</f>
        <v>0</v>
      </c>
      <c r="Z169" s="44" t="str">
        <f>IFERROR(Rapid[[#This Row],[V. 12 meses]]/Rapid[[#This Row],[Proj. de V. 12 meses]],"")</f>
        <v/>
      </c>
      <c r="AA169" s="22"/>
    </row>
    <row r="170" spans="1:27" x14ac:dyDescent="0.25">
      <c r="A170" s="22" t="str">
        <f>VLOOKUP(Rapid[[#This Row],[Código]],BD_Produto[#All],7,FALSE)</f>
        <v>Fora de linha</v>
      </c>
      <c r="B17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0" s="23">
        <v>33060514905</v>
      </c>
      <c r="D170" s="22" t="s">
        <v>1499</v>
      </c>
      <c r="E170" s="22" t="str">
        <f>VLOOKUP(Rapid[[#This Row],[Código]],BD_Produto[],3,FALSE)</f>
        <v>Grampo</v>
      </c>
      <c r="F170" s="22" t="str">
        <f>VLOOKUP(Rapid[[#This Row],[Código]],BD_Produto[],4,FALSE)</f>
        <v>Grampeador de Mesa</v>
      </c>
      <c r="G170" s="24"/>
      <c r="H170" s="25"/>
      <c r="I170" s="22"/>
      <c r="J170" s="24"/>
      <c r="K170" s="24" t="str">
        <f>IFERROR(VLOOKUP(Rapid[[#This Row],[Código]],Importação!P:R,3,FALSE),"")</f>
        <v/>
      </c>
      <c r="L170" s="24">
        <f>IFERROR(VLOOKUP(Rapid[[#This Row],[Código]],Saldo[],3,FALSE),0)</f>
        <v>0</v>
      </c>
      <c r="M170" s="24">
        <f>SUM(Rapid[[#This Row],[Produção]:[Estoque]])</f>
        <v>0</v>
      </c>
      <c r="N170" s="24" t="str">
        <f>IFERROR(Rapid[[#This Row],[Estoque+Importação]]/Rapid[[#This Row],[Proj. de V. No prox. mes]],"Sem Projeção")</f>
        <v>Sem Projeção</v>
      </c>
      <c r="O170" s="24" t="str">
        <f>IF(OR(Rapid[[#This Row],[Status]]="Em Linha",Rapid[[#This Row],[Status]]="Componente",Rapid[[#This Row],[Status]]="Materia Prima"),Rapid[[#This Row],[Proj. de V. No prox. mes]]*10,"-")</f>
        <v>-</v>
      </c>
      <c r="P17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0" s="75">
        <f>VLOOKUP(Rapid[[#This Row],[Código]],Projeção[#All],15,FALSE)</f>
        <v>0</v>
      </c>
      <c r="R170" s="24">
        <f>VLOOKUP(Rapid[[#This Row],[Código]],Projeção[#All],14,FALSE)</f>
        <v>0</v>
      </c>
      <c r="S170" s="24">
        <f>IFERROR(VLOOKUP(Rapid[[#This Row],[Código]],Venda_mes[],2,FALSE),0)</f>
        <v>0</v>
      </c>
      <c r="T170" s="44" t="str">
        <f>IFERROR(Rapid[[#This Row],[V. No mes]]/Rapid[[#This Row],[Proj. de V. No mes]],"")</f>
        <v/>
      </c>
      <c r="U170" s="43">
        <f>VLOOKUP(Rapid[[#This Row],[Código]],Projeção[#All],14,FALSE)+VLOOKUP(Rapid[[#This Row],[Código]],Projeção[#All],13,FALSE)+VLOOKUP(Rapid[[#This Row],[Código]],Projeção[#All],12,FALSE)</f>
        <v>0</v>
      </c>
      <c r="V170" s="24">
        <f>IFERROR(VLOOKUP(Rapid[[#This Row],[Código]],Venda_3meses[],2,FALSE),0)</f>
        <v>0</v>
      </c>
      <c r="W170" s="44" t="str">
        <f>IFERROR(Rapid[[#This Row],[V. 3 meses]]/Rapid[[#This Row],[Proj. de V. 3 meses]],"")</f>
        <v/>
      </c>
      <c r="X17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0" s="24">
        <f>IFERROR(VLOOKUP(Rapid[[#This Row],[Código]],Venda_12meses[],2,FALSE),0)</f>
        <v>0</v>
      </c>
      <c r="Z170" s="44" t="str">
        <f>IFERROR(Rapid[[#This Row],[V. 12 meses]]/Rapid[[#This Row],[Proj. de V. 12 meses]],"")</f>
        <v/>
      </c>
      <c r="AA170" s="22"/>
    </row>
    <row r="171" spans="1:27" x14ac:dyDescent="0.25">
      <c r="A171" s="22" t="str">
        <f>VLOOKUP(Rapid[[#This Row],[Código]],BD_Produto[#All],7,FALSE)</f>
        <v>Fora de linha</v>
      </c>
      <c r="B171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1" s="23">
        <v>33060514136</v>
      </c>
      <c r="D171" s="22" t="s">
        <v>1501</v>
      </c>
      <c r="E171" s="22" t="str">
        <f>VLOOKUP(Rapid[[#This Row],[Código]],BD_Produto[],3,FALSE)</f>
        <v>Grampo</v>
      </c>
      <c r="F171" s="22" t="str">
        <f>VLOOKUP(Rapid[[#This Row],[Código]],BD_Produto[],4,FALSE)</f>
        <v>Grampeador Heavy Duty</v>
      </c>
      <c r="G171" s="24"/>
      <c r="H171" s="25"/>
      <c r="I171" s="22"/>
      <c r="J171" s="24"/>
      <c r="K171" s="24" t="str">
        <f>IFERROR(VLOOKUP(Rapid[[#This Row],[Código]],Importação!P:R,3,FALSE),"")</f>
        <v/>
      </c>
      <c r="L171" s="24">
        <f>IFERROR(VLOOKUP(Rapid[[#This Row],[Código]],Saldo[],3,FALSE),0)</f>
        <v>0</v>
      </c>
      <c r="M171" s="24">
        <f>SUM(Rapid[[#This Row],[Produção]:[Estoque]])</f>
        <v>0</v>
      </c>
      <c r="N171" s="24" t="str">
        <f>IFERROR(Rapid[[#This Row],[Estoque+Importação]]/Rapid[[#This Row],[Proj. de V. No prox. mes]],"Sem Projeção")</f>
        <v>Sem Projeção</v>
      </c>
      <c r="O171" s="24" t="str">
        <f>IF(OR(Rapid[[#This Row],[Status]]="Em Linha",Rapid[[#This Row],[Status]]="Componente",Rapid[[#This Row],[Status]]="Materia Prima"),Rapid[[#This Row],[Proj. de V. No prox. mes]]*10,"-")</f>
        <v>-</v>
      </c>
      <c r="P17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1" s="75">
        <f>VLOOKUP(Rapid[[#This Row],[Código]],Projeção[#All],15,FALSE)</f>
        <v>0</v>
      </c>
      <c r="R171" s="24">
        <f>VLOOKUP(Rapid[[#This Row],[Código]],Projeção[#All],14,FALSE)</f>
        <v>0</v>
      </c>
      <c r="S171" s="24">
        <f>IFERROR(VLOOKUP(Rapid[[#This Row],[Código]],Venda_mes[],2,FALSE),0)</f>
        <v>0</v>
      </c>
      <c r="T171" s="44" t="str">
        <f>IFERROR(Rapid[[#This Row],[V. No mes]]/Rapid[[#This Row],[Proj. de V. No mes]],"")</f>
        <v/>
      </c>
      <c r="U171" s="43">
        <f>VLOOKUP(Rapid[[#This Row],[Código]],Projeção[#All],14,FALSE)+VLOOKUP(Rapid[[#This Row],[Código]],Projeção[#All],13,FALSE)+VLOOKUP(Rapid[[#This Row],[Código]],Projeção[#All],12,FALSE)</f>
        <v>0</v>
      </c>
      <c r="V171" s="24">
        <f>IFERROR(VLOOKUP(Rapid[[#This Row],[Código]],Venda_3meses[],2,FALSE),0)</f>
        <v>0</v>
      </c>
      <c r="W171" s="44" t="str">
        <f>IFERROR(Rapid[[#This Row],[V. 3 meses]]/Rapid[[#This Row],[Proj. de V. 3 meses]],"")</f>
        <v/>
      </c>
      <c r="X17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1" s="24">
        <f>IFERROR(VLOOKUP(Rapid[[#This Row],[Código]],Venda_12meses[],2,FALSE),0)</f>
        <v>0</v>
      </c>
      <c r="Z171" s="44" t="str">
        <f>IFERROR(Rapid[[#This Row],[V. 12 meses]]/Rapid[[#This Row],[Proj. de V. 12 meses]],"")</f>
        <v/>
      </c>
      <c r="AA171" s="22" t="s">
        <v>1688</v>
      </c>
    </row>
    <row r="172" spans="1:27" x14ac:dyDescent="0.25">
      <c r="A172" s="22" t="str">
        <f>VLOOKUP(Rapid[[#This Row],[Código]],BD_Produto[#All],7,FALSE)</f>
        <v>Fora de linha</v>
      </c>
      <c r="B172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2" s="23">
        <v>33060714790</v>
      </c>
      <c r="D172" s="22" t="s">
        <v>1048</v>
      </c>
      <c r="E172" s="22" t="str">
        <f>VLOOKUP(Rapid[[#This Row],[Código]],BD_Produto[],3,FALSE)</f>
        <v>Perfurador</v>
      </c>
      <c r="F172" s="22" t="str">
        <f>VLOOKUP(Rapid[[#This Row],[Código]],BD_Produto[],4,FALSE)</f>
        <v>Perfurador</v>
      </c>
      <c r="G172" s="24"/>
      <c r="H172" s="25"/>
      <c r="I172" s="22"/>
      <c r="J172" s="24"/>
      <c r="K172" s="24" t="str">
        <f>IFERROR(VLOOKUP(Rapid[[#This Row],[Código]],Importação!P:R,3,FALSE),"")</f>
        <v/>
      </c>
      <c r="L172" s="24">
        <f>IFERROR(VLOOKUP(Rapid[[#This Row],[Código]],Saldo[],3,FALSE),0)</f>
        <v>0</v>
      </c>
      <c r="M172" s="24">
        <f>SUM(Rapid[[#This Row],[Produção]:[Estoque]])</f>
        <v>0</v>
      </c>
      <c r="N172" s="24" t="str">
        <f>IFERROR(Rapid[[#This Row],[Estoque+Importação]]/Rapid[[#This Row],[Proj. de V. No prox. mes]],"Sem Projeção")</f>
        <v>Sem Projeção</v>
      </c>
      <c r="O172" s="24" t="str">
        <f>IF(OR(Rapid[[#This Row],[Status]]="Em Linha",Rapid[[#This Row],[Status]]="Componente",Rapid[[#This Row],[Status]]="Materia Prima"),Rapid[[#This Row],[Proj. de V. No prox. mes]]*10,"-")</f>
        <v>-</v>
      </c>
      <c r="P17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2" s="75">
        <f>VLOOKUP(Rapid[[#This Row],[Código]],Projeção[#All],15,FALSE)</f>
        <v>0</v>
      </c>
      <c r="R172" s="24">
        <f>VLOOKUP(Rapid[[#This Row],[Código]],Projeção[#All],14,FALSE)</f>
        <v>0</v>
      </c>
      <c r="S172" s="24">
        <f>IFERROR(VLOOKUP(Rapid[[#This Row],[Código]],Venda_mes[],2,FALSE),0)</f>
        <v>0</v>
      </c>
      <c r="T172" s="44" t="str">
        <f>IFERROR(Rapid[[#This Row],[V. No mes]]/Rapid[[#This Row],[Proj. de V. No mes]],"")</f>
        <v/>
      </c>
      <c r="U172" s="43">
        <f>VLOOKUP(Rapid[[#This Row],[Código]],Projeção[#All],14,FALSE)+VLOOKUP(Rapid[[#This Row],[Código]],Projeção[#All],13,FALSE)+VLOOKUP(Rapid[[#This Row],[Código]],Projeção[#All],12,FALSE)</f>
        <v>0</v>
      </c>
      <c r="V172" s="24">
        <f>IFERROR(VLOOKUP(Rapid[[#This Row],[Código]],Venda_3meses[],2,FALSE),0)</f>
        <v>0</v>
      </c>
      <c r="W172" s="44" t="str">
        <f>IFERROR(Rapid[[#This Row],[V. 3 meses]]/Rapid[[#This Row],[Proj. de V. 3 meses]],"")</f>
        <v/>
      </c>
      <c r="X17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2" s="24">
        <f>IFERROR(VLOOKUP(Rapid[[#This Row],[Código]],Venda_12meses[],2,FALSE),0)</f>
        <v>0</v>
      </c>
      <c r="Z172" s="44" t="str">
        <f>IFERROR(Rapid[[#This Row],[V. 12 meses]]/Rapid[[#This Row],[Proj. de V. 12 meses]],"")</f>
        <v/>
      </c>
      <c r="AA172" s="22"/>
    </row>
    <row r="173" spans="1:27" x14ac:dyDescent="0.25">
      <c r="A173" s="22" t="str">
        <f>VLOOKUP(Rapid[[#This Row],[Código]],BD_Produto[#All],7,FALSE)</f>
        <v>Fora de linha</v>
      </c>
      <c r="B173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3" s="23">
        <v>33060714637</v>
      </c>
      <c r="D173" s="22" t="s">
        <v>1502</v>
      </c>
      <c r="E173" s="22" t="str">
        <f>VLOOKUP(Rapid[[#This Row],[Código]],BD_Produto[],3,FALSE)</f>
        <v>Perfurador</v>
      </c>
      <c r="F173" s="22" t="str">
        <f>VLOOKUP(Rapid[[#This Row],[Código]],BD_Produto[],4,FALSE)</f>
        <v>Perfurador</v>
      </c>
      <c r="G173" s="24"/>
      <c r="H173" s="25"/>
      <c r="I173" s="22"/>
      <c r="J173" s="24"/>
      <c r="K173" s="24" t="str">
        <f>IFERROR(VLOOKUP(Rapid[[#This Row],[Código]],Importação!P:R,3,FALSE),"")</f>
        <v/>
      </c>
      <c r="L173" s="24">
        <f>IFERROR(VLOOKUP(Rapid[[#This Row],[Código]],Saldo[],3,FALSE),0)</f>
        <v>0</v>
      </c>
      <c r="M173" s="24">
        <f>SUM(Rapid[[#This Row],[Produção]:[Estoque]])</f>
        <v>0</v>
      </c>
      <c r="N173" s="24" t="str">
        <f>IFERROR(Rapid[[#This Row],[Estoque+Importação]]/Rapid[[#This Row],[Proj. de V. No prox. mes]],"Sem Projeção")</f>
        <v>Sem Projeção</v>
      </c>
      <c r="O173" s="24" t="str">
        <f>IF(OR(Rapid[[#This Row],[Status]]="Em Linha",Rapid[[#This Row],[Status]]="Componente",Rapid[[#This Row],[Status]]="Materia Prima"),Rapid[[#This Row],[Proj. de V. No prox. mes]]*10,"-")</f>
        <v>-</v>
      </c>
      <c r="P17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3" s="75">
        <f>VLOOKUP(Rapid[[#This Row],[Código]],Projeção[#All],15,FALSE)</f>
        <v>0</v>
      </c>
      <c r="R173" s="24">
        <f>VLOOKUP(Rapid[[#This Row],[Código]],Projeção[#All],14,FALSE)</f>
        <v>0</v>
      </c>
      <c r="S173" s="24">
        <f>IFERROR(VLOOKUP(Rapid[[#This Row],[Código]],Venda_mes[],2,FALSE),0)</f>
        <v>0</v>
      </c>
      <c r="T173" s="44" t="str">
        <f>IFERROR(Rapid[[#This Row],[V. No mes]]/Rapid[[#This Row],[Proj. de V. No mes]],"")</f>
        <v/>
      </c>
      <c r="U173" s="43">
        <f>VLOOKUP(Rapid[[#This Row],[Código]],Projeção[#All],14,FALSE)+VLOOKUP(Rapid[[#This Row],[Código]],Projeção[#All],13,FALSE)+VLOOKUP(Rapid[[#This Row],[Código]],Projeção[#All],12,FALSE)</f>
        <v>0</v>
      </c>
      <c r="V173" s="24">
        <f>IFERROR(VLOOKUP(Rapid[[#This Row],[Código]],Venda_3meses[],2,FALSE),0)</f>
        <v>0</v>
      </c>
      <c r="W173" s="44" t="str">
        <f>IFERROR(Rapid[[#This Row],[V. 3 meses]]/Rapid[[#This Row],[Proj. de V. 3 meses]],"")</f>
        <v/>
      </c>
      <c r="X17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3" s="24">
        <f>IFERROR(VLOOKUP(Rapid[[#This Row],[Código]],Venda_12meses[],2,FALSE),0)</f>
        <v>0</v>
      </c>
      <c r="Z173" s="44" t="str">
        <f>IFERROR(Rapid[[#This Row],[V. 12 meses]]/Rapid[[#This Row],[Proj. de V. 12 meses]],"")</f>
        <v/>
      </c>
      <c r="AA173" s="22"/>
    </row>
    <row r="174" spans="1:27" x14ac:dyDescent="0.25">
      <c r="A174" s="22" t="str">
        <f>VLOOKUP(Rapid[[#This Row],[Código]],BD_Produto[#All],7,FALSE)</f>
        <v>Fora de linha</v>
      </c>
      <c r="B17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4" s="23">
        <v>33060714638</v>
      </c>
      <c r="D174" s="22" t="s">
        <v>1503</v>
      </c>
      <c r="E174" s="22" t="str">
        <f>VLOOKUP(Rapid[[#This Row],[Código]],BD_Produto[],3,FALSE)</f>
        <v>Perfurador</v>
      </c>
      <c r="F174" s="22" t="str">
        <f>VLOOKUP(Rapid[[#This Row],[Código]],BD_Produto[],4,FALSE)</f>
        <v>Perfurador</v>
      </c>
      <c r="G174" s="24"/>
      <c r="H174" s="25"/>
      <c r="I174" s="22"/>
      <c r="J174" s="24"/>
      <c r="K174" s="24" t="str">
        <f>IFERROR(VLOOKUP(Rapid[[#This Row],[Código]],Importação!P:R,3,FALSE),"")</f>
        <v/>
      </c>
      <c r="L174" s="24">
        <f>IFERROR(VLOOKUP(Rapid[[#This Row],[Código]],Saldo[],3,FALSE),0)</f>
        <v>0</v>
      </c>
      <c r="M174" s="24">
        <f>SUM(Rapid[[#This Row],[Produção]:[Estoque]])</f>
        <v>0</v>
      </c>
      <c r="N174" s="24" t="str">
        <f>IFERROR(Rapid[[#This Row],[Estoque+Importação]]/Rapid[[#This Row],[Proj. de V. No prox. mes]],"Sem Projeção")</f>
        <v>Sem Projeção</v>
      </c>
      <c r="O174" s="24" t="str">
        <f>IF(OR(Rapid[[#This Row],[Status]]="Em Linha",Rapid[[#This Row],[Status]]="Componente",Rapid[[#This Row],[Status]]="Materia Prima"),Rapid[[#This Row],[Proj. de V. No prox. mes]]*10,"-")</f>
        <v>-</v>
      </c>
      <c r="P17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4" s="75">
        <f>VLOOKUP(Rapid[[#This Row],[Código]],Projeção[#All],15,FALSE)</f>
        <v>0</v>
      </c>
      <c r="R174" s="24">
        <f>VLOOKUP(Rapid[[#This Row],[Código]],Projeção[#All],14,FALSE)</f>
        <v>0</v>
      </c>
      <c r="S174" s="24">
        <f>IFERROR(VLOOKUP(Rapid[[#This Row],[Código]],Venda_mes[],2,FALSE),0)</f>
        <v>0</v>
      </c>
      <c r="T174" s="44" t="str">
        <f>IFERROR(Rapid[[#This Row],[V. No mes]]/Rapid[[#This Row],[Proj. de V. No mes]],"")</f>
        <v/>
      </c>
      <c r="U174" s="43">
        <f>VLOOKUP(Rapid[[#This Row],[Código]],Projeção[#All],14,FALSE)+VLOOKUP(Rapid[[#This Row],[Código]],Projeção[#All],13,FALSE)+VLOOKUP(Rapid[[#This Row],[Código]],Projeção[#All],12,FALSE)</f>
        <v>0</v>
      </c>
      <c r="V174" s="24">
        <f>IFERROR(VLOOKUP(Rapid[[#This Row],[Código]],Venda_3meses[],2,FALSE),0)</f>
        <v>0</v>
      </c>
      <c r="W174" s="44" t="str">
        <f>IFERROR(Rapid[[#This Row],[V. 3 meses]]/Rapid[[#This Row],[Proj. de V. 3 meses]],"")</f>
        <v/>
      </c>
      <c r="X17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4" s="24">
        <f>IFERROR(VLOOKUP(Rapid[[#This Row],[Código]],Venda_12meses[],2,FALSE),0)</f>
        <v>0</v>
      </c>
      <c r="Z174" s="44" t="str">
        <f>IFERROR(Rapid[[#This Row],[V. 12 meses]]/Rapid[[#This Row],[Proj. de V. 12 meses]],"")</f>
        <v/>
      </c>
      <c r="AA174" s="22"/>
    </row>
    <row r="175" spans="1:27" x14ac:dyDescent="0.25">
      <c r="A175" s="22" t="str">
        <f>VLOOKUP(Rapid[[#This Row],[Código]],BD_Produto[#All],7,FALSE)</f>
        <v>Fora de linha</v>
      </c>
      <c r="B17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5" s="23">
        <v>33060714918</v>
      </c>
      <c r="D175" s="22" t="s">
        <v>1112</v>
      </c>
      <c r="E175" s="22" t="str">
        <f>VLOOKUP(Rapid[[#This Row],[Código]],BD_Produto[],3,FALSE)</f>
        <v>Perfurador</v>
      </c>
      <c r="F175" s="22" t="str">
        <f>VLOOKUP(Rapid[[#This Row],[Código]],BD_Produto[],4,FALSE)</f>
        <v>Perfurador</v>
      </c>
      <c r="G175" s="24"/>
      <c r="H175" s="25"/>
      <c r="I175" s="22"/>
      <c r="J175" s="24"/>
      <c r="K175" s="24" t="str">
        <f>IFERROR(VLOOKUP(Rapid[[#This Row],[Código]],Importação!P:R,3,FALSE),"")</f>
        <v/>
      </c>
      <c r="L175" s="24">
        <f>IFERROR(VLOOKUP(Rapid[[#This Row],[Código]],Saldo[],3,FALSE),0)</f>
        <v>0</v>
      </c>
      <c r="M175" s="24">
        <f>SUM(Rapid[[#This Row],[Produção]:[Estoque]])</f>
        <v>0</v>
      </c>
      <c r="N175" s="24" t="str">
        <f>IFERROR(Rapid[[#This Row],[Estoque+Importação]]/Rapid[[#This Row],[Proj. de V. No prox. mes]],"Sem Projeção")</f>
        <v>Sem Projeção</v>
      </c>
      <c r="O175" s="24" t="str">
        <f>IF(OR(Rapid[[#This Row],[Status]]="Em Linha",Rapid[[#This Row],[Status]]="Componente",Rapid[[#This Row],[Status]]="Materia Prima"),Rapid[[#This Row],[Proj. de V. No prox. mes]]*10,"-")</f>
        <v>-</v>
      </c>
      <c r="P17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5" s="83">
        <f>VLOOKUP(Rapid[[#This Row],[Código]],Projeção[#All],15,FALSE)</f>
        <v>0</v>
      </c>
      <c r="R175" s="24">
        <f>VLOOKUP(Rapid[[#This Row],[Código]],Projeção[#All],14,FALSE)</f>
        <v>0</v>
      </c>
      <c r="S175" s="24">
        <f>IFERROR(VLOOKUP(Rapid[[#This Row],[Código]],Venda_mes[],2,FALSE),0)</f>
        <v>0</v>
      </c>
      <c r="T175" s="45" t="str">
        <f>IFERROR(Rapid[[#This Row],[V. No mes]]/Rapid[[#This Row],[Proj. de V. No mes]],"")</f>
        <v/>
      </c>
      <c r="U175" s="39">
        <f>VLOOKUP(Rapid[[#This Row],[Código]],Projeção[#All],14,FALSE)+VLOOKUP(Rapid[[#This Row],[Código]],Projeção[#All],13,FALSE)+VLOOKUP(Rapid[[#This Row],[Código]],Projeção[#All],12,FALSE)</f>
        <v>0</v>
      </c>
      <c r="V175" s="24">
        <f>IFERROR(VLOOKUP(Rapid[[#This Row],[Código]],Venda_3meses[],2,FALSE),0)</f>
        <v>0</v>
      </c>
      <c r="W175" s="45" t="str">
        <f>IFERROR(Rapid[[#This Row],[V. 3 meses]]/Rapid[[#This Row],[Proj. de V. 3 meses]],"")</f>
        <v/>
      </c>
      <c r="X175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5" s="24">
        <f>IFERROR(VLOOKUP(Rapid[[#This Row],[Código]],Venda_12meses[],2,FALSE),0)</f>
        <v>0</v>
      </c>
      <c r="Z175" s="45" t="str">
        <f>IFERROR(Rapid[[#This Row],[V. 12 meses]]/Rapid[[#This Row],[Proj. de V. 12 meses]],"")</f>
        <v/>
      </c>
      <c r="AA175" s="22"/>
    </row>
    <row r="176" spans="1:27" x14ac:dyDescent="0.25">
      <c r="A176" s="22" t="str">
        <f>VLOOKUP(Rapid[[#This Row],[Código]],BD_Produto[#All],7,FALSE)</f>
        <v>Fora de linha</v>
      </c>
      <c r="B17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6" s="23">
        <v>33060761838</v>
      </c>
      <c r="D176" s="22" t="s">
        <v>1504</v>
      </c>
      <c r="E176" s="22" t="str">
        <f>VLOOKUP(Rapid[[#This Row],[Código]],BD_Produto[],3,FALSE)</f>
        <v>Perfurador</v>
      </c>
      <c r="F176" s="22" t="str">
        <f>VLOOKUP(Rapid[[#This Row],[Código]],BD_Produto[],4,FALSE)</f>
        <v>Perfurador</v>
      </c>
      <c r="G176" s="24"/>
      <c r="H176" s="25"/>
      <c r="I176" s="22"/>
      <c r="J176" s="24"/>
      <c r="K176" s="24" t="str">
        <f>IFERROR(VLOOKUP(Rapid[[#This Row],[Código]],Importação!P:R,3,FALSE),"")</f>
        <v/>
      </c>
      <c r="L176" s="24">
        <f>IFERROR(VLOOKUP(Rapid[[#This Row],[Código]],Saldo[],3,FALSE),0)</f>
        <v>0</v>
      </c>
      <c r="M176" s="24">
        <f>SUM(Rapid[[#This Row],[Produção]:[Estoque]])</f>
        <v>0</v>
      </c>
      <c r="N176" s="24" t="str">
        <f>IFERROR(Rapid[[#This Row],[Estoque+Importação]]/Rapid[[#This Row],[Proj. de V. No prox. mes]],"Sem Projeção")</f>
        <v>Sem Projeção</v>
      </c>
      <c r="O176" s="24" t="str">
        <f>IF(OR(Rapid[[#This Row],[Status]]="Em Linha",Rapid[[#This Row],[Status]]="Componente",Rapid[[#This Row],[Status]]="Materia Prima"),Rapid[[#This Row],[Proj. de V. No prox. mes]]*10,"-")</f>
        <v>-</v>
      </c>
      <c r="P17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6" s="34">
        <f>VLOOKUP(Rapid[[#This Row],[Código]],Projeção[#All],15,FALSE)</f>
        <v>0</v>
      </c>
      <c r="R176" s="24">
        <f>VLOOKUP(Rapid[[#This Row],[Código]],Projeção[#All],14,FALSE)</f>
        <v>0</v>
      </c>
      <c r="S176" s="24">
        <f>IFERROR(VLOOKUP(Rapid[[#This Row],[Código]],Venda_mes[],2,FALSE),0)</f>
        <v>0</v>
      </c>
      <c r="T176" s="26" t="str">
        <f>IFERROR(Rapid[[#This Row],[V. No mes]]/Rapid[[#This Row],[Proj. de V. No mes]],"")</f>
        <v/>
      </c>
      <c r="U176" s="24">
        <f>VLOOKUP(Rapid[[#This Row],[Código]],Projeção[#All],14,FALSE)+VLOOKUP(Rapid[[#This Row],[Código]],Projeção[#All],13,FALSE)+VLOOKUP(Rapid[[#This Row],[Código]],Projeção[#All],12,FALSE)</f>
        <v>0</v>
      </c>
      <c r="V176" s="24">
        <f>IFERROR(VLOOKUP(Rapid[[#This Row],[Código]],Venda_3meses[],2,FALSE),0)</f>
        <v>0</v>
      </c>
      <c r="W176" s="26" t="str">
        <f>IFERROR(Rapid[[#This Row],[V. 3 meses]]/Rapid[[#This Row],[Proj. de V. 3 meses]],"")</f>
        <v/>
      </c>
      <c r="X176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6" s="24">
        <f>IFERROR(VLOOKUP(Rapid[[#This Row],[Código]],Venda_12meses[],2,FALSE),0)</f>
        <v>0</v>
      </c>
      <c r="Z176" s="26" t="str">
        <f>IFERROR(Rapid[[#This Row],[V. 12 meses]]/Rapid[[#This Row],[Proj. de V. 12 meses]],"")</f>
        <v/>
      </c>
      <c r="AA176" s="22"/>
    </row>
    <row r="177" spans="1:27" x14ac:dyDescent="0.25">
      <c r="A177" s="22" t="str">
        <f>VLOOKUP(Rapid[[#This Row],[Código]],BD_Produto[#All],7,FALSE)</f>
        <v>Fora de linha</v>
      </c>
      <c r="B17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7" s="23">
        <v>33060714945</v>
      </c>
      <c r="D177" s="22" t="s">
        <v>1020</v>
      </c>
      <c r="E177" s="22" t="str">
        <f>VLOOKUP(Rapid[[#This Row],[Código]],BD_Produto[],3,FALSE)</f>
        <v>Perfurador</v>
      </c>
      <c r="F177" s="22" t="str">
        <f>VLOOKUP(Rapid[[#This Row],[Código]],BD_Produto[],4,FALSE)</f>
        <v>Perfurador</v>
      </c>
      <c r="G177" s="24"/>
      <c r="H177" s="25"/>
      <c r="I177" s="22"/>
      <c r="J177" s="24"/>
      <c r="K177" s="24" t="str">
        <f>IFERROR(VLOOKUP(Rapid[[#This Row],[Código]],Importação!P:R,3,FALSE),"")</f>
        <v/>
      </c>
      <c r="L177" s="24">
        <f>IFERROR(VLOOKUP(Rapid[[#This Row],[Código]],Saldo[],3,FALSE),0)</f>
        <v>0</v>
      </c>
      <c r="M177" s="24">
        <f>SUM(Rapid[[#This Row],[Produção]:[Estoque]])</f>
        <v>0</v>
      </c>
      <c r="N177" s="24" t="str">
        <f>IFERROR(Rapid[[#This Row],[Estoque+Importação]]/Rapid[[#This Row],[Proj. de V. No prox. mes]],"Sem Projeção")</f>
        <v>Sem Projeção</v>
      </c>
      <c r="O177" s="24" t="str">
        <f>IF(OR(Rapid[[#This Row],[Status]]="Em Linha",Rapid[[#This Row],[Status]]="Componente",Rapid[[#This Row],[Status]]="Materia Prima"),Rapid[[#This Row],[Proj. de V. No prox. mes]]*10,"-")</f>
        <v>-</v>
      </c>
      <c r="P17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7" s="75">
        <f>VLOOKUP(Rapid[[#This Row],[Código]],Projeção[#All],15,FALSE)</f>
        <v>0</v>
      </c>
      <c r="R177" s="24">
        <f>VLOOKUP(Rapid[[#This Row],[Código]],Projeção[#All],14,FALSE)</f>
        <v>0</v>
      </c>
      <c r="S177" s="24">
        <f>IFERROR(VLOOKUP(Rapid[[#This Row],[Código]],Venda_mes[],2,FALSE),0)</f>
        <v>0</v>
      </c>
      <c r="T177" s="44" t="str">
        <f>IFERROR(Rapid[[#This Row],[V. No mes]]/Rapid[[#This Row],[Proj. de V. No mes]],"")</f>
        <v/>
      </c>
      <c r="U177" s="43">
        <f>VLOOKUP(Rapid[[#This Row],[Código]],Projeção[#All],14,FALSE)+VLOOKUP(Rapid[[#This Row],[Código]],Projeção[#All],13,FALSE)+VLOOKUP(Rapid[[#This Row],[Código]],Projeção[#All],12,FALSE)</f>
        <v>0</v>
      </c>
      <c r="V177" s="24">
        <f>IFERROR(VLOOKUP(Rapid[[#This Row],[Código]],Venda_3meses[],2,FALSE),0)</f>
        <v>0</v>
      </c>
      <c r="W177" s="44" t="str">
        <f>IFERROR(Rapid[[#This Row],[V. 3 meses]]/Rapid[[#This Row],[Proj. de V. 3 meses]],"")</f>
        <v/>
      </c>
      <c r="X17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7" s="24">
        <f>IFERROR(VLOOKUP(Rapid[[#This Row],[Código]],Venda_12meses[],2,FALSE),0)</f>
        <v>0</v>
      </c>
      <c r="Z177" s="44" t="str">
        <f>IFERROR(Rapid[[#This Row],[V. 12 meses]]/Rapid[[#This Row],[Proj. de V. 12 meses]],"")</f>
        <v/>
      </c>
      <c r="AA177" s="22"/>
    </row>
    <row r="178" spans="1:27" x14ac:dyDescent="0.25">
      <c r="A178" s="22" t="str">
        <f>VLOOKUP(Rapid[[#This Row],[Código]],BD_Produto[#All],7,FALSE)</f>
        <v>Fora de linha</v>
      </c>
      <c r="B17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8" s="23">
        <v>33070114960</v>
      </c>
      <c r="D178" s="22" t="s">
        <v>1505</v>
      </c>
      <c r="E178" s="22" t="str">
        <f>VLOOKUP(Rapid[[#This Row],[Código]],BD_Produto[],3,FALSE)</f>
        <v>Pistola de Cola</v>
      </c>
      <c r="F178" s="22" t="str">
        <f>VLOOKUP(Rapid[[#This Row],[Código]],BD_Produto[],4,FALSE)</f>
        <v>Pistola de Cola</v>
      </c>
      <c r="G178" s="24"/>
      <c r="H178" s="25"/>
      <c r="I178" s="22"/>
      <c r="J178" s="24"/>
      <c r="K178" s="24" t="str">
        <f>IFERROR(VLOOKUP(Rapid[[#This Row],[Código]],Importação!P:R,3,FALSE),"")</f>
        <v/>
      </c>
      <c r="L178" s="24">
        <f>IFERROR(VLOOKUP(Rapid[[#This Row],[Código]],Saldo[],3,FALSE),0)</f>
        <v>0</v>
      </c>
      <c r="M178" s="24">
        <f>SUM(Rapid[[#This Row],[Produção]:[Estoque]])</f>
        <v>0</v>
      </c>
      <c r="N178" s="24" t="str">
        <f>IFERROR(Rapid[[#This Row],[Estoque+Importação]]/Rapid[[#This Row],[Proj. de V. No prox. mes]],"Sem Projeção")</f>
        <v>Sem Projeção</v>
      </c>
      <c r="O178" s="24" t="str">
        <f>IF(OR(Rapid[[#This Row],[Status]]="Em Linha",Rapid[[#This Row],[Status]]="Componente",Rapid[[#This Row],[Status]]="Materia Prima"),Rapid[[#This Row],[Proj. de V. No prox. mes]]*10,"-")</f>
        <v>-</v>
      </c>
      <c r="P17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8" s="75">
        <f>VLOOKUP(Rapid[[#This Row],[Código]],Projeção[#All],15,FALSE)</f>
        <v>0</v>
      </c>
      <c r="R178" s="24">
        <f>VLOOKUP(Rapid[[#This Row],[Código]],Projeção[#All],14,FALSE)</f>
        <v>0</v>
      </c>
      <c r="S178" s="24">
        <f>IFERROR(VLOOKUP(Rapid[[#This Row],[Código]],Venda_mes[],2,FALSE),0)</f>
        <v>0</v>
      </c>
      <c r="T178" s="44" t="str">
        <f>IFERROR(Rapid[[#This Row],[V. No mes]]/Rapid[[#This Row],[Proj. de V. No mes]],"")</f>
        <v/>
      </c>
      <c r="U178" s="43">
        <f>VLOOKUP(Rapid[[#This Row],[Código]],Projeção[#All],14,FALSE)+VLOOKUP(Rapid[[#This Row],[Código]],Projeção[#All],13,FALSE)+VLOOKUP(Rapid[[#This Row],[Código]],Projeção[#All],12,FALSE)</f>
        <v>0</v>
      </c>
      <c r="V178" s="24">
        <f>IFERROR(VLOOKUP(Rapid[[#This Row],[Código]],Venda_3meses[],2,FALSE),0)</f>
        <v>0</v>
      </c>
      <c r="W178" s="44" t="str">
        <f>IFERROR(Rapid[[#This Row],[V. 3 meses]]/Rapid[[#This Row],[Proj. de V. 3 meses]],"")</f>
        <v/>
      </c>
      <c r="X17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8" s="24">
        <f>IFERROR(VLOOKUP(Rapid[[#This Row],[Código]],Venda_12meses[],2,FALSE),0)</f>
        <v>0</v>
      </c>
      <c r="Z178" s="44" t="str">
        <f>IFERROR(Rapid[[#This Row],[V. 12 meses]]/Rapid[[#This Row],[Proj. de V. 12 meses]],"")</f>
        <v/>
      </c>
      <c r="AA178" s="22" t="s">
        <v>1686</v>
      </c>
    </row>
    <row r="179" spans="1:27" x14ac:dyDescent="0.25">
      <c r="A179" s="22" t="str">
        <f>VLOOKUP(Rapid[[#This Row],[Código]],BD_Produto[#All],7,FALSE)</f>
        <v>Fora de linha</v>
      </c>
      <c r="B17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79" s="23">
        <v>33070514934</v>
      </c>
      <c r="D179" s="22" t="s">
        <v>1506</v>
      </c>
      <c r="E179" s="22" t="str">
        <f>VLOOKUP(Rapid[[#This Row],[Código]],BD_Produto[],3,FALSE)</f>
        <v>Prego</v>
      </c>
      <c r="F179" s="22" t="str">
        <f>VLOOKUP(Rapid[[#This Row],[Código]],BD_Produto[],4,FALSE)</f>
        <v>Grampeador Pistola</v>
      </c>
      <c r="G179" s="24"/>
      <c r="H179" s="25"/>
      <c r="I179" s="22"/>
      <c r="J179" s="24"/>
      <c r="K179" s="24" t="str">
        <f>IFERROR(VLOOKUP(Rapid[[#This Row],[Código]],Importação!P:R,3,FALSE),"")</f>
        <v/>
      </c>
      <c r="L179" s="24">
        <f>IFERROR(VLOOKUP(Rapid[[#This Row],[Código]],Saldo[],3,FALSE),0)</f>
        <v>0</v>
      </c>
      <c r="M179" s="24">
        <f>SUM(Rapid[[#This Row],[Produção]:[Estoque]])</f>
        <v>0</v>
      </c>
      <c r="N179" s="24" t="str">
        <f>IFERROR(Rapid[[#This Row],[Estoque+Importação]]/Rapid[[#This Row],[Proj. de V. No prox. mes]],"Sem Projeção")</f>
        <v>Sem Projeção</v>
      </c>
      <c r="O179" s="24" t="str">
        <f>IF(OR(Rapid[[#This Row],[Status]]="Em Linha",Rapid[[#This Row],[Status]]="Componente",Rapid[[#This Row],[Status]]="Materia Prima"),Rapid[[#This Row],[Proj. de V. No prox. mes]]*10,"-")</f>
        <v>-</v>
      </c>
      <c r="P17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79" s="83">
        <f>VLOOKUP(Rapid[[#This Row],[Código]],Projeção[#All],15,FALSE)</f>
        <v>0</v>
      </c>
      <c r="R179" s="24">
        <f>VLOOKUP(Rapid[[#This Row],[Código]],Projeção[#All],14,FALSE)</f>
        <v>0</v>
      </c>
      <c r="S179" s="24">
        <f>IFERROR(VLOOKUP(Rapid[[#This Row],[Código]],Venda_mes[],2,FALSE),0)</f>
        <v>0</v>
      </c>
      <c r="T179" s="45" t="str">
        <f>IFERROR(Rapid[[#This Row],[V. No mes]]/Rapid[[#This Row],[Proj. de V. No mes]],"")</f>
        <v/>
      </c>
      <c r="U179" s="39">
        <f>VLOOKUP(Rapid[[#This Row],[Código]],Projeção[#All],14,FALSE)+VLOOKUP(Rapid[[#This Row],[Código]],Projeção[#All],13,FALSE)+VLOOKUP(Rapid[[#This Row],[Código]],Projeção[#All],12,FALSE)</f>
        <v>0</v>
      </c>
      <c r="V179" s="24">
        <f>IFERROR(VLOOKUP(Rapid[[#This Row],[Código]],Venda_3meses[],2,FALSE),0)</f>
        <v>0</v>
      </c>
      <c r="W179" s="45" t="str">
        <f>IFERROR(Rapid[[#This Row],[V. 3 meses]]/Rapid[[#This Row],[Proj. de V. 3 meses]],"")</f>
        <v/>
      </c>
      <c r="X179" s="39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79" s="24">
        <f>IFERROR(VLOOKUP(Rapid[[#This Row],[Código]],Venda_12meses[],2,FALSE),0)</f>
        <v>0</v>
      </c>
      <c r="Z179" s="45" t="str">
        <f>IFERROR(Rapid[[#This Row],[V. 12 meses]]/Rapid[[#This Row],[Proj. de V. 12 meses]],"")</f>
        <v/>
      </c>
      <c r="AA179" s="22" t="s">
        <v>1686</v>
      </c>
    </row>
    <row r="180" spans="1:27" x14ac:dyDescent="0.25">
      <c r="A180" s="22" t="str">
        <f>VLOOKUP(Rapid[[#This Row],[Código]],BD_Produto[#All],7,FALSE)</f>
        <v>Fora de linha</v>
      </c>
      <c r="B18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0" s="23">
        <v>33070514951</v>
      </c>
      <c r="D180" s="22" t="s">
        <v>1507</v>
      </c>
      <c r="E180" s="22" t="str">
        <f>VLOOKUP(Rapid[[#This Row],[Código]],BD_Produto[],3,FALSE)</f>
        <v>Prego</v>
      </c>
      <c r="F180" s="22" t="str">
        <f>VLOOKUP(Rapid[[#This Row],[Código]],BD_Produto[],4,FALSE)</f>
        <v>Grampeador Pistola</v>
      </c>
      <c r="G180" s="24"/>
      <c r="H180" s="25"/>
      <c r="I180" s="22"/>
      <c r="J180" s="24"/>
      <c r="K180" s="24" t="str">
        <f>IFERROR(VLOOKUP(Rapid[[#This Row],[Código]],Importação!P:R,3,FALSE),"")</f>
        <v/>
      </c>
      <c r="L180" s="24">
        <f>IFERROR(VLOOKUP(Rapid[[#This Row],[Código]],Saldo[],3,FALSE),0)</f>
        <v>0</v>
      </c>
      <c r="M180" s="24">
        <f>SUM(Rapid[[#This Row],[Produção]:[Estoque]])</f>
        <v>0</v>
      </c>
      <c r="N180" s="24" t="str">
        <f>IFERROR(Rapid[[#This Row],[Estoque+Importação]]/Rapid[[#This Row],[Proj. de V. No prox. mes]],"Sem Projeção")</f>
        <v>Sem Projeção</v>
      </c>
      <c r="O180" s="24" t="str">
        <f>IF(OR(Rapid[[#This Row],[Status]]="Em Linha",Rapid[[#This Row],[Status]]="Componente",Rapid[[#This Row],[Status]]="Materia Prima"),Rapid[[#This Row],[Proj. de V. No prox. mes]]*10,"-")</f>
        <v>-</v>
      </c>
      <c r="P18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0" s="34">
        <f>VLOOKUP(Rapid[[#This Row],[Código]],Projeção[#All],15,FALSE)</f>
        <v>0</v>
      </c>
      <c r="R180" s="24">
        <f>VLOOKUP(Rapid[[#This Row],[Código]],Projeção[#All],14,FALSE)</f>
        <v>0</v>
      </c>
      <c r="S180" s="24">
        <f>IFERROR(VLOOKUP(Rapid[[#This Row],[Código]],Venda_mes[],2,FALSE),0)</f>
        <v>0</v>
      </c>
      <c r="T180" s="26" t="str">
        <f>IFERROR(Rapid[[#This Row],[V. No mes]]/Rapid[[#This Row],[Proj. de V. No mes]],"")</f>
        <v/>
      </c>
      <c r="U180" s="24">
        <f>VLOOKUP(Rapid[[#This Row],[Código]],Projeção[#All],14,FALSE)+VLOOKUP(Rapid[[#This Row],[Código]],Projeção[#All],13,FALSE)+VLOOKUP(Rapid[[#This Row],[Código]],Projeção[#All],12,FALSE)</f>
        <v>0</v>
      </c>
      <c r="V180" s="24">
        <f>IFERROR(VLOOKUP(Rapid[[#This Row],[Código]],Venda_3meses[],2,FALSE),0)</f>
        <v>0</v>
      </c>
      <c r="W180" s="26" t="str">
        <f>IFERROR(Rapid[[#This Row],[V. 3 meses]]/Rapid[[#This Row],[Proj. de V. 3 meses]],"")</f>
        <v/>
      </c>
      <c r="X180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0" s="24">
        <f>IFERROR(VLOOKUP(Rapid[[#This Row],[Código]],Venda_12meses[],2,FALSE),0)</f>
        <v>0</v>
      </c>
      <c r="Z180" s="26" t="str">
        <f>IFERROR(Rapid[[#This Row],[V. 12 meses]]/Rapid[[#This Row],[Proj. de V. 12 meses]],"")</f>
        <v/>
      </c>
      <c r="AA180" s="22" t="s">
        <v>1686</v>
      </c>
    </row>
    <row r="181" spans="1:27" x14ac:dyDescent="0.25">
      <c r="A181" s="22" t="str">
        <f>VLOOKUP(Rapid[[#This Row],[Código]],BD_Produto[#All],7,FALSE)</f>
        <v>Fora de linha</v>
      </c>
      <c r="B181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1" s="23">
        <v>33060114944</v>
      </c>
      <c r="D181" s="22" t="s">
        <v>173</v>
      </c>
      <c r="E181" s="22" t="str">
        <f>VLOOKUP(Rapid[[#This Row],[Código]],BD_Produto[],3,FALSE)</f>
        <v>Grampeador de Mesa</v>
      </c>
      <c r="F181" s="22" t="str">
        <f>VLOOKUP(Rapid[[#This Row],[Código]],BD_Produto[],4,FALSE)</f>
        <v>Grampeador de Mesa</v>
      </c>
      <c r="G181" s="24"/>
      <c r="H181" s="25"/>
      <c r="I181" s="22"/>
      <c r="J181" s="24"/>
      <c r="K181" s="24" t="str">
        <f>IFERROR(VLOOKUP(Rapid[[#This Row],[Código]],Importação!P:R,3,FALSE),"")</f>
        <v/>
      </c>
      <c r="L181" s="24">
        <f>IFERROR(VLOOKUP(Rapid[[#This Row],[Código]],Saldo[],3,FALSE),0)</f>
        <v>0</v>
      </c>
      <c r="M181" s="24">
        <f>SUM(Rapid[[#This Row],[Produção]:[Estoque]])</f>
        <v>0</v>
      </c>
      <c r="N181" s="24" t="str">
        <f>IFERROR(Rapid[[#This Row],[Estoque+Importação]]/Rapid[[#This Row],[Proj. de V. No prox. mes]],"Sem Projeção")</f>
        <v>Sem Projeção</v>
      </c>
      <c r="O181" s="24" t="str">
        <f>IF(OR(Rapid[[#This Row],[Status]]="Em Linha",Rapid[[#This Row],[Status]]="Componente",Rapid[[#This Row],[Status]]="Materia Prima"),Rapid[[#This Row],[Proj. de V. No prox. mes]]*10,"-")</f>
        <v>-</v>
      </c>
      <c r="P18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1" s="75">
        <f>VLOOKUP(Rapid[[#This Row],[Código]],Projeção[#All],15,FALSE)</f>
        <v>0</v>
      </c>
      <c r="R181" s="24">
        <f>VLOOKUP(Rapid[[#This Row],[Código]],Projeção[#All],14,FALSE)</f>
        <v>0</v>
      </c>
      <c r="S181" s="24">
        <f>IFERROR(VLOOKUP(Rapid[[#This Row],[Código]],Venda_mes[],2,FALSE),0)</f>
        <v>0</v>
      </c>
      <c r="T181" s="44" t="str">
        <f>IFERROR(Rapid[[#This Row],[V. No mes]]/Rapid[[#This Row],[Proj. de V. No mes]],"")</f>
        <v/>
      </c>
      <c r="U181" s="43">
        <f>VLOOKUP(Rapid[[#This Row],[Código]],Projeção[#All],14,FALSE)+VLOOKUP(Rapid[[#This Row],[Código]],Projeção[#All],13,FALSE)+VLOOKUP(Rapid[[#This Row],[Código]],Projeção[#All],12,FALSE)</f>
        <v>0</v>
      </c>
      <c r="V181" s="24">
        <f>IFERROR(VLOOKUP(Rapid[[#This Row],[Código]],Venda_3meses[],2,FALSE),0)</f>
        <v>0</v>
      </c>
      <c r="W181" s="44" t="str">
        <f>IFERROR(Rapid[[#This Row],[V. 3 meses]]/Rapid[[#This Row],[Proj. de V. 3 meses]],"")</f>
        <v/>
      </c>
      <c r="X18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38.666666666666664</v>
      </c>
      <c r="Y181" s="24">
        <f>IFERROR(VLOOKUP(Rapid[[#This Row],[Código]],Venda_12meses[],2,FALSE),0)</f>
        <v>0</v>
      </c>
      <c r="Z181" s="44">
        <f>IFERROR(Rapid[[#This Row],[V. 12 meses]]/Rapid[[#This Row],[Proj. de V. 12 meses]],"")</f>
        <v>0</v>
      </c>
      <c r="AA181" s="22"/>
    </row>
    <row r="182" spans="1:27" x14ac:dyDescent="0.25">
      <c r="A182" s="22" t="str">
        <f>VLOOKUP(Rapid[[#This Row],[Código]],BD_Produto[#All],7,FALSE)</f>
        <v>Fora de linha</v>
      </c>
      <c r="B182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2" s="23">
        <v>33060114587</v>
      </c>
      <c r="D182" s="22" t="s">
        <v>1508</v>
      </c>
      <c r="E182" s="22" t="str">
        <f>VLOOKUP(Rapid[[#This Row],[Código]],BD_Produto[],3,FALSE)</f>
        <v>Grampeador Eletrico</v>
      </c>
      <c r="F182" s="22" t="str">
        <f>VLOOKUP(Rapid[[#This Row],[Código]],BD_Produto[],4,FALSE)</f>
        <v>Grampeador Eletrico</v>
      </c>
      <c r="G182" s="24"/>
      <c r="H182" s="25"/>
      <c r="I182" s="22"/>
      <c r="J182" s="24"/>
      <c r="K182" s="24" t="str">
        <f>IFERROR(VLOOKUP(Rapid[[#This Row],[Código]],Importação!P:R,3,FALSE),"")</f>
        <v/>
      </c>
      <c r="L182" s="24">
        <f>IFERROR(VLOOKUP(Rapid[[#This Row],[Código]],Saldo[],3,FALSE),0)</f>
        <v>0</v>
      </c>
      <c r="M182" s="24">
        <f>SUM(Rapid[[#This Row],[Produção]:[Estoque]])</f>
        <v>0</v>
      </c>
      <c r="N182" s="24" t="str">
        <f>IFERROR(Rapid[[#This Row],[Estoque+Importação]]/Rapid[[#This Row],[Proj. de V. No prox. mes]],"Sem Projeção")</f>
        <v>Sem Projeção</v>
      </c>
      <c r="O182" s="24" t="str">
        <f>IF(OR(Rapid[[#This Row],[Status]]="Em Linha",Rapid[[#This Row],[Status]]="Componente",Rapid[[#This Row],[Status]]="Materia Prima"),Rapid[[#This Row],[Proj. de V. No prox. mes]]*10,"-")</f>
        <v>-</v>
      </c>
      <c r="P18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2" s="75">
        <f>VLOOKUP(Rapid[[#This Row],[Código]],Projeção[#All],15,FALSE)</f>
        <v>0</v>
      </c>
      <c r="R182" s="24">
        <f>VLOOKUP(Rapid[[#This Row],[Código]],Projeção[#All],14,FALSE)</f>
        <v>0</v>
      </c>
      <c r="S182" s="24">
        <f>IFERROR(VLOOKUP(Rapid[[#This Row],[Código]],Venda_mes[],2,FALSE),0)</f>
        <v>0</v>
      </c>
      <c r="T182" s="44" t="str">
        <f>IFERROR(Rapid[[#This Row],[V. No mes]]/Rapid[[#This Row],[Proj. de V. No mes]],"")</f>
        <v/>
      </c>
      <c r="U182" s="43">
        <f>VLOOKUP(Rapid[[#This Row],[Código]],Projeção[#All],14,FALSE)+VLOOKUP(Rapid[[#This Row],[Código]],Projeção[#All],13,FALSE)+VLOOKUP(Rapid[[#This Row],[Código]],Projeção[#All],12,FALSE)</f>
        <v>0</v>
      </c>
      <c r="V182" s="24">
        <f>IFERROR(VLOOKUP(Rapid[[#This Row],[Código]],Venda_3meses[],2,FALSE),0)</f>
        <v>0</v>
      </c>
      <c r="W182" s="44" t="str">
        <f>IFERROR(Rapid[[#This Row],[V. 3 meses]]/Rapid[[#This Row],[Proj. de V. 3 meses]],"")</f>
        <v/>
      </c>
      <c r="X182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2" s="24">
        <f>IFERROR(VLOOKUP(Rapid[[#This Row],[Código]],Venda_12meses[],2,FALSE),0)</f>
        <v>0</v>
      </c>
      <c r="Z182" s="44" t="str">
        <f>IFERROR(Rapid[[#This Row],[V. 12 meses]]/Rapid[[#This Row],[Proj. de V. 12 meses]],"")</f>
        <v/>
      </c>
      <c r="AA182" s="22" t="s">
        <v>1692</v>
      </c>
    </row>
    <row r="183" spans="1:27" x14ac:dyDescent="0.25">
      <c r="A183" s="22" t="str">
        <f>VLOOKUP(Rapid[[#This Row],[Código]],BD_Produto[#All],7,FALSE)</f>
        <v>Fora de linha</v>
      </c>
      <c r="B183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3" s="23">
        <v>33060163876</v>
      </c>
      <c r="D183" s="22" t="s">
        <v>1509</v>
      </c>
      <c r="E183" s="22" t="str">
        <f>VLOOKUP(Rapid[[#This Row],[Código]],BD_Produto[],3,FALSE)</f>
        <v>Grampeador Eletrico</v>
      </c>
      <c r="F183" s="22" t="str">
        <f>VLOOKUP(Rapid[[#This Row],[Código]],BD_Produto[],4,FALSE)</f>
        <v>Grampeador Eletrico</v>
      </c>
      <c r="G183" s="24"/>
      <c r="H183" s="25"/>
      <c r="I183" s="22"/>
      <c r="J183" s="24"/>
      <c r="K183" s="24" t="str">
        <f>IFERROR(VLOOKUP(Rapid[[#This Row],[Código]],Importação!P:R,3,FALSE),"")</f>
        <v/>
      </c>
      <c r="L183" s="24">
        <f>IFERROR(VLOOKUP(Rapid[[#This Row],[Código]],Saldo[],3,FALSE),0)</f>
        <v>0</v>
      </c>
      <c r="M183" s="24">
        <f>SUM(Rapid[[#This Row],[Produção]:[Estoque]])</f>
        <v>0</v>
      </c>
      <c r="N183" s="24" t="str">
        <f>IFERROR(Rapid[[#This Row],[Estoque+Importação]]/Rapid[[#This Row],[Proj. de V. No prox. mes]],"Sem Projeção")</f>
        <v>Sem Projeção</v>
      </c>
      <c r="O183" s="24" t="str">
        <f>IF(OR(Rapid[[#This Row],[Status]]="Em Linha",Rapid[[#This Row],[Status]]="Componente",Rapid[[#This Row],[Status]]="Materia Prima"),Rapid[[#This Row],[Proj. de V. No prox. mes]]*10,"-")</f>
        <v>-</v>
      </c>
      <c r="P18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3" s="75">
        <f>VLOOKUP(Rapid[[#This Row],[Código]],Projeção[#All],15,FALSE)</f>
        <v>0</v>
      </c>
      <c r="R183" s="24">
        <f>VLOOKUP(Rapid[[#This Row],[Código]],Projeção[#All],14,FALSE)</f>
        <v>0</v>
      </c>
      <c r="S183" s="24">
        <f>IFERROR(VLOOKUP(Rapid[[#This Row],[Código]],Venda_mes[],2,FALSE),0)</f>
        <v>0</v>
      </c>
      <c r="T183" s="44" t="str">
        <f>IFERROR(Rapid[[#This Row],[V. No mes]]/Rapid[[#This Row],[Proj. de V. No mes]],"")</f>
        <v/>
      </c>
      <c r="U183" s="43">
        <f>VLOOKUP(Rapid[[#This Row],[Código]],Projeção[#All],14,FALSE)+VLOOKUP(Rapid[[#This Row],[Código]],Projeção[#All],13,FALSE)+VLOOKUP(Rapid[[#This Row],[Código]],Projeção[#All],12,FALSE)</f>
        <v>0</v>
      </c>
      <c r="V183" s="24">
        <f>IFERROR(VLOOKUP(Rapid[[#This Row],[Código]],Venda_3meses[],2,FALSE),0)</f>
        <v>0</v>
      </c>
      <c r="W183" s="44" t="str">
        <f>IFERROR(Rapid[[#This Row],[V. 3 meses]]/Rapid[[#This Row],[Proj. de V. 3 meses]],"")</f>
        <v/>
      </c>
      <c r="X183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3" s="24">
        <f>IFERROR(VLOOKUP(Rapid[[#This Row],[Código]],Venda_12meses[],2,FALSE),0)</f>
        <v>0</v>
      </c>
      <c r="Z183" s="44" t="str">
        <f>IFERROR(Rapid[[#This Row],[V. 12 meses]]/Rapid[[#This Row],[Proj. de V. 12 meses]],"")</f>
        <v/>
      </c>
      <c r="AA183" s="22" t="s">
        <v>1693</v>
      </c>
    </row>
    <row r="184" spans="1:27" x14ac:dyDescent="0.25">
      <c r="A184" s="22" t="str">
        <f>VLOOKUP(Rapid[[#This Row],[Código]],BD_Produto[#All],7,FALSE)</f>
        <v>Fora de linha</v>
      </c>
      <c r="B18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4" s="23">
        <v>33060154031</v>
      </c>
      <c r="D184" s="22" t="s">
        <v>948</v>
      </c>
      <c r="E184" s="22" t="str">
        <f>VLOOKUP(Rapid[[#This Row],[Código]],BD_Produto[],3,FALSE)</f>
        <v>Grampeador Eletrico</v>
      </c>
      <c r="F184" s="22" t="str">
        <f>VLOOKUP(Rapid[[#This Row],[Código]],BD_Produto[],4,FALSE)</f>
        <v>Grampeador Eletrico</v>
      </c>
      <c r="G184" s="24"/>
      <c r="H184" s="25"/>
      <c r="I184" s="22"/>
      <c r="J184" s="24"/>
      <c r="K184" s="24" t="str">
        <f>IFERROR(VLOOKUP(Rapid[[#This Row],[Código]],Importação!P:R,3,FALSE),"")</f>
        <v/>
      </c>
      <c r="L184" s="24">
        <f>IFERROR(VLOOKUP(Rapid[[#This Row],[Código]],Saldo[],3,FALSE),0)</f>
        <v>0</v>
      </c>
      <c r="M184" s="24">
        <f>SUM(Rapid[[#This Row],[Produção]:[Estoque]])</f>
        <v>0</v>
      </c>
      <c r="N184" s="24" t="str">
        <f>IFERROR(Rapid[[#This Row],[Estoque+Importação]]/Rapid[[#This Row],[Proj. de V. No prox. mes]],"Sem Projeção")</f>
        <v>Sem Projeção</v>
      </c>
      <c r="O184" s="24" t="str">
        <f>IF(OR(Rapid[[#This Row],[Status]]="Em Linha",Rapid[[#This Row],[Status]]="Componente",Rapid[[#This Row],[Status]]="Materia Prima"),Rapid[[#This Row],[Proj. de V. No prox. mes]]*10,"-")</f>
        <v>-</v>
      </c>
      <c r="P18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4" s="75">
        <f>VLOOKUP(Rapid[[#This Row],[Código]],Projeção[#All],15,FALSE)</f>
        <v>0</v>
      </c>
      <c r="R184" s="24">
        <f>VLOOKUP(Rapid[[#This Row],[Código]],Projeção[#All],14,FALSE)</f>
        <v>0</v>
      </c>
      <c r="S184" s="24">
        <f>IFERROR(VLOOKUP(Rapid[[#This Row],[Código]],Venda_mes[],2,FALSE),0)</f>
        <v>0</v>
      </c>
      <c r="T184" s="44" t="str">
        <f>IFERROR(Rapid[[#This Row],[V. No mes]]/Rapid[[#This Row],[Proj. de V. No mes]],"")</f>
        <v/>
      </c>
      <c r="U184" s="43">
        <f>VLOOKUP(Rapid[[#This Row],[Código]],Projeção[#All],14,FALSE)+VLOOKUP(Rapid[[#This Row],[Código]],Projeção[#All],13,FALSE)+VLOOKUP(Rapid[[#This Row],[Código]],Projeção[#All],12,FALSE)</f>
        <v>0</v>
      </c>
      <c r="V184" s="24">
        <f>IFERROR(VLOOKUP(Rapid[[#This Row],[Código]],Venda_3meses[],2,FALSE),0)</f>
        <v>0</v>
      </c>
      <c r="W184" s="44" t="str">
        <f>IFERROR(Rapid[[#This Row],[V. 3 meses]]/Rapid[[#This Row],[Proj. de V. 3 meses]],"")</f>
        <v/>
      </c>
      <c r="X184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0.53333333333333333</v>
      </c>
      <c r="Y184" s="24">
        <f>IFERROR(VLOOKUP(Rapid[[#This Row],[Código]],Venda_12meses[],2,FALSE),0)</f>
        <v>0</v>
      </c>
      <c r="Z184" s="44">
        <f>IFERROR(Rapid[[#This Row],[V. 12 meses]]/Rapid[[#This Row],[Proj. de V. 12 meses]],"")</f>
        <v>0</v>
      </c>
      <c r="AA184" s="22" t="s">
        <v>1694</v>
      </c>
    </row>
    <row r="185" spans="1:27" x14ac:dyDescent="0.25">
      <c r="A185" s="22" t="str">
        <f>VLOOKUP(Rapid[[#This Row],[Código]],BD_Produto[#All],7,FALSE)</f>
        <v>Fora de linha</v>
      </c>
      <c r="B18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5" s="23">
        <v>33060163878</v>
      </c>
      <c r="D185" s="22" t="s">
        <v>1510</v>
      </c>
      <c r="E185" s="22" t="str">
        <f>VLOOKUP(Rapid[[#This Row],[Código]],BD_Produto[],3,FALSE)</f>
        <v>Grampeador Eletrico</v>
      </c>
      <c r="F185" s="22" t="str">
        <f>VLOOKUP(Rapid[[#This Row],[Código]],BD_Produto[],4,FALSE)</f>
        <v>Grampeador Eletrico</v>
      </c>
      <c r="G185" s="24"/>
      <c r="H185" s="25"/>
      <c r="I185" s="22"/>
      <c r="J185" s="24"/>
      <c r="K185" s="24" t="str">
        <f>IFERROR(VLOOKUP(Rapid[[#This Row],[Código]],Importação!P:R,3,FALSE),"")</f>
        <v/>
      </c>
      <c r="L185" s="24">
        <f>IFERROR(VLOOKUP(Rapid[[#This Row],[Código]],Saldo[],3,FALSE),0)</f>
        <v>0</v>
      </c>
      <c r="M185" s="24">
        <f>SUM(Rapid[[#This Row],[Produção]:[Estoque]])</f>
        <v>0</v>
      </c>
      <c r="N185" s="24" t="str">
        <f>IFERROR(Rapid[[#This Row],[Estoque+Importação]]/Rapid[[#This Row],[Proj. de V. No prox. mes]],"Sem Projeção")</f>
        <v>Sem Projeção</v>
      </c>
      <c r="O185" s="24" t="str">
        <f>IF(OR(Rapid[[#This Row],[Status]]="Em Linha",Rapid[[#This Row],[Status]]="Componente",Rapid[[#This Row],[Status]]="Materia Prima"),Rapid[[#This Row],[Proj. de V. No prox. mes]]*10,"-")</f>
        <v>-</v>
      </c>
      <c r="P18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5" s="75">
        <f>VLOOKUP(Rapid[[#This Row],[Código]],Projeção[#All],15,FALSE)</f>
        <v>0</v>
      </c>
      <c r="R185" s="24">
        <f>VLOOKUP(Rapid[[#This Row],[Código]],Projeção[#All],14,FALSE)</f>
        <v>0</v>
      </c>
      <c r="S185" s="24">
        <f>IFERROR(VLOOKUP(Rapid[[#This Row],[Código]],Venda_mes[],2,FALSE),0)</f>
        <v>0</v>
      </c>
      <c r="T185" s="44" t="str">
        <f>IFERROR(Rapid[[#This Row],[V. No mes]]/Rapid[[#This Row],[Proj. de V. No mes]],"")</f>
        <v/>
      </c>
      <c r="U185" s="43">
        <f>VLOOKUP(Rapid[[#This Row],[Código]],Projeção[#All],14,FALSE)+VLOOKUP(Rapid[[#This Row],[Código]],Projeção[#All],13,FALSE)+VLOOKUP(Rapid[[#This Row],[Código]],Projeção[#All],12,FALSE)</f>
        <v>0</v>
      </c>
      <c r="V185" s="24">
        <f>IFERROR(VLOOKUP(Rapid[[#This Row],[Código]],Venda_3meses[],2,FALSE),0)</f>
        <v>0</v>
      </c>
      <c r="W185" s="44" t="str">
        <f>IFERROR(Rapid[[#This Row],[V. 3 meses]]/Rapid[[#This Row],[Proj. de V. 3 meses]],"")</f>
        <v/>
      </c>
      <c r="X18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5" s="24">
        <f>IFERROR(VLOOKUP(Rapid[[#This Row],[Código]],Venda_12meses[],2,FALSE),0)</f>
        <v>0</v>
      </c>
      <c r="Z185" s="44" t="str">
        <f>IFERROR(Rapid[[#This Row],[V. 12 meses]]/Rapid[[#This Row],[Proj. de V. 12 meses]],"")</f>
        <v/>
      </c>
      <c r="AA185" s="22"/>
    </row>
    <row r="186" spans="1:27" x14ac:dyDescent="0.25">
      <c r="A186" s="22" t="str">
        <f>VLOOKUP(Rapid[[#This Row],[Código]],BD_Produto[#All],7,FALSE)</f>
        <v>Fora de linha</v>
      </c>
      <c r="B18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6" s="23">
        <v>33060114130</v>
      </c>
      <c r="D186" s="22" t="s">
        <v>1210</v>
      </c>
      <c r="E186" s="22" t="str">
        <f>VLOOKUP(Rapid[[#This Row],[Código]],BD_Produto[],3,FALSE)</f>
        <v>Grampeador Heavy Duty</v>
      </c>
      <c r="F186" s="22" t="str">
        <f>VLOOKUP(Rapid[[#This Row],[Código]],BD_Produto[],4,FALSE)</f>
        <v>Grampeador Heavy Duty</v>
      </c>
      <c r="G186" s="24"/>
      <c r="H186" s="25"/>
      <c r="I186" s="22"/>
      <c r="J186" s="24"/>
      <c r="K186" s="24" t="str">
        <f>IFERROR(VLOOKUP(Rapid[[#This Row],[Código]],Importação!P:R,3,FALSE),"")</f>
        <v/>
      </c>
      <c r="L186" s="24">
        <f>IFERROR(VLOOKUP(Rapid[[#This Row],[Código]],Saldo[],3,FALSE),0)</f>
        <v>0</v>
      </c>
      <c r="M186" s="24">
        <f>SUM(Rapid[[#This Row],[Produção]:[Estoque]])</f>
        <v>0</v>
      </c>
      <c r="N186" s="24" t="str">
        <f>IFERROR(Rapid[[#This Row],[Estoque+Importação]]/Rapid[[#This Row],[Proj. de V. No prox. mes]],"Sem Projeção")</f>
        <v>Sem Projeção</v>
      </c>
      <c r="O186" s="24" t="str">
        <f>IF(OR(Rapid[[#This Row],[Status]]="Em Linha",Rapid[[#This Row],[Status]]="Componente",Rapid[[#This Row],[Status]]="Materia Prima"),Rapid[[#This Row],[Proj. de V. No prox. mes]]*10,"-")</f>
        <v>-</v>
      </c>
      <c r="P18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6" s="75">
        <f>VLOOKUP(Rapid[[#This Row],[Código]],Projeção[#All],15,FALSE)</f>
        <v>0</v>
      </c>
      <c r="R186" s="24">
        <f>VLOOKUP(Rapid[[#This Row],[Código]],Projeção[#All],14,FALSE)</f>
        <v>0</v>
      </c>
      <c r="S186" s="24">
        <f>IFERROR(VLOOKUP(Rapid[[#This Row],[Código]],Venda_mes[],2,FALSE),0)</f>
        <v>0</v>
      </c>
      <c r="T186" s="44" t="str">
        <f>IFERROR(Rapid[[#This Row],[V. No mes]]/Rapid[[#This Row],[Proj. de V. No mes]],"")</f>
        <v/>
      </c>
      <c r="U186" s="43">
        <f>VLOOKUP(Rapid[[#This Row],[Código]],Projeção[#All],14,FALSE)+VLOOKUP(Rapid[[#This Row],[Código]],Projeção[#All],13,FALSE)+VLOOKUP(Rapid[[#This Row],[Código]],Projeção[#All],12,FALSE)</f>
        <v>0</v>
      </c>
      <c r="V186" s="24">
        <f>IFERROR(VLOOKUP(Rapid[[#This Row],[Código]],Venda_3meses[],2,FALSE),0)</f>
        <v>0</v>
      </c>
      <c r="W186" s="44" t="str">
        <f>IFERROR(Rapid[[#This Row],[V. 3 meses]]/Rapid[[#This Row],[Proj. de V. 3 meses]],"")</f>
        <v/>
      </c>
      <c r="X186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6" s="24">
        <f>IFERROR(VLOOKUP(Rapid[[#This Row],[Código]],Venda_12meses[],2,FALSE),0)</f>
        <v>0</v>
      </c>
      <c r="Z186" s="44" t="str">
        <f>IFERROR(Rapid[[#This Row],[V. 12 meses]]/Rapid[[#This Row],[Proj. de V. 12 meses]],"")</f>
        <v/>
      </c>
      <c r="AA186" s="22" t="s">
        <v>1695</v>
      </c>
    </row>
    <row r="187" spans="1:27" x14ac:dyDescent="0.25">
      <c r="A187" s="22" t="str">
        <f>VLOOKUP(Rapid[[#This Row],[Código]],BD_Produto[#All],7,FALSE)</f>
        <v>Fora de linha</v>
      </c>
      <c r="B18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7" s="23">
        <v>32060534826</v>
      </c>
      <c r="D187" s="22" t="s">
        <v>1511</v>
      </c>
      <c r="E187" s="22" t="str">
        <f>VLOOKUP(Rapid[[#This Row],[Código]],BD_Produto[],3,FALSE)</f>
        <v>Grampo</v>
      </c>
      <c r="F187" s="22" t="str">
        <f>VLOOKUP(Rapid[[#This Row],[Código]],BD_Produto[],4,FALSE)</f>
        <v>Grampeador Eletrico</v>
      </c>
      <c r="G187" s="24"/>
      <c r="H187" s="25"/>
      <c r="I187" s="22"/>
      <c r="J187" s="24"/>
      <c r="K187" s="24" t="str">
        <f>IFERROR(VLOOKUP(Rapid[[#This Row],[Código]],Importação!P:R,3,FALSE),"")</f>
        <v/>
      </c>
      <c r="L187" s="24">
        <f>IFERROR(VLOOKUP(Rapid[[#This Row],[Código]],Saldo[],3,FALSE),0)</f>
        <v>0</v>
      </c>
      <c r="M187" s="24">
        <f>SUM(Rapid[[#This Row],[Produção]:[Estoque]])</f>
        <v>0</v>
      </c>
      <c r="N187" s="24" t="str">
        <f>IFERROR(Rapid[[#This Row],[Estoque+Importação]]/Rapid[[#This Row],[Proj. de V. No prox. mes]],"Sem Projeção")</f>
        <v>Sem Projeção</v>
      </c>
      <c r="O187" s="24" t="str">
        <f>IF(OR(Rapid[[#This Row],[Status]]="Em Linha",Rapid[[#This Row],[Status]]="Componente",Rapid[[#This Row],[Status]]="Materia Prima"),Rapid[[#This Row],[Proj. de V. No prox. mes]]*10,"-")</f>
        <v>-</v>
      </c>
      <c r="P18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7" s="34">
        <f>VLOOKUP(Rapid[[#This Row],[Código]],Projeção[#All],15,FALSE)</f>
        <v>0</v>
      </c>
      <c r="R187" s="24">
        <f>VLOOKUP(Rapid[[#This Row],[Código]],Projeção[#All],14,FALSE)</f>
        <v>0</v>
      </c>
      <c r="S187" s="24">
        <f>IFERROR(VLOOKUP(Rapid[[#This Row],[Código]],Venda_mes[],2,FALSE),0)</f>
        <v>0</v>
      </c>
      <c r="T187" s="26" t="str">
        <f>IFERROR(Rapid[[#This Row],[V. No mes]]/Rapid[[#This Row],[Proj. de V. No mes]],"")</f>
        <v/>
      </c>
      <c r="U187" s="24">
        <f>VLOOKUP(Rapid[[#This Row],[Código]],Projeção[#All],14,FALSE)+VLOOKUP(Rapid[[#This Row],[Código]],Projeção[#All],13,FALSE)+VLOOKUP(Rapid[[#This Row],[Código]],Projeção[#All],12,FALSE)</f>
        <v>0</v>
      </c>
      <c r="V187" s="24">
        <f>IFERROR(VLOOKUP(Rapid[[#This Row],[Código]],Venda_3meses[],2,FALSE),0)</f>
        <v>0</v>
      </c>
      <c r="W187" s="26" t="str">
        <f>IFERROR(Rapid[[#This Row],[V. 3 meses]]/Rapid[[#This Row],[Proj. de V. 3 meses]],"")</f>
        <v/>
      </c>
      <c r="X187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7" s="24">
        <f>IFERROR(VLOOKUP(Rapid[[#This Row],[Código]],Venda_12meses[],2,FALSE),0)</f>
        <v>0</v>
      </c>
      <c r="Z187" s="26" t="str">
        <f>IFERROR(Rapid[[#This Row],[V. 12 meses]]/Rapid[[#This Row],[Proj. de V. 12 meses]],"")</f>
        <v/>
      </c>
      <c r="AA187" s="22" t="s">
        <v>1663</v>
      </c>
    </row>
    <row r="188" spans="1:27" x14ac:dyDescent="0.25">
      <c r="A188" s="22" t="str">
        <f>VLOOKUP(Rapid[[#This Row],[Código]],BD_Produto[#All],7,FALSE)</f>
        <v>Fora de linha</v>
      </c>
      <c r="B18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8" s="23">
        <v>33070514642</v>
      </c>
      <c r="D188" s="22" t="s">
        <v>1500</v>
      </c>
      <c r="E188" s="22" t="str">
        <f>VLOOKUP(Rapid[[#This Row],[Código]],BD_Produto[],3,FALSE)</f>
        <v>Grampo</v>
      </c>
      <c r="F188" s="22">
        <f>VLOOKUP(Rapid[[#This Row],[Código]],BD_Produto[],4,FALSE)</f>
        <v>0</v>
      </c>
      <c r="G188" s="24"/>
      <c r="H188" s="25"/>
      <c r="I188" s="22"/>
      <c r="J188" s="24"/>
      <c r="K188" s="24" t="str">
        <f>IFERROR(VLOOKUP(Rapid[[#This Row],[Código]],Importação!P:R,3,FALSE),"")</f>
        <v/>
      </c>
      <c r="L188" s="24">
        <f>IFERROR(VLOOKUP(Rapid[[#This Row],[Código]],Saldo[],3,FALSE),0)</f>
        <v>0</v>
      </c>
      <c r="M188" s="24">
        <f>SUM(Rapid[[#This Row],[Produção]:[Estoque]])</f>
        <v>0</v>
      </c>
      <c r="N188" s="24" t="str">
        <f>IFERROR(Rapid[[#This Row],[Estoque+Importação]]/Rapid[[#This Row],[Proj. de V. No prox. mes]],"Sem Projeção")</f>
        <v>Sem Projeção</v>
      </c>
      <c r="O188" s="24" t="str">
        <f>IF(OR(Rapid[[#This Row],[Status]]="Em Linha",Rapid[[#This Row],[Status]]="Componente",Rapid[[#This Row],[Status]]="Materia Prima"),Rapid[[#This Row],[Proj. de V. No prox. mes]]*10,"-")</f>
        <v>-</v>
      </c>
      <c r="P18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8" s="75">
        <f>VLOOKUP(Rapid[[#This Row],[Código]],Projeção[#All],15,FALSE)</f>
        <v>0</v>
      </c>
      <c r="R188" s="24">
        <f>VLOOKUP(Rapid[[#This Row],[Código]],Projeção[#All],14,FALSE)</f>
        <v>0</v>
      </c>
      <c r="S188" s="24">
        <f>IFERROR(VLOOKUP(Rapid[[#This Row],[Código]],Venda_mes[],2,FALSE),0)</f>
        <v>0</v>
      </c>
      <c r="T188" s="44" t="str">
        <f>IFERROR(Rapid[[#This Row],[V. No mes]]/Rapid[[#This Row],[Proj. de V. No mes]],"")</f>
        <v/>
      </c>
      <c r="U188" s="43">
        <f>VLOOKUP(Rapid[[#This Row],[Código]],Projeção[#All],14,FALSE)+VLOOKUP(Rapid[[#This Row],[Código]],Projeção[#All],13,FALSE)+VLOOKUP(Rapid[[#This Row],[Código]],Projeção[#All],12,FALSE)</f>
        <v>0</v>
      </c>
      <c r="V188" s="24">
        <f>IFERROR(VLOOKUP(Rapid[[#This Row],[Código]],Venda_3meses[],2,FALSE),0)</f>
        <v>0</v>
      </c>
      <c r="W188" s="44" t="str">
        <f>IFERROR(Rapid[[#This Row],[V. 3 meses]]/Rapid[[#This Row],[Proj. de V. 3 meses]],"")</f>
        <v/>
      </c>
      <c r="X188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8" s="24">
        <f>IFERROR(VLOOKUP(Rapid[[#This Row],[Código]],Venda_12meses[],2,FALSE),0)</f>
        <v>0</v>
      </c>
      <c r="Z188" s="44" t="str">
        <f>IFERROR(Rapid[[#This Row],[V. 12 meses]]/Rapid[[#This Row],[Proj. de V. 12 meses]],"")</f>
        <v/>
      </c>
      <c r="AA188" s="22"/>
    </row>
    <row r="189" spans="1:27" x14ac:dyDescent="0.25">
      <c r="A189" s="22" t="str">
        <f>VLOOKUP(Rapid[[#This Row],[Código]],BD_Produto[#All],7,FALSE)</f>
        <v>Fora de linha</v>
      </c>
      <c r="B18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89" s="23">
        <v>33060514713</v>
      </c>
      <c r="D189" s="22" t="s">
        <v>320</v>
      </c>
      <c r="E189" s="22" t="str">
        <f>VLOOKUP(Rapid[[#This Row],[Código]],BD_Produto[],3,FALSE)</f>
        <v>Grampo</v>
      </c>
      <c r="F189" s="22" t="str">
        <f>VLOOKUP(Rapid[[#This Row],[Código]],BD_Produto[],4,FALSE)</f>
        <v>Grampeador de Mesa</v>
      </c>
      <c r="G189" s="24"/>
      <c r="H189" s="25"/>
      <c r="I189" s="22"/>
      <c r="J189" s="24"/>
      <c r="K189" s="24" t="str">
        <f>IFERROR(VLOOKUP(Rapid[[#This Row],[Código]],Importação!P:R,3,FALSE),"")</f>
        <v/>
      </c>
      <c r="L189" s="24">
        <f>IFERROR(VLOOKUP(Rapid[[#This Row],[Código]],Saldo[],3,FALSE),0)</f>
        <v>0</v>
      </c>
      <c r="M189" s="24">
        <f>SUM(Rapid[[#This Row],[Produção]:[Estoque]])</f>
        <v>0</v>
      </c>
      <c r="N189" s="24" t="str">
        <f>IFERROR(Rapid[[#This Row],[Estoque+Importação]]/Rapid[[#This Row],[Proj. de V. No prox. mes]],"Sem Projeção")</f>
        <v>Sem Projeção</v>
      </c>
      <c r="O189" s="24" t="str">
        <f>IF(OR(Rapid[[#This Row],[Status]]="Em Linha",Rapid[[#This Row],[Status]]="Componente",Rapid[[#This Row],[Status]]="Materia Prima"),Rapid[[#This Row],[Proj. de V. No prox. mes]]*10,"-")</f>
        <v>-</v>
      </c>
      <c r="P18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89" s="75">
        <f>VLOOKUP(Rapid[[#This Row],[Código]],Projeção[#All],15,FALSE)</f>
        <v>0</v>
      </c>
      <c r="R189" s="24">
        <f>VLOOKUP(Rapid[[#This Row],[Código]],Projeção[#All],14,FALSE)</f>
        <v>0</v>
      </c>
      <c r="S189" s="24">
        <f>IFERROR(VLOOKUP(Rapid[[#This Row],[Código]],Venda_mes[],2,FALSE),0)</f>
        <v>0</v>
      </c>
      <c r="T189" s="44" t="str">
        <f>IFERROR(Rapid[[#This Row],[V. No mes]]/Rapid[[#This Row],[Proj. de V. No mes]],"")</f>
        <v/>
      </c>
      <c r="U189" s="43">
        <f>VLOOKUP(Rapid[[#This Row],[Código]],Projeção[#All],14,FALSE)+VLOOKUP(Rapid[[#This Row],[Código]],Projeção[#All],13,FALSE)+VLOOKUP(Rapid[[#This Row],[Código]],Projeção[#All],12,FALSE)</f>
        <v>0</v>
      </c>
      <c r="V189" s="24">
        <f>IFERROR(VLOOKUP(Rapid[[#This Row],[Código]],Venda_3meses[],2,FALSE),0)</f>
        <v>0</v>
      </c>
      <c r="W189" s="44" t="str">
        <f>IFERROR(Rapid[[#This Row],[V. 3 meses]]/Rapid[[#This Row],[Proj. de V. 3 meses]],"")</f>
        <v/>
      </c>
      <c r="X18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89" s="24">
        <f>IFERROR(VLOOKUP(Rapid[[#This Row],[Código]],Venda_12meses[],2,FALSE),0)</f>
        <v>0</v>
      </c>
      <c r="Z189" s="44" t="str">
        <f>IFERROR(Rapid[[#This Row],[V. 12 meses]]/Rapid[[#This Row],[Proj. de V. 12 meses]],"")</f>
        <v/>
      </c>
      <c r="AA189" s="22">
        <v>11710100</v>
      </c>
    </row>
    <row r="190" spans="1:27" x14ac:dyDescent="0.25">
      <c r="A190" s="22" t="str">
        <f>VLOOKUP(Rapid[[#This Row],[Código]],BD_Produto[#All],7,FALSE)</f>
        <v>Fora de linha</v>
      </c>
      <c r="B190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0" s="23">
        <v>33060563735</v>
      </c>
      <c r="D190" s="22" t="s">
        <v>1512</v>
      </c>
      <c r="E190" s="22" t="str">
        <f>VLOOKUP(Rapid[[#This Row],[Código]],BD_Produto[],3,FALSE)</f>
        <v>Grampo</v>
      </c>
      <c r="F190" s="22" t="str">
        <f>VLOOKUP(Rapid[[#This Row],[Código]],BD_Produto[],4,FALSE)</f>
        <v>Grampeador Eletrico</v>
      </c>
      <c r="G190" s="24"/>
      <c r="H190" s="25"/>
      <c r="I190" s="22"/>
      <c r="J190" s="24"/>
      <c r="K190" s="24" t="str">
        <f>IFERROR(VLOOKUP(Rapid[[#This Row],[Código]],Importação!P:R,3,FALSE),"")</f>
        <v/>
      </c>
      <c r="L190" s="24">
        <f>IFERROR(VLOOKUP(Rapid[[#This Row],[Código]],Saldo[],3,FALSE),0)</f>
        <v>0</v>
      </c>
      <c r="M190" s="24">
        <f>SUM(Rapid[[#This Row],[Produção]:[Estoque]])</f>
        <v>0</v>
      </c>
      <c r="N190" s="24" t="str">
        <f>IFERROR(Rapid[[#This Row],[Estoque+Importação]]/Rapid[[#This Row],[Proj. de V. No prox. mes]],"Sem Projeção")</f>
        <v>Sem Projeção</v>
      </c>
      <c r="O190" s="24" t="str">
        <f>IF(OR(Rapid[[#This Row],[Status]]="Em Linha",Rapid[[#This Row],[Status]]="Componente",Rapid[[#This Row],[Status]]="Materia Prima"),Rapid[[#This Row],[Proj. de V. No prox. mes]]*10,"-")</f>
        <v>-</v>
      </c>
      <c r="P190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0" s="75">
        <f>VLOOKUP(Rapid[[#This Row],[Código]],Projeção[#All],15,FALSE)</f>
        <v>0</v>
      </c>
      <c r="R190" s="24">
        <f>VLOOKUP(Rapid[[#This Row],[Código]],Projeção[#All],14,FALSE)</f>
        <v>0</v>
      </c>
      <c r="S190" s="24">
        <f>IFERROR(VLOOKUP(Rapid[[#This Row],[Código]],Venda_mes[],2,FALSE),0)</f>
        <v>0</v>
      </c>
      <c r="T190" s="44" t="str">
        <f>IFERROR(Rapid[[#This Row],[V. No mes]]/Rapid[[#This Row],[Proj. de V. No mes]],"")</f>
        <v/>
      </c>
      <c r="U190" s="43">
        <f>VLOOKUP(Rapid[[#This Row],[Código]],Projeção[#All],14,FALSE)+VLOOKUP(Rapid[[#This Row],[Código]],Projeção[#All],13,FALSE)+VLOOKUP(Rapid[[#This Row],[Código]],Projeção[#All],12,FALSE)</f>
        <v>0</v>
      </c>
      <c r="V190" s="24">
        <f>IFERROR(VLOOKUP(Rapid[[#This Row],[Código]],Venda_3meses[],2,FALSE),0)</f>
        <v>0</v>
      </c>
      <c r="W190" s="44" t="str">
        <f>IFERROR(Rapid[[#This Row],[V. 3 meses]]/Rapid[[#This Row],[Proj. de V. 3 meses]],"")</f>
        <v/>
      </c>
      <c r="X190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90" s="24">
        <f>IFERROR(VLOOKUP(Rapid[[#This Row],[Código]],Venda_12meses[],2,FALSE),0)</f>
        <v>0</v>
      </c>
      <c r="Z190" s="44" t="str">
        <f>IFERROR(Rapid[[#This Row],[V. 12 meses]]/Rapid[[#This Row],[Proj. de V. 12 meses]],"")</f>
        <v/>
      </c>
      <c r="AA190" s="22"/>
    </row>
    <row r="191" spans="1:27" x14ac:dyDescent="0.25">
      <c r="A191" s="22" t="str">
        <f>VLOOKUP(Rapid[[#This Row],[Código]],BD_Produto[#All],7,FALSE)</f>
        <v>Fora de linha</v>
      </c>
      <c r="B191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1" s="23">
        <v>33060514939</v>
      </c>
      <c r="D191" s="22" t="s">
        <v>315</v>
      </c>
      <c r="E191" s="22" t="str">
        <f>VLOOKUP(Rapid[[#This Row],[Código]],BD_Produto[],3,FALSE)</f>
        <v>Grampo</v>
      </c>
      <c r="F191" s="22" t="str">
        <f>VLOOKUP(Rapid[[#This Row],[Código]],BD_Produto[],4,FALSE)</f>
        <v>Grampeador Alicate</v>
      </c>
      <c r="G191" s="24"/>
      <c r="H191" s="25"/>
      <c r="I191" s="22"/>
      <c r="J191" s="24"/>
      <c r="K191" s="24" t="str">
        <f>IFERROR(VLOOKUP(Rapid[[#This Row],[Código]],Importação!P:R,3,FALSE),"")</f>
        <v/>
      </c>
      <c r="L191" s="24">
        <f>IFERROR(VLOOKUP(Rapid[[#This Row],[Código]],Saldo[],3,FALSE),0)</f>
        <v>0</v>
      </c>
      <c r="M191" s="24">
        <f>SUM(Rapid[[#This Row],[Produção]:[Estoque]])</f>
        <v>0</v>
      </c>
      <c r="N191" s="24" t="str">
        <f>IFERROR(Rapid[[#This Row],[Estoque+Importação]]/Rapid[[#This Row],[Proj. de V. No prox. mes]],"Sem Projeção")</f>
        <v>Sem Projeção</v>
      </c>
      <c r="O191" s="24" t="str">
        <f>IF(OR(Rapid[[#This Row],[Status]]="Em Linha",Rapid[[#This Row],[Status]]="Componente",Rapid[[#This Row],[Status]]="Materia Prima"),Rapid[[#This Row],[Proj. de V. No prox. mes]]*10,"-")</f>
        <v>-</v>
      </c>
      <c r="P191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1" s="75">
        <f>VLOOKUP(Rapid[[#This Row],[Código]],Projeção[#All],15,FALSE)</f>
        <v>0</v>
      </c>
      <c r="R191" s="24">
        <f>VLOOKUP(Rapid[[#This Row],[Código]],Projeção[#All],14,FALSE)</f>
        <v>0</v>
      </c>
      <c r="S191" s="24">
        <f>IFERROR(VLOOKUP(Rapid[[#This Row],[Código]],Venda_mes[],2,FALSE),0)</f>
        <v>0</v>
      </c>
      <c r="T191" s="44" t="str">
        <f>IFERROR(Rapid[[#This Row],[V. No mes]]/Rapid[[#This Row],[Proj. de V. No mes]],"")</f>
        <v/>
      </c>
      <c r="U191" s="43">
        <f>VLOOKUP(Rapid[[#This Row],[Código]],Projeção[#All],14,FALSE)+VLOOKUP(Rapid[[#This Row],[Código]],Projeção[#All],13,FALSE)+VLOOKUP(Rapid[[#This Row],[Código]],Projeção[#All],12,FALSE)</f>
        <v>0</v>
      </c>
      <c r="V191" s="24">
        <f>IFERROR(VLOOKUP(Rapid[[#This Row],[Código]],Venda_3meses[],2,FALSE),0)</f>
        <v>0</v>
      </c>
      <c r="W191" s="44" t="str">
        <f>IFERROR(Rapid[[#This Row],[V. 3 meses]]/Rapid[[#This Row],[Proj. de V. 3 meses]],"")</f>
        <v/>
      </c>
      <c r="X191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13.899999999999999</v>
      </c>
      <c r="Y191" s="24">
        <f>IFERROR(VLOOKUP(Rapid[[#This Row],[Código]],Venda_12meses[],2,FALSE),0)</f>
        <v>0</v>
      </c>
      <c r="Z191" s="44">
        <f>IFERROR(Rapid[[#This Row],[V. 12 meses]]/Rapid[[#This Row],[Proj. de V. 12 meses]],"")</f>
        <v>0</v>
      </c>
      <c r="AA191" s="22">
        <v>22680800</v>
      </c>
    </row>
    <row r="192" spans="1:27" x14ac:dyDescent="0.25">
      <c r="A192" s="22" t="str">
        <f>VLOOKUP(Rapid[[#This Row],[Código]],BD_Produto[#All],7,FALSE)</f>
        <v>Fora de linha</v>
      </c>
      <c r="B192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2" s="23">
        <v>33060714942</v>
      </c>
      <c r="D192" s="22" t="s">
        <v>329</v>
      </c>
      <c r="E192" s="22" t="str">
        <f>VLOOKUP(Rapid[[#This Row],[Código]],BD_Produto[],3,FALSE)</f>
        <v>Perfurador</v>
      </c>
      <c r="F192" s="22" t="str">
        <f>VLOOKUP(Rapid[[#This Row],[Código]],BD_Produto[],4,FALSE)</f>
        <v>Perfurador</v>
      </c>
      <c r="G192" s="24"/>
      <c r="H192" s="25"/>
      <c r="I192" s="22"/>
      <c r="J192" s="24"/>
      <c r="K192" s="24" t="str">
        <f>IFERROR(VLOOKUP(Rapid[[#This Row],[Código]],Importação!P:R,3,FALSE),"")</f>
        <v/>
      </c>
      <c r="L192" s="24">
        <f>IFERROR(VLOOKUP(Rapid[[#This Row],[Código]],Saldo[],3,FALSE),0)</f>
        <v>0</v>
      </c>
      <c r="M192" s="24">
        <f>SUM(Rapid[[#This Row],[Produção]:[Estoque]])</f>
        <v>0</v>
      </c>
      <c r="N192" s="24" t="str">
        <f>IFERROR(Rapid[[#This Row],[Estoque+Importação]]/Rapid[[#This Row],[Proj. de V. No prox. mes]],"Sem Projeção")</f>
        <v>Sem Projeção</v>
      </c>
      <c r="O192" s="24" t="str">
        <f>IF(OR(Rapid[[#This Row],[Status]]="Em Linha",Rapid[[#This Row],[Status]]="Componente",Rapid[[#This Row],[Status]]="Materia Prima"),Rapid[[#This Row],[Proj. de V. No prox. mes]]*10,"-")</f>
        <v>-</v>
      </c>
      <c r="P192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2" s="34">
        <f>VLOOKUP(Rapid[[#This Row],[Código]],Projeção[#All],15,FALSE)</f>
        <v>0</v>
      </c>
      <c r="R192" s="24">
        <f>VLOOKUP(Rapid[[#This Row],[Código]],Projeção[#All],14,FALSE)</f>
        <v>0</v>
      </c>
      <c r="S192" s="24">
        <f>IFERROR(VLOOKUP(Rapid[[#This Row],[Código]],Venda_mes[],2,FALSE),0)</f>
        <v>0</v>
      </c>
      <c r="T192" s="26" t="str">
        <f>IFERROR(Rapid[[#This Row],[V. No mes]]/Rapid[[#This Row],[Proj. de V. No mes]],"")</f>
        <v/>
      </c>
      <c r="U192" s="24">
        <f>VLOOKUP(Rapid[[#This Row],[Código]],Projeção[#All],14,FALSE)+VLOOKUP(Rapid[[#This Row],[Código]],Projeção[#All],13,FALSE)+VLOOKUP(Rapid[[#This Row],[Código]],Projeção[#All],12,FALSE)</f>
        <v>0</v>
      </c>
      <c r="V192" s="24">
        <f>IFERROR(VLOOKUP(Rapid[[#This Row],[Código]],Venda_3meses[],2,FALSE),0)</f>
        <v>0</v>
      </c>
      <c r="W192" s="26" t="str">
        <f>IFERROR(Rapid[[#This Row],[V. 3 meses]]/Rapid[[#This Row],[Proj. de V. 3 meses]],"")</f>
        <v/>
      </c>
      <c r="X192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4.8666666666666663</v>
      </c>
      <c r="Y192" s="24">
        <f>IFERROR(VLOOKUP(Rapid[[#This Row],[Código]],Venda_12meses[],2,FALSE),0)</f>
        <v>0</v>
      </c>
      <c r="Z192" s="26">
        <f>IFERROR(Rapid[[#This Row],[V. 12 meses]]/Rapid[[#This Row],[Proj. de V. 12 meses]],"")</f>
        <v>0</v>
      </c>
      <c r="AA192" s="22"/>
    </row>
    <row r="193" spans="1:27" x14ac:dyDescent="0.25">
      <c r="A193" s="22" t="str">
        <f>VLOOKUP(Rapid[[#This Row],[Código]],BD_Produto[#All],7,FALSE)</f>
        <v>Fora de linha</v>
      </c>
      <c r="B193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3" s="23">
        <v>33060714916</v>
      </c>
      <c r="D193" s="22" t="s">
        <v>326</v>
      </c>
      <c r="E193" s="22" t="str">
        <f>VLOOKUP(Rapid[[#This Row],[Código]],BD_Produto[],3,FALSE)</f>
        <v>Perfurador</v>
      </c>
      <c r="F193" s="22" t="str">
        <f>VLOOKUP(Rapid[[#This Row],[Código]],BD_Produto[],4,FALSE)</f>
        <v>Perfurador</v>
      </c>
      <c r="G193" s="24"/>
      <c r="H193" s="25"/>
      <c r="I193" s="22"/>
      <c r="J193" s="24"/>
      <c r="K193" s="24" t="str">
        <f>IFERROR(VLOOKUP(Rapid[[#This Row],[Código]],Importação!P:R,3,FALSE),"")</f>
        <v/>
      </c>
      <c r="L193" s="24">
        <f>IFERROR(VLOOKUP(Rapid[[#This Row],[Código]],Saldo[],3,FALSE),0)</f>
        <v>0</v>
      </c>
      <c r="M193" s="24">
        <f>SUM(Rapid[[#This Row],[Produção]:[Estoque]])</f>
        <v>0</v>
      </c>
      <c r="N193" s="24" t="str">
        <f>IFERROR(Rapid[[#This Row],[Estoque+Importação]]/Rapid[[#This Row],[Proj. de V. No prox. mes]],"Sem Projeção")</f>
        <v>Sem Projeção</v>
      </c>
      <c r="O193" s="24" t="str">
        <f>IF(OR(Rapid[[#This Row],[Status]]="Em Linha",Rapid[[#This Row],[Status]]="Componente",Rapid[[#This Row],[Status]]="Materia Prima"),Rapid[[#This Row],[Proj. de V. No prox. mes]]*10,"-")</f>
        <v>-</v>
      </c>
      <c r="P193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3" s="34">
        <f>VLOOKUP(Rapid[[#This Row],[Código]],Projeção[#All],15,FALSE)</f>
        <v>0</v>
      </c>
      <c r="R193" s="24">
        <f>VLOOKUP(Rapid[[#This Row],[Código]],Projeção[#All],14,FALSE)</f>
        <v>0</v>
      </c>
      <c r="S193" s="24">
        <f>IFERROR(VLOOKUP(Rapid[[#This Row],[Código]],Venda_mes[],2,FALSE),0)</f>
        <v>0</v>
      </c>
      <c r="T193" s="26" t="str">
        <f>IFERROR(Rapid[[#This Row],[V. No mes]]/Rapid[[#This Row],[Proj. de V. No mes]],"")</f>
        <v/>
      </c>
      <c r="U193" s="24">
        <f>VLOOKUP(Rapid[[#This Row],[Código]],Projeção[#All],14,FALSE)+VLOOKUP(Rapid[[#This Row],[Código]],Projeção[#All],13,FALSE)+VLOOKUP(Rapid[[#This Row],[Código]],Projeção[#All],12,FALSE)</f>
        <v>0</v>
      </c>
      <c r="V193" s="24">
        <f>IFERROR(VLOOKUP(Rapid[[#This Row],[Código]],Venda_3meses[],2,FALSE),0)</f>
        <v>0</v>
      </c>
      <c r="W193" s="26" t="str">
        <f>IFERROR(Rapid[[#This Row],[V. 3 meses]]/Rapid[[#This Row],[Proj. de V. 3 meses]],"")</f>
        <v/>
      </c>
      <c r="X193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4.5666666666666655</v>
      </c>
      <c r="Y193" s="24">
        <f>IFERROR(VLOOKUP(Rapid[[#This Row],[Código]],Venda_12meses[],2,FALSE),0)</f>
        <v>0</v>
      </c>
      <c r="Z193" s="26">
        <f>IFERROR(Rapid[[#This Row],[V. 12 meses]]/Rapid[[#This Row],[Proj. de V. 12 meses]],"")</f>
        <v>0</v>
      </c>
      <c r="AA193" s="22"/>
    </row>
    <row r="194" spans="1:27" x14ac:dyDescent="0.25">
      <c r="A194" s="22" t="str">
        <f>VLOOKUP(Rapid[[#This Row],[Código]],BD_Produto[#All],7,FALSE)</f>
        <v>Fora de linha</v>
      </c>
      <c r="B194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4" s="23">
        <v>33060714917</v>
      </c>
      <c r="D194" s="22" t="s">
        <v>327</v>
      </c>
      <c r="E194" s="22" t="str">
        <f>VLOOKUP(Rapid[[#This Row],[Código]],BD_Produto[],3,FALSE)</f>
        <v>Perfurador</v>
      </c>
      <c r="F194" s="22" t="str">
        <f>VLOOKUP(Rapid[[#This Row],[Código]],BD_Produto[],4,FALSE)</f>
        <v>Perfurador</v>
      </c>
      <c r="G194" s="24"/>
      <c r="H194" s="25"/>
      <c r="I194" s="22"/>
      <c r="J194" s="24"/>
      <c r="K194" s="24" t="str">
        <f>IFERROR(VLOOKUP(Rapid[[#This Row],[Código]],Importação!P:R,3,FALSE),"")</f>
        <v/>
      </c>
      <c r="L194" s="24">
        <f>IFERROR(VLOOKUP(Rapid[[#This Row],[Código]],Saldo[],3,FALSE),0)</f>
        <v>0</v>
      </c>
      <c r="M194" s="24">
        <f>SUM(Rapid[[#This Row],[Produção]:[Estoque]])</f>
        <v>0</v>
      </c>
      <c r="N194" s="24" t="str">
        <f>IFERROR(Rapid[[#This Row],[Estoque+Importação]]/Rapid[[#This Row],[Proj. de V. No prox. mes]],"Sem Projeção")</f>
        <v>Sem Projeção</v>
      </c>
      <c r="O194" s="24" t="str">
        <f>IF(OR(Rapid[[#This Row],[Status]]="Em Linha",Rapid[[#This Row],[Status]]="Componente",Rapid[[#This Row],[Status]]="Materia Prima"),Rapid[[#This Row],[Proj. de V. No prox. mes]]*10,"-")</f>
        <v>-</v>
      </c>
      <c r="P194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4" s="34">
        <f>VLOOKUP(Rapid[[#This Row],[Código]],Projeção[#All],15,FALSE)</f>
        <v>0</v>
      </c>
      <c r="R194" s="24">
        <f>VLOOKUP(Rapid[[#This Row],[Código]],Projeção[#All],14,FALSE)</f>
        <v>0</v>
      </c>
      <c r="S194" s="24">
        <f>IFERROR(VLOOKUP(Rapid[[#This Row],[Código]],Venda_mes[],2,FALSE),0)</f>
        <v>0</v>
      </c>
      <c r="T194" s="26" t="str">
        <f>IFERROR(Rapid[[#This Row],[V. No mes]]/Rapid[[#This Row],[Proj. de V. No mes]],"")</f>
        <v/>
      </c>
      <c r="U194" s="24">
        <f>VLOOKUP(Rapid[[#This Row],[Código]],Projeção[#All],14,FALSE)+VLOOKUP(Rapid[[#This Row],[Código]],Projeção[#All],13,FALSE)+VLOOKUP(Rapid[[#This Row],[Código]],Projeção[#All],12,FALSE)</f>
        <v>0</v>
      </c>
      <c r="V194" s="24">
        <f>IFERROR(VLOOKUP(Rapid[[#This Row],[Código]],Venda_3meses[],2,FALSE),0)</f>
        <v>0</v>
      </c>
      <c r="W194" s="26" t="str">
        <f>IFERROR(Rapid[[#This Row],[V. 3 meses]]/Rapid[[#This Row],[Proj. de V. 3 meses]],"")</f>
        <v/>
      </c>
      <c r="X194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18.466666666666665</v>
      </c>
      <c r="Y194" s="24">
        <f>IFERROR(VLOOKUP(Rapid[[#This Row],[Código]],Venda_12meses[],2,FALSE),0)</f>
        <v>0</v>
      </c>
      <c r="Z194" s="26">
        <f>IFERROR(Rapid[[#This Row],[V. 12 meses]]/Rapid[[#This Row],[Proj. de V. 12 meses]],"")</f>
        <v>0</v>
      </c>
      <c r="AA194" s="22"/>
    </row>
    <row r="195" spans="1:27" x14ac:dyDescent="0.25">
      <c r="A195" s="22" t="str">
        <f>VLOOKUP(Rapid[[#This Row],[Código]],BD_Produto[#All],7,FALSE)</f>
        <v>Fora de linha</v>
      </c>
      <c r="B195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5" s="23">
        <v>33060114878</v>
      </c>
      <c r="D195" s="22" t="s">
        <v>1513</v>
      </c>
      <c r="E195" s="22" t="str">
        <f>VLOOKUP(Rapid[[#This Row],[Código]],BD_Produto[],3,FALSE)</f>
        <v>Grampeador Eletrico</v>
      </c>
      <c r="F195" s="22" t="str">
        <f>VLOOKUP(Rapid[[#This Row],[Código]],BD_Produto[],4,FALSE)</f>
        <v>Grampeador Eletrico</v>
      </c>
      <c r="G195" s="24"/>
      <c r="H195" s="25"/>
      <c r="I195" s="22"/>
      <c r="J195" s="24"/>
      <c r="K195" s="24" t="str">
        <f>IFERROR(VLOOKUP(Rapid[[#This Row],[Código]],Importação!P:R,3,FALSE),"")</f>
        <v/>
      </c>
      <c r="L195" s="24">
        <f>IFERROR(VLOOKUP(Rapid[[#This Row],[Código]],Saldo[],3,FALSE),0)</f>
        <v>0</v>
      </c>
      <c r="M195" s="24">
        <f>SUM(Rapid[[#This Row],[Produção]:[Estoque]])</f>
        <v>0</v>
      </c>
      <c r="N195" s="24" t="str">
        <f>IFERROR(Rapid[[#This Row],[Estoque+Importação]]/Rapid[[#This Row],[Proj. de V. No prox. mes]],"Sem Projeção")</f>
        <v>Sem Projeção</v>
      </c>
      <c r="O195" s="24" t="str">
        <f>IF(OR(Rapid[[#This Row],[Status]]="Em Linha",Rapid[[#This Row],[Status]]="Componente",Rapid[[#This Row],[Status]]="Materia Prima"),Rapid[[#This Row],[Proj. de V. No prox. mes]]*10,"-")</f>
        <v>-</v>
      </c>
      <c r="P195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5" s="75">
        <f>VLOOKUP(Rapid[[#This Row],[Código]],Projeção[#All],15,FALSE)</f>
        <v>0</v>
      </c>
      <c r="R195" s="24">
        <f>VLOOKUP(Rapid[[#This Row],[Código]],Projeção[#All],14,FALSE)</f>
        <v>0</v>
      </c>
      <c r="S195" s="24">
        <f>IFERROR(VLOOKUP(Rapid[[#This Row],[Código]],Venda_mes[],2,FALSE),0)</f>
        <v>0</v>
      </c>
      <c r="T195" s="44" t="str">
        <f>IFERROR(Rapid[[#This Row],[V. No mes]]/Rapid[[#This Row],[Proj. de V. No mes]],"")</f>
        <v/>
      </c>
      <c r="U195" s="43">
        <f>VLOOKUP(Rapid[[#This Row],[Código]],Projeção[#All],14,FALSE)+VLOOKUP(Rapid[[#This Row],[Código]],Projeção[#All],13,FALSE)+VLOOKUP(Rapid[[#This Row],[Código]],Projeção[#All],12,FALSE)</f>
        <v>0</v>
      </c>
      <c r="V195" s="24">
        <f>IFERROR(VLOOKUP(Rapid[[#This Row],[Código]],Venda_3meses[],2,FALSE),0)</f>
        <v>0</v>
      </c>
      <c r="W195" s="44" t="str">
        <f>IFERROR(Rapid[[#This Row],[V. 3 meses]]/Rapid[[#This Row],[Proj. de V. 3 meses]],"")</f>
        <v/>
      </c>
      <c r="X195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95" s="24">
        <f>IFERROR(VLOOKUP(Rapid[[#This Row],[Código]],Venda_12meses[],2,FALSE),0)</f>
        <v>0</v>
      </c>
      <c r="Z195" s="44" t="str">
        <f>IFERROR(Rapid[[#This Row],[V. 12 meses]]/Rapid[[#This Row],[Proj. de V. 12 meses]],"")</f>
        <v/>
      </c>
      <c r="AA195" s="22"/>
    </row>
    <row r="196" spans="1:27" x14ac:dyDescent="0.25">
      <c r="A196" s="22" t="str">
        <f>VLOOKUP(Rapid[[#This Row],[Código]],BD_Produto[#All],7,FALSE)</f>
        <v>Fora de linha</v>
      </c>
      <c r="B196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6" s="23">
        <v>33060114628</v>
      </c>
      <c r="D196" s="22" t="s">
        <v>1514</v>
      </c>
      <c r="E196" s="22" t="str">
        <f>VLOOKUP(Rapid[[#This Row],[Código]],BD_Produto[],3,FALSE)</f>
        <v>Grampeador de Mesa</v>
      </c>
      <c r="F196" s="22" t="str">
        <f>VLOOKUP(Rapid[[#This Row],[Código]],BD_Produto[],4,FALSE)</f>
        <v>Grampeador de Mesa</v>
      </c>
      <c r="G196" s="24"/>
      <c r="H196" s="25"/>
      <c r="I196" s="22"/>
      <c r="J196" s="24"/>
      <c r="K196" s="24" t="str">
        <f>IFERROR(VLOOKUP(Rapid[[#This Row],[Código]],Importação!P:R,3,FALSE),"")</f>
        <v/>
      </c>
      <c r="L196" s="24">
        <f>IFERROR(VLOOKUP(Rapid[[#This Row],[Código]],Saldo[],3,FALSE),0)</f>
        <v>0</v>
      </c>
      <c r="M196" s="24">
        <f>SUM(Rapid[[#This Row],[Produção]:[Estoque]])</f>
        <v>0</v>
      </c>
      <c r="N196" s="24" t="str">
        <f>IFERROR(Rapid[[#This Row],[Estoque+Importação]]/Rapid[[#This Row],[Proj. de V. No prox. mes]],"Sem Projeção")</f>
        <v>Sem Projeção</v>
      </c>
      <c r="O196" s="24" t="str">
        <f>IF(OR(Rapid[[#This Row],[Status]]="Em Linha",Rapid[[#This Row],[Status]]="Componente",Rapid[[#This Row],[Status]]="Materia Prima"),Rapid[[#This Row],[Proj. de V. No prox. mes]]*10,"-")</f>
        <v>-</v>
      </c>
      <c r="P196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6" s="34">
        <f>VLOOKUP(Rapid[[#This Row],[Código]],Projeção[#All],15,FALSE)</f>
        <v>0</v>
      </c>
      <c r="R196" s="24">
        <f>VLOOKUP(Rapid[[#This Row],[Código]],Projeção[#All],14,FALSE)</f>
        <v>0</v>
      </c>
      <c r="S196" s="24">
        <f>IFERROR(VLOOKUP(Rapid[[#This Row],[Código]],Venda_mes[],2,FALSE),0)</f>
        <v>0</v>
      </c>
      <c r="T196" s="26" t="str">
        <f>IFERROR(Rapid[[#This Row],[V. No mes]]/Rapid[[#This Row],[Proj. de V. No mes]],"")</f>
        <v/>
      </c>
      <c r="U196" s="24">
        <f>VLOOKUP(Rapid[[#This Row],[Código]],Projeção[#All],14,FALSE)+VLOOKUP(Rapid[[#This Row],[Código]],Projeção[#All],13,FALSE)+VLOOKUP(Rapid[[#This Row],[Código]],Projeção[#All],12,FALSE)</f>
        <v>0</v>
      </c>
      <c r="V196" s="24">
        <f>IFERROR(VLOOKUP(Rapid[[#This Row],[Código]],Venda_3meses[],2,FALSE),0)</f>
        <v>0</v>
      </c>
      <c r="W196" s="26" t="str">
        <f>IFERROR(Rapid[[#This Row],[V. 3 meses]]/Rapid[[#This Row],[Proj. de V. 3 meses]],"")</f>
        <v/>
      </c>
      <c r="X196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96" s="24">
        <f>IFERROR(VLOOKUP(Rapid[[#This Row],[Código]],Venda_12meses[],2,FALSE),0)</f>
        <v>0</v>
      </c>
      <c r="Z196" s="26" t="str">
        <f>IFERROR(Rapid[[#This Row],[V. 12 meses]]/Rapid[[#This Row],[Proj. de V. 12 meses]],"")</f>
        <v/>
      </c>
      <c r="AA196" s="22"/>
    </row>
    <row r="197" spans="1:27" x14ac:dyDescent="0.25">
      <c r="A197" s="22" t="str">
        <f>VLOOKUP(Rapid[[#This Row],[Código]],BD_Produto[#All],7,FALSE)</f>
        <v>Fora de linha</v>
      </c>
      <c r="B197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7" s="23">
        <v>33060114687</v>
      </c>
      <c r="D197" s="22" t="s">
        <v>1515</v>
      </c>
      <c r="E197" s="22" t="str">
        <f>VLOOKUP(Rapid[[#This Row],[Código]],BD_Produto[],3,FALSE)</f>
        <v>Grampeador de Mesa</v>
      </c>
      <c r="F197" s="22" t="str">
        <f>VLOOKUP(Rapid[[#This Row],[Código]],BD_Produto[],4,FALSE)</f>
        <v>Grampeador de Mesa</v>
      </c>
      <c r="G197" s="24"/>
      <c r="H197" s="25"/>
      <c r="I197" s="22"/>
      <c r="J197" s="24"/>
      <c r="K197" s="24" t="str">
        <f>IFERROR(VLOOKUP(Rapid[[#This Row],[Código]],Importação!P:R,3,FALSE),"")</f>
        <v/>
      </c>
      <c r="L197" s="24">
        <f>IFERROR(VLOOKUP(Rapid[[#This Row],[Código]],Saldo[],3,FALSE),0)</f>
        <v>0</v>
      </c>
      <c r="M197" s="24">
        <f>SUM(Rapid[[#This Row],[Produção]:[Estoque]])</f>
        <v>0</v>
      </c>
      <c r="N197" s="24" t="str">
        <f>IFERROR(Rapid[[#This Row],[Estoque+Importação]]/Rapid[[#This Row],[Proj. de V. No prox. mes]],"Sem Projeção")</f>
        <v>Sem Projeção</v>
      </c>
      <c r="O197" s="24" t="str">
        <f>IF(OR(Rapid[[#This Row],[Status]]="Em Linha",Rapid[[#This Row],[Status]]="Componente",Rapid[[#This Row],[Status]]="Materia Prima"),Rapid[[#This Row],[Proj. de V. No prox. mes]]*10,"-")</f>
        <v>-</v>
      </c>
      <c r="P197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7" s="75">
        <f>VLOOKUP(Rapid[[#This Row],[Código]],Projeção[#All],15,FALSE)</f>
        <v>0</v>
      </c>
      <c r="R197" s="24">
        <f>VLOOKUP(Rapid[[#This Row],[Código]],Projeção[#All],14,FALSE)</f>
        <v>0</v>
      </c>
      <c r="S197" s="24">
        <f>IFERROR(VLOOKUP(Rapid[[#This Row],[Código]],Venda_mes[],2,FALSE),0)</f>
        <v>0</v>
      </c>
      <c r="T197" s="44" t="str">
        <f>IFERROR(Rapid[[#This Row],[V. No mes]]/Rapid[[#This Row],[Proj. de V. No mes]],"")</f>
        <v/>
      </c>
      <c r="U197" s="43">
        <f>VLOOKUP(Rapid[[#This Row],[Código]],Projeção[#All],14,FALSE)+VLOOKUP(Rapid[[#This Row],[Código]],Projeção[#All],13,FALSE)+VLOOKUP(Rapid[[#This Row],[Código]],Projeção[#All],12,FALSE)</f>
        <v>0</v>
      </c>
      <c r="V197" s="24">
        <f>IFERROR(VLOOKUP(Rapid[[#This Row],[Código]],Venda_3meses[],2,FALSE),0)</f>
        <v>0</v>
      </c>
      <c r="W197" s="44" t="str">
        <f>IFERROR(Rapid[[#This Row],[V. 3 meses]]/Rapid[[#This Row],[Proj. de V. 3 meses]],"")</f>
        <v/>
      </c>
      <c r="X197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97" s="24">
        <f>IFERROR(VLOOKUP(Rapid[[#This Row],[Código]],Venda_12meses[],2,FALSE),0)</f>
        <v>0</v>
      </c>
      <c r="Z197" s="44" t="str">
        <f>IFERROR(Rapid[[#This Row],[V. 12 meses]]/Rapid[[#This Row],[Proj. de V. 12 meses]],"")</f>
        <v/>
      </c>
      <c r="AA197" s="22"/>
    </row>
    <row r="198" spans="1:27" x14ac:dyDescent="0.25">
      <c r="A198" s="22" t="str">
        <f>VLOOKUP(Rapid[[#This Row],[Código]],BD_Produto[#All],7,FALSE)</f>
        <v>Fora de linha</v>
      </c>
      <c r="B198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8" s="23">
        <v>33070114958</v>
      </c>
      <c r="D198" s="22" t="s">
        <v>1483</v>
      </c>
      <c r="E198" s="22" t="str">
        <f>VLOOKUP(Rapid[[#This Row],[Código]],BD_Produto[],3,FALSE)</f>
        <v>Grampeador Pneumatico</v>
      </c>
      <c r="F198" s="22" t="str">
        <f>VLOOKUP(Rapid[[#This Row],[Código]],BD_Produto[],4,FALSE)</f>
        <v>Grampeador Pneumatico</v>
      </c>
      <c r="G198" s="24"/>
      <c r="H198" s="25"/>
      <c r="I198" s="22"/>
      <c r="J198" s="24"/>
      <c r="K198" s="24" t="str">
        <f>IFERROR(VLOOKUP(Rapid[[#This Row],[Código]],Importação!P:R,3,FALSE),"")</f>
        <v/>
      </c>
      <c r="L198" s="24">
        <f>IFERROR(VLOOKUP(Rapid[[#This Row],[Código]],Saldo[],3,FALSE),0)</f>
        <v>0</v>
      </c>
      <c r="M198" s="24">
        <f>SUM(Rapid[[#This Row],[Produção]:[Estoque]])</f>
        <v>0</v>
      </c>
      <c r="N198" s="24" t="str">
        <f>IFERROR(Rapid[[#This Row],[Estoque+Importação]]/Rapid[[#This Row],[Proj. de V. No prox. mes]],"Sem Projeção")</f>
        <v>Sem Projeção</v>
      </c>
      <c r="O198" s="24" t="str">
        <f>IF(OR(Rapid[[#This Row],[Status]]="Em Linha",Rapid[[#This Row],[Status]]="Componente",Rapid[[#This Row],[Status]]="Materia Prima"),Rapid[[#This Row],[Proj. de V. No prox. mes]]*10,"-")</f>
        <v>-</v>
      </c>
      <c r="P198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8" s="34">
        <f>VLOOKUP(Rapid[[#This Row],[Código]],Projeção[#All],15,FALSE)</f>
        <v>0</v>
      </c>
      <c r="R198" s="24">
        <f>VLOOKUP(Rapid[[#This Row],[Código]],Projeção[#All],14,FALSE)</f>
        <v>0</v>
      </c>
      <c r="S198" s="24">
        <f>IFERROR(VLOOKUP(Rapid[[#This Row],[Código]],Venda_mes[],2,FALSE),0)</f>
        <v>0</v>
      </c>
      <c r="T198" s="26" t="str">
        <f>IFERROR(Rapid[[#This Row],[V. No mes]]/Rapid[[#This Row],[Proj. de V. No mes]],"")</f>
        <v/>
      </c>
      <c r="U198" s="24">
        <f>VLOOKUP(Rapid[[#This Row],[Código]],Projeção[#All],14,FALSE)+VLOOKUP(Rapid[[#This Row],[Código]],Projeção[#All],13,FALSE)+VLOOKUP(Rapid[[#This Row],[Código]],Projeção[#All],12,FALSE)</f>
        <v>0</v>
      </c>
      <c r="V198" s="24">
        <f>IFERROR(VLOOKUP(Rapid[[#This Row],[Código]],Venda_3meses[],2,FALSE),0)</f>
        <v>0</v>
      </c>
      <c r="W198" s="26" t="str">
        <f>IFERROR(Rapid[[#This Row],[V. 3 meses]]/Rapid[[#This Row],[Proj. de V. 3 meses]],"")</f>
        <v/>
      </c>
      <c r="X198" s="24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98" s="24">
        <f>IFERROR(VLOOKUP(Rapid[[#This Row],[Código]],Venda_12meses[],2,FALSE),0)</f>
        <v>0</v>
      </c>
      <c r="Z198" s="26" t="str">
        <f>IFERROR(Rapid[[#This Row],[V. 12 meses]]/Rapid[[#This Row],[Proj. de V. 12 meses]],"")</f>
        <v/>
      </c>
      <c r="AA198" s="22"/>
    </row>
    <row r="199" spans="1:27" x14ac:dyDescent="0.25">
      <c r="A199" s="22" t="str">
        <f>VLOOKUP(Rapid[[#This Row],[Código]],BD_Produto[#All],7,FALSE)</f>
        <v>Fora de linha</v>
      </c>
      <c r="B199" s="22" t="str">
        <f>IF(OR(Rapid[[#This Row],[Status]]="Em linha",Rapid[[#This Row],[Status]]="Materia Prima",Rapid[[#This Row],[Status]]="Componente"),"ok",IF(Rapid[[#This Row],[Estoque+Importação]]&lt;1,"Tirar","ok"))</f>
        <v>Tirar</v>
      </c>
      <c r="C199" s="23">
        <v>33070114960</v>
      </c>
      <c r="D199" s="22" t="s">
        <v>1505</v>
      </c>
      <c r="E199" s="22" t="str">
        <f>VLOOKUP(Rapid[[#This Row],[Código]],BD_Produto[],3,FALSE)</f>
        <v>Pistola de Cola</v>
      </c>
      <c r="F199" s="22" t="str">
        <f>VLOOKUP(Rapid[[#This Row],[Código]],BD_Produto[],4,FALSE)</f>
        <v>Pistola de Cola</v>
      </c>
      <c r="G199" s="24"/>
      <c r="H199" s="25"/>
      <c r="I199" s="22"/>
      <c r="J199" s="24"/>
      <c r="K199" s="24" t="str">
        <f>IFERROR(VLOOKUP(Rapid[[#This Row],[Código]],Importação!P:R,3,FALSE),"")</f>
        <v/>
      </c>
      <c r="L199" s="24">
        <f>IFERROR(VLOOKUP(Rapid[[#This Row],[Código]],Saldo[],3,FALSE),0)</f>
        <v>0</v>
      </c>
      <c r="M199" s="24">
        <f>SUM(Rapid[[#This Row],[Produção]:[Estoque]])</f>
        <v>0</v>
      </c>
      <c r="N199" s="24" t="str">
        <f>IFERROR(Rapid[[#This Row],[Estoque+Importação]]/Rapid[[#This Row],[Proj. de V. No prox. mes]],"Sem Projeção")</f>
        <v>Sem Projeção</v>
      </c>
      <c r="O199" s="24" t="str">
        <f>IF(OR(Rapid[[#This Row],[Status]]="Em Linha",Rapid[[#This Row],[Status]]="Componente",Rapid[[#This Row],[Status]]="Materia Prima"),Rapid[[#This Row],[Proj. de V. No prox. mes]]*10,"-")</f>
        <v>-</v>
      </c>
      <c r="P199" s="34">
        <f>IF(OR(Rapid[[#This Row],[Status]]="Em Linha",Rapid[[#This Row],[Status]]="Componente",Rapid[[#This Row],[Status]]="Materia Prima"),Rapid[[#This Row],[estoque 10 meses]]-Rapid[[#This Row],[Estoque+Importação]],0)</f>
        <v>0</v>
      </c>
      <c r="Q199" s="75">
        <f>VLOOKUP(Rapid[[#This Row],[Código]],Projeção[#All],15,FALSE)</f>
        <v>0</v>
      </c>
      <c r="R199" s="24">
        <f>VLOOKUP(Rapid[[#This Row],[Código]],Projeção[#All],14,FALSE)</f>
        <v>0</v>
      </c>
      <c r="S199" s="24">
        <f>IFERROR(VLOOKUP(Rapid[[#This Row],[Código]],Venda_mes[],2,FALSE),0)</f>
        <v>0</v>
      </c>
      <c r="T199" s="44" t="str">
        <f>IFERROR(Rapid[[#This Row],[V. No mes]]/Rapid[[#This Row],[Proj. de V. No mes]],"")</f>
        <v/>
      </c>
      <c r="U199" s="43">
        <f>VLOOKUP(Rapid[[#This Row],[Código]],Projeção[#All],14,FALSE)+VLOOKUP(Rapid[[#This Row],[Código]],Projeção[#All],13,FALSE)+VLOOKUP(Rapid[[#This Row],[Código]],Projeção[#All],12,FALSE)</f>
        <v>0</v>
      </c>
      <c r="V199" s="24">
        <f>IFERROR(VLOOKUP(Rapid[[#This Row],[Código]],Venda_3meses[],2,FALSE),0)</f>
        <v>0</v>
      </c>
      <c r="W199" s="44" t="str">
        <f>IFERROR(Rapid[[#This Row],[V. 3 meses]]/Rapid[[#This Row],[Proj. de V. 3 meses]],"")</f>
        <v/>
      </c>
      <c r="X199" s="43">
        <f>VLOOKUP(Rapid[[#This Row],[Código]],Projeção[#All],14,FALSE)+VLOOKUP(Rapid[[#This Row],[Código]],Projeção[#All],13,FALSE)+VLOOKUP(Rapid[[#This Row],[Código]],Projeção[#All],12,FALSE)+VLOOKUP(Rapid[[#This Row],[Código]],Projeção[#All],11,FALSE)+VLOOKUP(Rapid[[#This Row],[Código]],Projeção[#All],10,FALSE)+VLOOKUP(Rapid[[#This Row],[Código]],Projeção[#All],9,FALSE)+VLOOKUP(Rapid[[#This Row],[Código]],Projeção[#All],8,FALSE)+VLOOKUP(Rapid[[#This Row],[Código]],Projeção[#All],7,FALSE)+VLOOKUP(Rapid[[#This Row],[Código]],Projeção[#All],6,FALSE)+VLOOKUP(Rapid[[#This Row],[Código]],Projeção[#All],5,FALSE)+VLOOKUP(Rapid[[#This Row],[Código]],Projeção[#All],4,FALSE)+VLOOKUP(Rapid[[#This Row],[Código]],Projeção[#All],3,FALSE)</f>
        <v>0</v>
      </c>
      <c r="Y199" s="24">
        <f>IFERROR(VLOOKUP(Rapid[[#This Row],[Código]],Venda_12meses[],2,FALSE),0)</f>
        <v>0</v>
      </c>
      <c r="Z199" s="44" t="str">
        <f>IFERROR(Rapid[[#This Row],[V. 12 meses]]/Rapid[[#This Row],[Proj. de V. 12 meses]],"")</f>
        <v/>
      </c>
      <c r="AA199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3:R5"/>
    <mergeCell ref="S3:S5"/>
    <mergeCell ref="T3:T5"/>
    <mergeCell ref="Z3:Z5"/>
    <mergeCell ref="O1:O5"/>
    <mergeCell ref="P1:P5"/>
    <mergeCell ref="U1:W2"/>
    <mergeCell ref="X1:Z2"/>
    <mergeCell ref="U3:U5"/>
    <mergeCell ref="V3:V5"/>
    <mergeCell ref="W3:W5"/>
    <mergeCell ref="X3:X5"/>
    <mergeCell ref="Y3:Y5"/>
    <mergeCell ref="R1:T1"/>
    <mergeCell ref="R2:T2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D7018F3-4C02-4819-B24B-7B9642E70452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T7:T199 W7:W199 Z7:Z199</xm:sqref>
        </x14:conditionalFormatting>
        <x14:conditionalFormatting xmlns:xm="http://schemas.microsoft.com/office/excel/2006/main">
          <x14:cfRule type="iconSet" priority="1" id="{EBF4F2ED-A7D1-4E0A-BD17-26519F4D30C7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P7:P199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A110"/>
  <sheetViews>
    <sheetView zoomScale="70" zoomScaleNormal="70" workbookViewId="0">
      <pane ySplit="6" topLeftCell="A37" activePane="bottomLeft" state="frozen"/>
      <selection pane="bottomLeft" activeCell="AE46" sqref="AE46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15.42578125" bestFit="1" customWidth="1"/>
    <col min="4" max="4" width="69.7109375" customWidth="1"/>
    <col min="5" max="5" width="15.7109375" bestFit="1" customWidth="1"/>
    <col min="6" max="6" width="24.5703125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hidden="1" customWidth="1"/>
    <col min="12" max="12" width="14.85546875" bestFit="1" customWidth="1"/>
    <col min="13" max="13" width="16.5703125" hidden="1" customWidth="1"/>
    <col min="14" max="14" width="15.42578125" hidden="1" customWidth="1"/>
    <col min="15" max="15" width="14.85546875" hidden="1" customWidth="1"/>
    <col min="16" max="16" width="17.140625" hidden="1" customWidth="1"/>
    <col min="17" max="17" width="9.28515625" style="78" hidden="1" customWidth="1"/>
    <col min="18" max="26" width="9.7109375" hidden="1" customWidth="1"/>
    <col min="27" max="27" width="66.85546875" hidden="1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22" t="str">
        <f>VLOOKUP(Rapid_Componente[[#This Row],[Código]],BD_Produto[#All],7,FALSE)</f>
        <v>Componente</v>
      </c>
      <c r="B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" s="23">
        <v>33060414640</v>
      </c>
      <c r="D7" s="22" t="s">
        <v>227</v>
      </c>
      <c r="E7" s="22" t="str">
        <f>VLOOKUP(Rapid_Componente[[#This Row],[Código]],BD_Produto[],3,FALSE)</f>
        <v>Componentes</v>
      </c>
      <c r="F7" s="22" t="str">
        <f>VLOOKUP(Rapid_Componente[[#This Row],[Código]],BD_Produto[],4,FALSE)</f>
        <v>Grampeador Eletrico</v>
      </c>
      <c r="G7" s="24"/>
      <c r="H7" s="25"/>
      <c r="J7" s="24"/>
      <c r="K7" s="24" t="str">
        <f>IFERROR(VLOOKUP(Rapid_Componente[[#This Row],[Código]],Importação!P:R,3,FALSE),"")</f>
        <v/>
      </c>
      <c r="L7" s="24">
        <f>IFERROR(VLOOKUP(Rapid_Componente[[#This Row],[Código]],Saldo[],3,FALSE),0)</f>
        <v>0</v>
      </c>
      <c r="M7" s="24">
        <f>SUM(Rapid_Componente[[#This Row],[Produção]:[Estoque]])</f>
        <v>0</v>
      </c>
      <c r="N7" s="24">
        <f>IFERROR(Rapid_Componente[[#This Row],[Estoque+Importação]]/Rapid_Componente[[#This Row],[Proj. de V. No prox. mes]],"Sem Projeção")</f>
        <v>0</v>
      </c>
      <c r="O7" s="24">
        <f>IF(OR(Rapid_Componente[[#This Row],[Status]]="Em Linha",Rapid_Componente[[#This Row],[Status]]="Componente",Rapid_Componente[[#This Row],[Status]]="Materia Prima"),Rapid_Componente[[#This Row],[Proj. de V. No prox. mes]]*10,"-")</f>
        <v>9</v>
      </c>
      <c r="P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9</v>
      </c>
      <c r="Q7" s="83">
        <f>VLOOKUP(Rapid_Componente[[#This Row],[Código]],Projeção[#All],15,FALSE)</f>
        <v>0.89999999999999991</v>
      </c>
      <c r="R7" s="43">
        <f>VLOOKUP(Rapid_Componente[[#This Row],[Código]],Projeção[#All],14,FALSE)</f>
        <v>0.16666666666666666</v>
      </c>
      <c r="S7" s="39">
        <f>IFERROR(VLOOKUP(Rapid_Componente[[#This Row],[Código]],Venda_mes[],2,FALSE),0)</f>
        <v>3</v>
      </c>
      <c r="T7" s="44">
        <f>IFERROR(Rapid_Componente[[#This Row],[V. No mes]]/Rapid_Componente[[#This Row],[Proj. de V. No mes]],"")</f>
        <v>18</v>
      </c>
      <c r="U7" s="43">
        <f>VLOOKUP(Rapid_Componente[[#This Row],[Código]],Projeção[#All],14,FALSE)+VLOOKUP(Rapid_Componente[[#This Row],[Código]],Projeção[#All],13,FALSE)+VLOOKUP(Rapid_Componente[[#This Row],[Código]],Projeção[#All],12,FALSE)</f>
        <v>0.5</v>
      </c>
      <c r="V7" s="39">
        <f>IFERROR(VLOOKUP(Rapid_Componente[[#This Row],[Código]],Venda_3meses[],2,FALSE),0)</f>
        <v>3</v>
      </c>
      <c r="W7" s="44">
        <f>IFERROR(Rapid_Componente[[#This Row],[V. 3 meses]]/Rapid_Componente[[#This Row],[Proj. de V. 3 meses]],"")</f>
        <v>6</v>
      </c>
      <c r="X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6.8333333333333339</v>
      </c>
      <c r="Y7" s="39">
        <f>IFERROR(VLOOKUP(Rapid_Componente[[#This Row],[Código]],Venda_12meses[],2,FALSE),0)</f>
        <v>5</v>
      </c>
      <c r="Z7" s="44">
        <f>IFERROR(Rapid_Componente[[#This Row],[V. 12 meses]]/Rapid_Componente[[#This Row],[Proj. de V. 12 meses]],"")</f>
        <v>0.73170731707317072</v>
      </c>
      <c r="AA7" s="22">
        <v>10842312</v>
      </c>
    </row>
    <row r="8" spans="1:27" x14ac:dyDescent="0.25">
      <c r="A8" s="22" t="str">
        <f>VLOOKUP(Rapid_Componente[[#This Row],[Código]],BD_Produto[#All],7,FALSE)</f>
        <v>Componente</v>
      </c>
      <c r="B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" s="23">
        <v>33060464908</v>
      </c>
      <c r="D8" s="22" t="s">
        <v>949</v>
      </c>
      <c r="E8" s="22" t="str">
        <f>VLOOKUP(Rapid_Componente[[#This Row],[Código]],BD_Produto[],3,FALSE)</f>
        <v>Componentes</v>
      </c>
      <c r="F8" s="22" t="str">
        <f>VLOOKUP(Rapid_Componente[[#This Row],[Código]],BD_Produto[],4,FALSE)</f>
        <v>Grampeador Eletrico</v>
      </c>
      <c r="G8" s="24"/>
      <c r="H8" s="25"/>
      <c r="I8" s="22"/>
      <c r="J8" s="24"/>
      <c r="K8" s="24" t="str">
        <f>IFERROR(VLOOKUP(Rapid_Componente[[#This Row],[Código]],Importação!P:R,3,FALSE),"")</f>
        <v/>
      </c>
      <c r="L8" s="24">
        <f>IFERROR(VLOOKUP(Rapid_Componente[[#This Row],[Código]],Saldo[],3,FALSE),0)</f>
        <v>0</v>
      </c>
      <c r="M8" s="24">
        <f>SUM(Rapid_Componente[[#This Row],[Produção]:[Estoque]])</f>
        <v>0</v>
      </c>
      <c r="N8" s="24">
        <f>IFERROR(Rapid_Componente[[#This Row],[Estoque+Importação]]/Rapid_Componente[[#This Row],[Proj. de V. No prox. mes]],"Sem Projeção")</f>
        <v>0</v>
      </c>
      <c r="O8" s="24">
        <f>IF(OR(Rapid_Componente[[#This Row],[Status]]="Em Linha",Rapid_Componente[[#This Row],[Status]]="Componente",Rapid_Componente[[#This Row],[Status]]="Materia Prima"),Rapid_Componente[[#This Row],[Proj. de V. No prox. mes]]*10,"-")</f>
        <v>7.0000000000000009</v>
      </c>
      <c r="P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7.0000000000000009</v>
      </c>
      <c r="Q8" s="83">
        <f>VLOOKUP(Rapid_Componente[[#This Row],[Código]],Projeção[#All],15,FALSE)</f>
        <v>0.70000000000000007</v>
      </c>
      <c r="R8" s="43">
        <f>VLOOKUP(Rapid_Componente[[#This Row],[Código]],Projeção[#All],14,FALSE)</f>
        <v>9.9999999999999992E-2</v>
      </c>
      <c r="S8" s="39">
        <f>IFERROR(VLOOKUP(Rapid_Componente[[#This Row],[Código]],Venda_mes[],2,FALSE),0)</f>
        <v>3</v>
      </c>
      <c r="T8" s="44">
        <f>IFERROR(Rapid_Componente[[#This Row],[V. No mes]]/Rapid_Componente[[#This Row],[Proj. de V. No mes]],"")</f>
        <v>30.000000000000004</v>
      </c>
      <c r="U8" s="43">
        <f>VLOOKUP(Rapid_Componente[[#This Row],[Código]],Projeção[#All],14,FALSE)+VLOOKUP(Rapid_Componente[[#This Row],[Código]],Projeção[#All],13,FALSE)+VLOOKUP(Rapid_Componente[[#This Row],[Código]],Projeção[#All],12,FALSE)</f>
        <v>0.49999999999999994</v>
      </c>
      <c r="V8" s="39">
        <f>IFERROR(VLOOKUP(Rapid_Componente[[#This Row],[Código]],Venda_3meses[],2,FALSE),0)</f>
        <v>3</v>
      </c>
      <c r="W8" s="44">
        <f>IFERROR(Rapid_Componente[[#This Row],[V. 3 meses]]/Rapid_Componente[[#This Row],[Proj. de V. 3 meses]],"")</f>
        <v>6.0000000000000009</v>
      </c>
      <c r="X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5.7000000000000011</v>
      </c>
      <c r="Y8" s="39">
        <f>IFERROR(VLOOKUP(Rapid_Componente[[#This Row],[Código]],Venda_12meses[],2,FALSE),0)</f>
        <v>3</v>
      </c>
      <c r="Z8" s="44">
        <f>IFERROR(Rapid_Componente[[#This Row],[V. 12 meses]]/Rapid_Componente[[#This Row],[Proj. de V. 12 meses]],"")</f>
        <v>0.52631578947368407</v>
      </c>
      <c r="AA8" s="22"/>
    </row>
    <row r="9" spans="1:27" x14ac:dyDescent="0.25">
      <c r="A9" s="22" t="str">
        <f>VLOOKUP(Rapid_Componente[[#This Row],[Código]],BD_Produto[#All],7,FALSE)</f>
        <v>Componente</v>
      </c>
      <c r="B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" s="23">
        <v>33070414530</v>
      </c>
      <c r="D9" s="22" t="s">
        <v>527</v>
      </c>
      <c r="E9" s="22" t="str">
        <f>VLOOKUP(Rapid_Componente[[#This Row],[Código]],BD_Produto[],3,FALSE)</f>
        <v>Componentes</v>
      </c>
      <c r="F9" s="22" t="str">
        <f>VLOOKUP(Rapid_Componente[[#This Row],[Código]],BD_Produto[],4,FALSE)</f>
        <v>Grampeador Pistola</v>
      </c>
      <c r="G9" s="24"/>
      <c r="H9" s="25"/>
      <c r="I9" s="22"/>
      <c r="J9" s="24"/>
      <c r="K9" s="24" t="str">
        <f>IFERROR(VLOOKUP(Rapid_Componente[[#This Row],[Código]],Importação!P:R,3,FALSE),"")</f>
        <v/>
      </c>
      <c r="L9" s="24">
        <f>IFERROR(VLOOKUP(Rapid_Componente[[#This Row],[Código]],Saldo[],3,FALSE),0)</f>
        <v>35</v>
      </c>
      <c r="M9" s="24">
        <f>SUM(Rapid_Componente[[#This Row],[Produção]:[Estoque]])</f>
        <v>35</v>
      </c>
      <c r="N9" s="24">
        <f>IFERROR(Rapid_Componente[[#This Row],[Estoque+Importação]]/Rapid_Componente[[#This Row],[Proj. de V. No prox. mes]],"Sem Projeção")</f>
        <v>7.3426573426573416</v>
      </c>
      <c r="O9" s="24">
        <f>IF(OR(Rapid_Componente[[#This Row],[Status]]="Em Linha",Rapid_Componente[[#This Row],[Status]]="Componente",Rapid_Componente[[#This Row],[Status]]="Materia Prima"),Rapid_Componente[[#This Row],[Proj. de V. No prox. mes]]*10,"-")</f>
        <v>47.666666666666671</v>
      </c>
      <c r="P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12.666666666666671</v>
      </c>
      <c r="Q9" s="83">
        <f>VLOOKUP(Rapid_Componente[[#This Row],[Código]],Projeção[#All],15,FALSE)</f>
        <v>4.7666666666666675</v>
      </c>
      <c r="R9" s="43">
        <f>VLOOKUP(Rapid_Componente[[#This Row],[Código]],Projeção[#All],14,FALSE)</f>
        <v>4.333333333333333</v>
      </c>
      <c r="S9" s="39">
        <f>IFERROR(VLOOKUP(Rapid_Componente[[#This Row],[Código]],Venda_mes[],2,FALSE),0)</f>
        <v>0</v>
      </c>
      <c r="T9" s="44">
        <f>IFERROR(Rapid_Componente[[#This Row],[V. No mes]]/Rapid_Componente[[#This Row],[Proj. de V. No mes]],"")</f>
        <v>0</v>
      </c>
      <c r="U9" s="43">
        <f>VLOOKUP(Rapid_Componente[[#This Row],[Código]],Projeção[#All],14,FALSE)+VLOOKUP(Rapid_Componente[[#This Row],[Código]],Projeção[#All],13,FALSE)+VLOOKUP(Rapid_Componente[[#This Row],[Código]],Projeção[#All],12,FALSE)</f>
        <v>20</v>
      </c>
      <c r="V9" s="39">
        <f>IFERROR(VLOOKUP(Rapid_Componente[[#This Row],[Código]],Venda_3meses[],2,FALSE),0)</f>
        <v>4</v>
      </c>
      <c r="W9" s="44">
        <f>IFERROR(Rapid_Componente[[#This Row],[V. 3 meses]]/Rapid_Componente[[#This Row],[Proj. de V. 3 meses]],"")</f>
        <v>0.2</v>
      </c>
      <c r="X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77.666666666666671</v>
      </c>
      <c r="Y9" s="39">
        <f>IFERROR(VLOOKUP(Rapid_Componente[[#This Row],[Código]],Venda_12meses[],2,FALSE),0)</f>
        <v>59</v>
      </c>
      <c r="Z9" s="44">
        <f>IFERROR(Rapid_Componente[[#This Row],[V. 12 meses]]/Rapid_Componente[[#This Row],[Proj. de V. 12 meses]],"")</f>
        <v>0.75965665236051494</v>
      </c>
      <c r="AA9" s="22">
        <v>124446</v>
      </c>
    </row>
    <row r="10" spans="1:27" x14ac:dyDescent="0.25">
      <c r="A10" s="22" t="str">
        <f>VLOOKUP(Rapid_Componente[[#This Row],[Código]],BD_Produto[#All],7,FALSE)</f>
        <v>Componente</v>
      </c>
      <c r="B1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" s="23">
        <v>33060414641</v>
      </c>
      <c r="D10" s="22" t="s">
        <v>228</v>
      </c>
      <c r="E10" s="22" t="str">
        <f>VLOOKUP(Rapid_Componente[[#This Row],[Código]],BD_Produto[],3,FALSE)</f>
        <v>Componentes</v>
      </c>
      <c r="F10" s="22" t="str">
        <f>VLOOKUP(Rapid_Componente[[#This Row],[Código]],BD_Produto[],4,FALSE)</f>
        <v>Grampeador Eletrico</v>
      </c>
      <c r="G10" s="24"/>
      <c r="H10" s="25"/>
      <c r="I10" s="22"/>
      <c r="J10" s="24"/>
      <c r="K10" s="24" t="str">
        <f>IFERROR(VLOOKUP(Rapid_Componente[[#This Row],[Código]],Importação!P:R,3,FALSE),"")</f>
        <v/>
      </c>
      <c r="L10" s="24">
        <f>IFERROR(VLOOKUP(Rapid_Componente[[#This Row],[Código]],Saldo[],3,FALSE),0)</f>
        <v>0</v>
      </c>
      <c r="M10" s="24">
        <f>SUM(Rapid_Componente[[#This Row],[Produção]:[Estoque]])</f>
        <v>0</v>
      </c>
      <c r="N10" s="24">
        <f>IFERROR(Rapid_Componente[[#This Row],[Estoque+Importação]]/Rapid_Componente[[#This Row],[Proj. de V. No prox. mes]],"Sem Projeção")</f>
        <v>0</v>
      </c>
      <c r="O10" s="24">
        <f>IF(OR(Rapid_Componente[[#This Row],[Status]]="Em Linha",Rapid_Componente[[#This Row],[Status]]="Componente",Rapid_Componente[[#This Row],[Status]]="Materia Prima"),Rapid_Componente[[#This Row],[Proj. de V. No prox. mes]]*10,"-")</f>
        <v>37</v>
      </c>
      <c r="P1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37</v>
      </c>
      <c r="Q10" s="83">
        <f>VLOOKUP(Rapid_Componente[[#This Row],[Código]],Projeção[#All],15,FALSE)</f>
        <v>3.7</v>
      </c>
      <c r="R10" s="43">
        <f>VLOOKUP(Rapid_Componente[[#This Row],[Código]],Projeção[#All],14,FALSE)</f>
        <v>3.7</v>
      </c>
      <c r="S10" s="39">
        <f>IFERROR(VLOOKUP(Rapid_Componente[[#This Row],[Código]],Venda_mes[],2,FALSE),0)</f>
        <v>9</v>
      </c>
      <c r="T10" s="44">
        <f>IFERROR(Rapid_Componente[[#This Row],[V. No mes]]/Rapid_Componente[[#This Row],[Proj. de V. No mes]],"")</f>
        <v>2.4324324324324325</v>
      </c>
      <c r="U10" s="43">
        <f>VLOOKUP(Rapid_Componente[[#This Row],[Código]],Projeção[#All],14,FALSE)+VLOOKUP(Rapid_Componente[[#This Row],[Código]],Projeção[#All],13,FALSE)+VLOOKUP(Rapid_Componente[[#This Row],[Código]],Projeção[#All],12,FALSE)</f>
        <v>7.1333333333333329</v>
      </c>
      <c r="V10" s="39">
        <f>IFERROR(VLOOKUP(Rapid_Componente[[#This Row],[Código]],Venda_3meses[],2,FALSE),0)</f>
        <v>10</v>
      </c>
      <c r="W10" s="44">
        <f>IFERROR(Rapid_Componente[[#This Row],[V. 3 meses]]/Rapid_Componente[[#This Row],[Proj. de V. 3 meses]],"")</f>
        <v>1.4018691588785048</v>
      </c>
      <c r="X1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19.366666666666664</v>
      </c>
      <c r="Y10" s="39">
        <f>IFERROR(VLOOKUP(Rapid_Componente[[#This Row],[Código]],Venda_12meses[],2,FALSE),0)</f>
        <v>35</v>
      </c>
      <c r="Z10" s="44">
        <f>IFERROR(Rapid_Componente[[#This Row],[V. 12 meses]]/Rapid_Componente[[#This Row],[Proj. de V. 12 meses]],"")</f>
        <v>1.8072289156626509</v>
      </c>
      <c r="AA10" s="22">
        <v>10841512</v>
      </c>
    </row>
    <row r="11" spans="1:27" x14ac:dyDescent="0.25">
      <c r="A11" s="22" t="str">
        <f>VLOOKUP(Rapid_Componente[[#This Row],[Código]],BD_Produto[#All],7,FALSE)</f>
        <v>Componente</v>
      </c>
      <c r="B1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1" s="23">
        <v>33060454137</v>
      </c>
      <c r="D11" s="22" t="s">
        <v>289</v>
      </c>
      <c r="E11" s="22" t="str">
        <f>VLOOKUP(Rapid_Componente[[#This Row],[Código]],BD_Produto[],3,FALSE)</f>
        <v>Componentes</v>
      </c>
      <c r="F11" s="22" t="str">
        <f>VLOOKUP(Rapid_Componente[[#This Row],[Código]],BD_Produto[],4,FALSE)</f>
        <v>Grampeador Eletrico</v>
      </c>
      <c r="G11" s="24"/>
      <c r="H11" s="25"/>
      <c r="I11" s="22"/>
      <c r="J11" s="24"/>
      <c r="K11" s="24" t="str">
        <f>IFERROR(VLOOKUP(Rapid_Componente[[#This Row],[Código]],Importação!P:R,3,FALSE),"")</f>
        <v/>
      </c>
      <c r="L11" s="24">
        <f>IFERROR(VLOOKUP(Rapid_Componente[[#This Row],[Código]],Saldo[],3,FALSE),0)</f>
        <v>0</v>
      </c>
      <c r="M11" s="24">
        <f>SUM(Rapid_Componente[[#This Row],[Produção]:[Estoque]])</f>
        <v>0</v>
      </c>
      <c r="N11" s="24">
        <f>IFERROR(Rapid_Componente[[#This Row],[Estoque+Importação]]/Rapid_Componente[[#This Row],[Proj. de V. No prox. mes]],"Sem Projeção")</f>
        <v>0</v>
      </c>
      <c r="O11" s="24">
        <f>IF(OR(Rapid_Componente[[#This Row],[Status]]="Em Linha",Rapid_Componente[[#This Row],[Status]]="Componente",Rapid_Componente[[#This Row],[Status]]="Materia Prima"),Rapid_Componente[[#This Row],[Proj. de V. No prox. mes]]*10,"-")</f>
        <v>17</v>
      </c>
      <c r="P1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17</v>
      </c>
      <c r="Q11" s="75">
        <f>VLOOKUP(Rapid_Componente[[#This Row],[Código]],Projeção[#All],15,FALSE)</f>
        <v>1.7</v>
      </c>
      <c r="R11" s="39">
        <f>VLOOKUP(Rapid_Componente[[#This Row],[Código]],Projeção[#All],14,FALSE)</f>
        <v>1.5666666666666667</v>
      </c>
      <c r="S11" s="39">
        <f>IFERROR(VLOOKUP(Rapid_Componente[[#This Row],[Código]],Venda_mes[],2,FALSE),0)</f>
        <v>3</v>
      </c>
      <c r="T11" s="44">
        <f>IFERROR(Rapid_Componente[[#This Row],[V. No mes]]/Rapid_Componente[[#This Row],[Proj. de V. No mes]],"")</f>
        <v>1.9148936170212767</v>
      </c>
      <c r="U11" s="43">
        <f>VLOOKUP(Rapid_Componente[[#This Row],[Código]],Projeção[#All],14,FALSE)+VLOOKUP(Rapid_Componente[[#This Row],[Código]],Projeção[#All],13,FALSE)+VLOOKUP(Rapid_Componente[[#This Row],[Código]],Projeção[#All],12,FALSE)</f>
        <v>3.6</v>
      </c>
      <c r="V11" s="39">
        <f>IFERROR(VLOOKUP(Rapid_Componente[[#This Row],[Código]],Venda_3meses[],2,FALSE),0)</f>
        <v>6</v>
      </c>
      <c r="W11" s="44">
        <f>IFERROR(Rapid_Componente[[#This Row],[V. 3 meses]]/Rapid_Componente[[#This Row],[Proj. de V. 3 meses]],"")</f>
        <v>1.6666666666666665</v>
      </c>
      <c r="X1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10.433333333333334</v>
      </c>
      <c r="Y11" s="39">
        <f>IFERROR(VLOOKUP(Rapid_Componente[[#This Row],[Código]],Venda_12meses[],2,FALSE),0)</f>
        <v>13</v>
      </c>
      <c r="Z11" s="44">
        <f>IFERROR(Rapid_Componente[[#This Row],[V. 12 meses]]/Rapid_Componente[[#This Row],[Proj. de V. 12 meses]],"")</f>
        <v>1.2460063897763578</v>
      </c>
      <c r="AA11" s="22">
        <v>209326</v>
      </c>
    </row>
    <row r="12" spans="1:27" x14ac:dyDescent="0.25">
      <c r="A12" s="22" t="str">
        <f>VLOOKUP(Rapid_Componente[[#This Row],[Código]],BD_Produto[#All],7,FALSE)</f>
        <v>Componente</v>
      </c>
      <c r="B1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2" s="23">
        <v>33060424468</v>
      </c>
      <c r="D12" s="22" t="s">
        <v>258</v>
      </c>
      <c r="E12" s="22" t="str">
        <f>VLOOKUP(Rapid_Componente[[#This Row],[Código]],BD_Produto[],3,FALSE)</f>
        <v>Componentes</v>
      </c>
      <c r="F12" s="22" t="str">
        <f>VLOOKUP(Rapid_Componente[[#This Row],[Código]],BD_Produto[],4,FALSE)</f>
        <v>Grampeador Heavy Duty</v>
      </c>
      <c r="G12" s="24"/>
      <c r="H12" s="25"/>
      <c r="I12" s="22"/>
      <c r="J12" s="24"/>
      <c r="K12" s="24" t="str">
        <f>IFERROR(VLOOKUP(Rapid_Componente[[#This Row],[Código]],Importação!P:R,3,FALSE),"")</f>
        <v/>
      </c>
      <c r="L12" s="24">
        <f>IFERROR(VLOOKUP(Rapid_Componente[[#This Row],[Código]],Saldo[],3,FALSE),0)</f>
        <v>53</v>
      </c>
      <c r="M12" s="24">
        <f>SUM(Rapid_Componente[[#This Row],[Produção]:[Estoque]])</f>
        <v>53</v>
      </c>
      <c r="N12" s="24">
        <f>IFERROR(Rapid_Componente[[#This Row],[Estoque+Importação]]/Rapid_Componente[[#This Row],[Proj. de V. No prox. mes]],"Sem Projeção")</f>
        <v>132.5</v>
      </c>
      <c r="O12" s="24">
        <f>IF(OR(Rapid_Componente[[#This Row],[Status]]="Em Linha",Rapid_Componente[[#This Row],[Status]]="Componente",Rapid_Componente[[#This Row],[Status]]="Materia Prima"),Rapid_Componente[[#This Row],[Proj. de V. No prox. mes]]*10,"-")</f>
        <v>3.9999999999999996</v>
      </c>
      <c r="P1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-49</v>
      </c>
      <c r="Q12" s="75">
        <f>VLOOKUP(Rapid_Componente[[#This Row],[Código]],Projeção[#All],15,FALSE)</f>
        <v>0.39999999999999997</v>
      </c>
      <c r="R12" s="39">
        <f>VLOOKUP(Rapid_Componente[[#This Row],[Código]],Projeção[#All],14,FALSE)</f>
        <v>2.5333333333333332</v>
      </c>
      <c r="S12" s="39">
        <f>IFERROR(VLOOKUP(Rapid_Componente[[#This Row],[Código]],Venda_mes[],2,FALSE),0)</f>
        <v>0</v>
      </c>
      <c r="T12" s="44">
        <f>IFERROR(Rapid_Componente[[#This Row],[V. No mes]]/Rapid_Componente[[#This Row],[Proj. de V. No mes]],"")</f>
        <v>0</v>
      </c>
      <c r="U12" s="43">
        <f>VLOOKUP(Rapid_Componente[[#This Row],[Código]],Projeção[#All],14,FALSE)+VLOOKUP(Rapid_Componente[[#This Row],[Código]],Projeção[#All],13,FALSE)+VLOOKUP(Rapid_Componente[[#This Row],[Código]],Projeção[#All],12,FALSE)</f>
        <v>5.666666666666667</v>
      </c>
      <c r="V12" s="39">
        <f>IFERROR(VLOOKUP(Rapid_Componente[[#This Row],[Código]],Venda_3meses[],2,FALSE),0)</f>
        <v>0</v>
      </c>
      <c r="W12" s="44">
        <f>IFERROR(Rapid_Componente[[#This Row],[V. 3 meses]]/Rapid_Componente[[#This Row],[Proj. de V. 3 meses]],"")</f>
        <v>0</v>
      </c>
      <c r="X1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8.1666666666666661</v>
      </c>
      <c r="Y12" s="39">
        <f>IFERROR(VLOOKUP(Rapid_Componente[[#This Row],[Código]],Venda_12meses[],2,FALSE),0)</f>
        <v>12</v>
      </c>
      <c r="Z12" s="44">
        <f>IFERROR(Rapid_Componente[[#This Row],[V. 12 meses]]/Rapid_Componente[[#This Row],[Proj. de V. 12 meses]],"")</f>
        <v>1.4693877551020409</v>
      </c>
      <c r="AA12" s="22">
        <v>147033</v>
      </c>
    </row>
    <row r="13" spans="1:27" x14ac:dyDescent="0.25">
      <c r="A13" s="22" t="str">
        <f>VLOOKUP(Rapid_Componente[[#This Row],[Código]],BD_Produto[#All],7,FALSE)</f>
        <v>Componente</v>
      </c>
      <c r="B1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3" s="23">
        <v>33060461187</v>
      </c>
      <c r="D13" s="22" t="s">
        <v>1150</v>
      </c>
      <c r="E13" s="22" t="str">
        <f>VLOOKUP(Rapid_Componente[[#This Row],[Código]],BD_Produto[],3,FALSE)</f>
        <v>Componentes</v>
      </c>
      <c r="F13" s="22" t="str">
        <f>VLOOKUP(Rapid_Componente[[#This Row],[Código]],BD_Produto[],4,FALSE)</f>
        <v>Grampeador Eletrico</v>
      </c>
      <c r="G13" s="24"/>
      <c r="H13" s="25"/>
      <c r="I13" s="22"/>
      <c r="J13" s="24"/>
      <c r="K13" s="24" t="str">
        <f>IFERROR(VLOOKUP(Rapid_Componente[[#This Row],[Código]],Importação!P:R,3,FALSE),"")</f>
        <v/>
      </c>
      <c r="L13" s="24">
        <f>IFERROR(VLOOKUP(Rapid_Componente[[#This Row],[Código]],Saldo[],3,FALSE),0)</f>
        <v>43</v>
      </c>
      <c r="M13" s="24">
        <f>SUM(Rapid_Componente[[#This Row],[Produção]:[Estoque]])</f>
        <v>43</v>
      </c>
      <c r="N13" s="24">
        <f>IFERROR(Rapid_Componente[[#This Row],[Estoque+Importação]]/Rapid_Componente[[#This Row],[Proj. de V. No prox. mes]],"Sem Projeção")</f>
        <v>12.899999999999999</v>
      </c>
      <c r="O13" s="24">
        <f>IF(OR(Rapid_Componente[[#This Row],[Status]]="Em Linha",Rapid_Componente[[#This Row],[Status]]="Componente",Rapid_Componente[[#This Row],[Status]]="Materia Prima"),Rapid_Componente[[#This Row],[Proj. de V. No prox. mes]]*10,"-")</f>
        <v>33.333333333333336</v>
      </c>
      <c r="P1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-9.6666666666666643</v>
      </c>
      <c r="Q13" s="75">
        <f>VLOOKUP(Rapid_Componente[[#This Row],[Código]],Projeção[#All],15,FALSE)</f>
        <v>3.3333333333333335</v>
      </c>
      <c r="R13" s="39">
        <f>VLOOKUP(Rapid_Componente[[#This Row],[Código]],Projeção[#All],14,FALSE)</f>
        <v>3.1333333333333333</v>
      </c>
      <c r="S13" s="39">
        <f>IFERROR(VLOOKUP(Rapid_Componente[[#This Row],[Código]],Venda_mes[],2,FALSE),0)</f>
        <v>4</v>
      </c>
      <c r="T13" s="44">
        <f>IFERROR(Rapid_Componente[[#This Row],[V. No mes]]/Rapid_Componente[[#This Row],[Proj. de V. No mes]],"")</f>
        <v>1.2765957446808511</v>
      </c>
      <c r="U13" s="43">
        <f>VLOOKUP(Rapid_Componente[[#This Row],[Código]],Projeção[#All],14,FALSE)+VLOOKUP(Rapid_Componente[[#This Row],[Código]],Projeção[#All],13,FALSE)+VLOOKUP(Rapid_Componente[[#This Row],[Código]],Projeção[#All],12,FALSE)</f>
        <v>8.1666666666666661</v>
      </c>
      <c r="V13" s="39">
        <f>IFERROR(VLOOKUP(Rapid_Componente[[#This Row],[Código]],Venda_3meses[],2,FALSE),0)</f>
        <v>10</v>
      </c>
      <c r="W13" s="44">
        <f>IFERROR(Rapid_Componente[[#This Row],[V. 3 meses]]/Rapid_Componente[[#This Row],[Proj. de V. 3 meses]],"")</f>
        <v>1.2244897959183674</v>
      </c>
      <c r="X1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17</v>
      </c>
      <c r="Y13" s="39">
        <f>IFERROR(VLOOKUP(Rapid_Componente[[#This Row],[Código]],Venda_12meses[],2,FALSE),0)</f>
        <v>28</v>
      </c>
      <c r="Z13" s="44">
        <f>IFERROR(Rapid_Componente[[#This Row],[V. 12 meses]]/Rapid_Componente[[#This Row],[Proj. de V. 12 meses]],"")</f>
        <v>1.6470588235294117</v>
      </c>
      <c r="AA13" s="22"/>
    </row>
    <row r="14" spans="1:27" x14ac:dyDescent="0.25">
      <c r="A14" s="22" t="str">
        <f>VLOOKUP(Rapid_Componente[[#This Row],[Código]],BD_Produto[#All],7,FALSE)</f>
        <v>Componente</v>
      </c>
      <c r="B1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4" s="23">
        <v>33060414695</v>
      </c>
      <c r="D14" s="22" t="s">
        <v>964</v>
      </c>
      <c r="E14" s="22" t="str">
        <f>VLOOKUP(Rapid_Componente[[#This Row],[Código]],BD_Produto[],3,FALSE)</f>
        <v>Componentes</v>
      </c>
      <c r="F14" s="22" t="str">
        <f>VLOOKUP(Rapid_Componente[[#This Row],[Código]],BD_Produto[],4,FALSE)</f>
        <v>Grampeador Eletrico</v>
      </c>
      <c r="G14" s="24"/>
      <c r="H14" s="25"/>
      <c r="I14" s="22"/>
      <c r="J14" s="24"/>
      <c r="K14" s="24" t="str">
        <f>IFERROR(VLOOKUP(Rapid_Componente[[#This Row],[Código]],Importação!P:R,3,FALSE),"")</f>
        <v/>
      </c>
      <c r="L14" s="24">
        <f>IFERROR(VLOOKUP(Rapid_Componente[[#This Row],[Código]],Saldo[],3,FALSE),0)</f>
        <v>9</v>
      </c>
      <c r="M14" s="24">
        <f>SUM(Rapid_Componente[[#This Row],[Produção]:[Estoque]])</f>
        <v>9</v>
      </c>
      <c r="N14" s="24">
        <f>IFERROR(Rapid_Componente[[#This Row],[Estoque+Importação]]/Rapid_Componente[[#This Row],[Proj. de V. No prox. mes]],"Sem Projeção")</f>
        <v>67.5</v>
      </c>
      <c r="O14" s="24">
        <f>IF(OR(Rapid_Componente[[#This Row],[Status]]="Em Linha",Rapid_Componente[[#This Row],[Status]]="Componente",Rapid_Componente[[#This Row],[Status]]="Materia Prima"),Rapid_Componente[[#This Row],[Proj. de V. No prox. mes]]*10,"-")</f>
        <v>1.3333333333333333</v>
      </c>
      <c r="P1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-7.666666666666667</v>
      </c>
      <c r="Q14" s="75">
        <f>VLOOKUP(Rapid_Componente[[#This Row],[Código]],Projeção[#All],15,FALSE)</f>
        <v>0.13333333333333333</v>
      </c>
      <c r="R14" s="39">
        <f>VLOOKUP(Rapid_Componente[[#This Row],[Código]],Projeção[#All],14,FALSE)</f>
        <v>0.23333333333333334</v>
      </c>
      <c r="S14" s="39">
        <f>IFERROR(VLOOKUP(Rapid_Componente[[#This Row],[Código]],Venda_mes[],2,FALSE),0)</f>
        <v>0</v>
      </c>
      <c r="T14" s="44">
        <f>IFERROR(Rapid_Componente[[#This Row],[V. No mes]]/Rapid_Componente[[#This Row],[Proj. de V. No mes]],"")</f>
        <v>0</v>
      </c>
      <c r="U14" s="43">
        <f>VLOOKUP(Rapid_Componente[[#This Row],[Código]],Projeção[#All],14,FALSE)+VLOOKUP(Rapid_Componente[[#This Row],[Código]],Projeção[#All],13,FALSE)+VLOOKUP(Rapid_Componente[[#This Row],[Código]],Projeção[#All],12,FALSE)</f>
        <v>0.46666666666666667</v>
      </c>
      <c r="V14" s="39">
        <f>IFERROR(VLOOKUP(Rapid_Componente[[#This Row],[Código]],Venda_3meses[],2,FALSE),0)</f>
        <v>0</v>
      </c>
      <c r="W14" s="44">
        <f>IFERROR(Rapid_Componente[[#This Row],[V. 3 meses]]/Rapid_Componente[[#This Row],[Proj. de V. 3 meses]],"")</f>
        <v>0</v>
      </c>
      <c r="X1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0.46666666666666667</v>
      </c>
      <c r="Y14" s="39">
        <f>IFERROR(VLOOKUP(Rapid_Componente[[#This Row],[Código]],Venda_12meses[],2,FALSE),0)</f>
        <v>2</v>
      </c>
      <c r="Z14" s="44">
        <f>IFERROR(Rapid_Componente[[#This Row],[V. 12 meses]]/Rapid_Componente[[#This Row],[Proj. de V. 12 meses]],"")</f>
        <v>4.2857142857142856</v>
      </c>
      <c r="AA14" s="22">
        <v>17910102</v>
      </c>
    </row>
    <row r="15" spans="1:27" x14ac:dyDescent="0.25">
      <c r="A15" s="22" t="str">
        <f>VLOOKUP(Rapid_Componente[[#This Row],[Código]],BD_Produto[#All],7,FALSE)</f>
        <v>Componente</v>
      </c>
      <c r="B1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5" s="23">
        <v>33060424467</v>
      </c>
      <c r="D15" s="22" t="s">
        <v>257</v>
      </c>
      <c r="E15" s="22" t="str">
        <f>VLOOKUP(Rapid_Componente[[#This Row],[Código]],BD_Produto[],3,FALSE)</f>
        <v>Componentes</v>
      </c>
      <c r="F15" s="22" t="str">
        <f>VLOOKUP(Rapid_Componente[[#This Row],[Código]],BD_Produto[],4,FALSE)</f>
        <v>Grampeador Heavy Duty</v>
      </c>
      <c r="G15" s="24">
        <v>25</v>
      </c>
      <c r="H15" s="25"/>
      <c r="I15" s="22"/>
      <c r="J15" s="24"/>
      <c r="K15" s="24" t="str">
        <f>IFERROR(VLOOKUP(Rapid_Componente[[#This Row],[Código]],Importação!P:R,3,FALSE),"")</f>
        <v/>
      </c>
      <c r="L15" s="24">
        <f>IFERROR(VLOOKUP(Rapid_Componente[[#This Row],[Código]],Saldo[],3,FALSE),0)</f>
        <v>154</v>
      </c>
      <c r="M15" s="24">
        <f>SUM(Rapid_Componente[[#This Row],[Produção]:[Estoque]])</f>
        <v>154</v>
      </c>
      <c r="N15" s="24">
        <f>IFERROR(Rapid_Componente[[#This Row],[Estoque+Importação]]/Rapid_Componente[[#This Row],[Proj. de V. No prox. mes]],"Sem Projeção")</f>
        <v>21.388888888888889</v>
      </c>
      <c r="O15" s="24">
        <f>IF(OR(Rapid_Componente[[#This Row],[Status]]="Em Linha",Rapid_Componente[[#This Row],[Status]]="Componente",Rapid_Componente[[#This Row],[Status]]="Materia Prima"),Rapid_Componente[[#This Row],[Proj. de V. No prox. mes]]*10,"-")</f>
        <v>72</v>
      </c>
      <c r="P1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-82</v>
      </c>
      <c r="Q15" s="75">
        <f>VLOOKUP(Rapid_Componente[[#This Row],[Código]],Projeção[#All],15,FALSE)</f>
        <v>7.1999999999999993</v>
      </c>
      <c r="R15" s="39">
        <f>VLOOKUP(Rapid_Componente[[#This Row],[Código]],Projeção[#All],14,FALSE)</f>
        <v>4.5999999999999988</v>
      </c>
      <c r="S15" s="39">
        <f>IFERROR(VLOOKUP(Rapid_Componente[[#This Row],[Código]],Venda_mes[],2,FALSE),0)</f>
        <v>0</v>
      </c>
      <c r="T15" s="44">
        <f>IFERROR(Rapid_Componente[[#This Row],[V. No mes]]/Rapid_Componente[[#This Row],[Proj. de V. No mes]],"")</f>
        <v>0</v>
      </c>
      <c r="U15" s="43">
        <f>VLOOKUP(Rapid_Componente[[#This Row],[Código]],Projeção[#All],14,FALSE)+VLOOKUP(Rapid_Componente[[#This Row],[Código]],Projeção[#All],13,FALSE)+VLOOKUP(Rapid_Componente[[#This Row],[Código]],Projeção[#All],12,FALSE)</f>
        <v>13.666666666666663</v>
      </c>
      <c r="V15" s="39">
        <f>IFERROR(VLOOKUP(Rapid_Componente[[#This Row],[Código]],Venda_3meses[],2,FALSE),0)</f>
        <v>20</v>
      </c>
      <c r="W15" s="44">
        <f>IFERROR(Rapid_Componente[[#This Row],[V. 3 meses]]/Rapid_Componente[[#This Row],[Proj. de V. 3 meses]],"")</f>
        <v>1.4634146341463419</v>
      </c>
      <c r="X1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44.066666666666656</v>
      </c>
      <c r="Y15" s="39">
        <f>IFERROR(VLOOKUP(Rapid_Componente[[#This Row],[Código]],Venda_12meses[],2,FALSE),0)</f>
        <v>66</v>
      </c>
      <c r="Z15" s="44">
        <f>IFERROR(Rapid_Componente[[#This Row],[V. 12 meses]]/Rapid_Componente[[#This Row],[Proj. de V. 12 meses]],"")</f>
        <v>1.4977307110438733</v>
      </c>
      <c r="AA15" s="22">
        <v>147082</v>
      </c>
    </row>
    <row r="16" spans="1:27" x14ac:dyDescent="0.25">
      <c r="A16" s="22" t="str">
        <f>VLOOKUP(Rapid_Componente[[#This Row],[Código]],BD_Produto[#All],7,FALSE)</f>
        <v>Componente</v>
      </c>
      <c r="B1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6" s="23">
        <v>33060414764</v>
      </c>
      <c r="D16" s="22" t="s">
        <v>975</v>
      </c>
      <c r="E16" s="22" t="str">
        <f>VLOOKUP(Rapid_Componente[[#This Row],[Código]],BD_Produto[],3,FALSE)</f>
        <v>Componentes</v>
      </c>
      <c r="F16" s="22" t="str">
        <f>VLOOKUP(Rapid_Componente[[#This Row],[Código]],BD_Produto[],4,FALSE)</f>
        <v>Grampeador Eletrico</v>
      </c>
      <c r="G16" s="24"/>
      <c r="H16" s="25"/>
      <c r="I16" s="22"/>
      <c r="J16" s="24"/>
      <c r="K16" s="24" t="str">
        <f>IFERROR(VLOOKUP(Rapid_Componente[[#This Row],[Código]],Importação!P:R,3,FALSE),"")</f>
        <v/>
      </c>
      <c r="L16" s="24">
        <f>IFERROR(VLOOKUP(Rapid_Componente[[#This Row],[Código]],Saldo[],3,FALSE),0)</f>
        <v>22</v>
      </c>
      <c r="M16" s="24">
        <f>SUM(Rapid_Componente[[#This Row],[Produção]:[Estoque]])</f>
        <v>22</v>
      </c>
      <c r="N16" s="24">
        <f>IFERROR(Rapid_Componente[[#This Row],[Estoque+Importação]]/Rapid_Componente[[#This Row],[Proj. de V. No prox. mes]],"Sem Projeção")</f>
        <v>660</v>
      </c>
      <c r="O16" s="24">
        <f>IF(OR(Rapid_Componente[[#This Row],[Status]]="Em Linha",Rapid_Componente[[#This Row],[Status]]="Componente",Rapid_Componente[[#This Row],[Status]]="Materia Prima"),Rapid_Componente[[#This Row],[Proj. de V. No prox. mes]]*10,"-")</f>
        <v>0.33333333333333331</v>
      </c>
      <c r="P1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-21.666666666666668</v>
      </c>
      <c r="Q16" s="75">
        <f>VLOOKUP(Rapid_Componente[[#This Row],[Código]],Projeção[#All],15,FALSE)</f>
        <v>3.3333333333333333E-2</v>
      </c>
      <c r="R16" s="39">
        <f>VLOOKUP(Rapid_Componente[[#This Row],[Código]],Projeção[#All],14,FALSE)</f>
        <v>3.3333333333333333E-2</v>
      </c>
      <c r="S16" s="39">
        <f>IFERROR(VLOOKUP(Rapid_Componente[[#This Row],[Código]],Venda_mes[],2,FALSE),0)</f>
        <v>0</v>
      </c>
      <c r="T16" s="44">
        <f>IFERROR(Rapid_Componente[[#This Row],[V. No mes]]/Rapid_Componente[[#This Row],[Proj. de V. No mes]],"")</f>
        <v>0</v>
      </c>
      <c r="U16" s="43">
        <f>VLOOKUP(Rapid_Componente[[#This Row],[Código]],Projeção[#All],14,FALSE)+VLOOKUP(Rapid_Componente[[#This Row],[Código]],Projeção[#All],13,FALSE)+VLOOKUP(Rapid_Componente[[#This Row],[Código]],Projeção[#All],12,FALSE)</f>
        <v>0.13333333333333333</v>
      </c>
      <c r="V16" s="39">
        <f>IFERROR(VLOOKUP(Rapid_Componente[[#This Row],[Código]],Venda_3meses[],2,FALSE),0)</f>
        <v>0</v>
      </c>
      <c r="W16" s="44">
        <f>IFERROR(Rapid_Componente[[#This Row],[V. 3 meses]]/Rapid_Componente[[#This Row],[Proj. de V. 3 meses]],"")</f>
        <v>0</v>
      </c>
      <c r="X1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1.7999999999999998</v>
      </c>
      <c r="Y16" s="39">
        <f>IFERROR(VLOOKUP(Rapid_Componente[[#This Row],[Código]],Venda_12meses[],2,FALSE),0)</f>
        <v>1</v>
      </c>
      <c r="Z16" s="44">
        <f>IFERROR(Rapid_Componente[[#This Row],[V. 12 meses]]/Rapid_Componente[[#This Row],[Proj. de V. 12 meses]],"")</f>
        <v>0.55555555555555558</v>
      </c>
      <c r="AA16" s="22">
        <v>142240</v>
      </c>
    </row>
    <row r="17" spans="1:27" x14ac:dyDescent="0.25">
      <c r="A17" s="22" t="str">
        <f>VLOOKUP(Rapid_Componente[[#This Row],[Código]],BD_Produto[#All],7,FALSE)</f>
        <v>Componente</v>
      </c>
      <c r="B1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7" s="23">
        <v>33060414668</v>
      </c>
      <c r="D17" s="22" t="s">
        <v>232</v>
      </c>
      <c r="E17" s="22" t="str">
        <f>VLOOKUP(Rapid_Componente[[#This Row],[Código]],BD_Produto[],3,FALSE)</f>
        <v>Componentes</v>
      </c>
      <c r="F17" s="22" t="str">
        <f>VLOOKUP(Rapid_Componente[[#This Row],[Código]],BD_Produto[],4,FALSE)</f>
        <v>Grampeador Alicate</v>
      </c>
      <c r="G17" s="24"/>
      <c r="H17" s="25"/>
      <c r="I17" s="22"/>
      <c r="J17" s="24"/>
      <c r="K17" s="24" t="str">
        <f>IFERROR(VLOOKUP(Rapid_Componente[[#This Row],[Código]],Importação!P:R,3,FALSE),"")</f>
        <v/>
      </c>
      <c r="L17" s="24">
        <f>IFERROR(VLOOKUP(Rapid_Componente[[#This Row],[Código]],Saldo[],3,FALSE),0)</f>
        <v>36</v>
      </c>
      <c r="M17" s="24">
        <f>SUM(Rapid_Componente[[#This Row],[Produção]:[Estoque]])</f>
        <v>36</v>
      </c>
      <c r="N17" s="24">
        <f>IFERROR(Rapid_Componente[[#This Row],[Estoque+Importação]]/Rapid_Componente[[#This Row],[Proj. de V. No prox. mes]],"Sem Projeção")</f>
        <v>360.00000000000006</v>
      </c>
      <c r="O17" s="24">
        <f>IF(OR(Rapid_Componente[[#This Row],[Status]]="Em Linha",Rapid_Componente[[#This Row],[Status]]="Componente",Rapid_Componente[[#This Row],[Status]]="Materia Prima"),Rapid_Componente[[#This Row],[Proj. de V. No prox. mes]]*10,"-")</f>
        <v>0.99999999999999989</v>
      </c>
      <c r="P1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-35</v>
      </c>
      <c r="Q17" s="75">
        <f>VLOOKUP(Rapid_Componente[[#This Row],[Código]],Projeção[#All],15,FALSE)</f>
        <v>9.9999999999999992E-2</v>
      </c>
      <c r="R17" s="39">
        <f>VLOOKUP(Rapid_Componente[[#This Row],[Código]],Projeção[#All],14,FALSE)</f>
        <v>0.3</v>
      </c>
      <c r="S17" s="39">
        <f>IFERROR(VLOOKUP(Rapid_Componente[[#This Row],[Código]],Venda_mes[],2,FALSE),0)</f>
        <v>0</v>
      </c>
      <c r="T17" s="44">
        <f>IFERROR(Rapid_Componente[[#This Row],[V. No mes]]/Rapid_Componente[[#This Row],[Proj. de V. No mes]],"")</f>
        <v>0</v>
      </c>
      <c r="U17" s="43">
        <f>VLOOKUP(Rapid_Componente[[#This Row],[Código]],Projeção[#All],14,FALSE)+VLOOKUP(Rapid_Componente[[#This Row],[Código]],Projeção[#All],13,FALSE)+VLOOKUP(Rapid_Componente[[#This Row],[Código]],Projeção[#All],12,FALSE)</f>
        <v>1.5</v>
      </c>
      <c r="V17" s="39">
        <f>IFERROR(VLOOKUP(Rapid_Componente[[#This Row],[Código]],Venda_3meses[],2,FALSE),0)</f>
        <v>0</v>
      </c>
      <c r="W17" s="44">
        <f>IFERROR(Rapid_Componente[[#This Row],[V. 3 meses]]/Rapid_Componente[[#This Row],[Proj. de V. 3 meses]],"")</f>
        <v>0</v>
      </c>
      <c r="X1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1.5</v>
      </c>
      <c r="Y17" s="39">
        <f>IFERROR(VLOOKUP(Rapid_Componente[[#This Row],[Código]],Venda_12meses[],2,FALSE),0)</f>
        <v>3</v>
      </c>
      <c r="Z17" s="44">
        <f>IFERROR(Rapid_Componente[[#This Row],[V. 12 meses]]/Rapid_Componente[[#This Row],[Proj. de V. 12 meses]],"")</f>
        <v>2</v>
      </c>
      <c r="AA17" s="22">
        <v>120519</v>
      </c>
    </row>
    <row r="18" spans="1:27" x14ac:dyDescent="0.25">
      <c r="A18" s="22" t="str">
        <f>VLOOKUP(Rapid_Componente[[#This Row],[Código]],BD_Produto[#All],7,FALSE)</f>
        <v>Componente</v>
      </c>
      <c r="B1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8" s="23">
        <v>33060414355</v>
      </c>
      <c r="D18" s="22" t="s">
        <v>223</v>
      </c>
      <c r="E18" s="22" t="str">
        <f>VLOOKUP(Rapid_Componente[[#This Row],[Código]],BD_Produto[],3,FALSE)</f>
        <v>Componentes</v>
      </c>
      <c r="F18" s="22" t="str">
        <f>VLOOKUP(Rapid_Componente[[#This Row],[Código]],BD_Produto[],4,FALSE)</f>
        <v>Grampeador Heavy Duty</v>
      </c>
      <c r="G18" s="24"/>
      <c r="H18" s="25"/>
      <c r="I18" s="22"/>
      <c r="J18" s="24"/>
      <c r="K18" s="24" t="str">
        <f>IFERROR(VLOOKUP(Rapid_Componente[[#This Row],[Código]],Importação!P:R,3,FALSE),"")</f>
        <v/>
      </c>
      <c r="L18" s="24">
        <f>IFERROR(VLOOKUP(Rapid_Componente[[#This Row],[Código]],Saldo[],3,FALSE),0)</f>
        <v>262</v>
      </c>
      <c r="M18" s="24">
        <f>SUM(Rapid_Componente[[#This Row],[Produção]:[Estoque]])</f>
        <v>262</v>
      </c>
      <c r="N18" s="24">
        <f>IFERROR(Rapid_Componente[[#This Row],[Estoque+Importação]]/Rapid_Componente[[#This Row],[Proj. de V. No prox. mes]],"Sem Projeção")</f>
        <v>35.405405405405403</v>
      </c>
      <c r="O18" s="24">
        <f>IF(OR(Rapid_Componente[[#This Row],[Status]]="Em Linha",Rapid_Componente[[#This Row],[Status]]="Componente",Rapid_Componente[[#This Row],[Status]]="Materia Prima"),Rapid_Componente[[#This Row],[Proj. de V. No prox. mes]]*10,"-")</f>
        <v>74</v>
      </c>
      <c r="P1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-188</v>
      </c>
      <c r="Q18" s="75">
        <f>VLOOKUP(Rapid_Componente[[#This Row],[Código]],Projeção[#All],15,FALSE)</f>
        <v>7.4</v>
      </c>
      <c r="R18" s="39">
        <f>VLOOKUP(Rapid_Componente[[#This Row],[Código]],Projeção[#All],14,FALSE)</f>
        <v>3.166666666666667</v>
      </c>
      <c r="S18" s="39">
        <f>IFERROR(VLOOKUP(Rapid_Componente[[#This Row],[Código]],Venda_mes[],2,FALSE),0)</f>
        <v>0</v>
      </c>
      <c r="T18" s="44">
        <f>IFERROR(Rapid_Componente[[#This Row],[V. No mes]]/Rapid_Componente[[#This Row],[Proj. de V. No mes]],"")</f>
        <v>0</v>
      </c>
      <c r="U18" s="43">
        <f>VLOOKUP(Rapid_Componente[[#This Row],[Código]],Projeção[#All],14,FALSE)+VLOOKUP(Rapid_Componente[[#This Row],[Código]],Projeção[#All],13,FALSE)+VLOOKUP(Rapid_Componente[[#This Row],[Código]],Projeção[#All],12,FALSE)</f>
        <v>10.233333333333334</v>
      </c>
      <c r="V18" s="39">
        <f>IFERROR(VLOOKUP(Rapid_Componente[[#This Row],[Código]],Venda_3meses[],2,FALSE),0)</f>
        <v>30</v>
      </c>
      <c r="W18" s="44">
        <f>IFERROR(Rapid_Componente[[#This Row],[V. 3 meses]]/Rapid_Componente[[#This Row],[Proj. de V. 3 meses]],"")</f>
        <v>2.9315960912052113</v>
      </c>
      <c r="X1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35.633333333333333</v>
      </c>
      <c r="Y18" s="39">
        <f>IFERROR(VLOOKUP(Rapid_Componente[[#This Row],[Código]],Venda_12meses[],2,FALSE),0)</f>
        <v>42</v>
      </c>
      <c r="Z18" s="44">
        <f>IFERROR(Rapid_Componente[[#This Row],[V. 12 meses]]/Rapid_Componente[[#This Row],[Proj. de V. 12 meses]],"")</f>
        <v>1.1786716557530403</v>
      </c>
      <c r="AA18" s="22">
        <v>121590</v>
      </c>
    </row>
    <row r="19" spans="1:27" x14ac:dyDescent="0.25">
      <c r="A19" s="22" t="str">
        <f>VLOOKUP(Rapid_Componente[[#This Row],[Código]],BD_Produto[#All],7,FALSE)</f>
        <v>Componente</v>
      </c>
      <c r="B1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9" s="23">
        <v>33060424258</v>
      </c>
      <c r="D19" s="22" t="s">
        <v>248</v>
      </c>
      <c r="E19" s="22" t="str">
        <f>VLOOKUP(Rapid_Componente[[#This Row],[Código]],BD_Produto[],3,FALSE)</f>
        <v>Componentes</v>
      </c>
      <c r="F19" s="22" t="str">
        <f>VLOOKUP(Rapid_Componente[[#This Row],[Código]],BD_Produto[],4,FALSE)</f>
        <v>Grampeador Heavy Duty</v>
      </c>
      <c r="G19" s="24"/>
      <c r="H19" s="25"/>
      <c r="I19" s="22"/>
      <c r="J19" s="24"/>
      <c r="K19" s="24" t="str">
        <f>IFERROR(VLOOKUP(Rapid_Componente[[#This Row],[Código]],Importação!P:R,3,FALSE),"")</f>
        <v/>
      </c>
      <c r="L19" s="24">
        <f>IFERROR(VLOOKUP(Rapid_Componente[[#This Row],[Código]],Saldo[],3,FALSE),0)</f>
        <v>19</v>
      </c>
      <c r="M19" s="24">
        <f>SUM(Rapid_Componente[[#This Row],[Produção]:[Estoque]])</f>
        <v>19</v>
      </c>
      <c r="N19" s="24">
        <f>IFERROR(Rapid_Componente[[#This Row],[Estoque+Importação]]/Rapid_Componente[[#This Row],[Proj. de V. No prox. mes]],"Sem Projeção")</f>
        <v>13.571428571428569</v>
      </c>
      <c r="O19" s="24">
        <f>IF(OR(Rapid_Componente[[#This Row],[Status]]="Em Linha",Rapid_Componente[[#This Row],[Status]]="Componente",Rapid_Componente[[#This Row],[Status]]="Materia Prima"),Rapid_Componente[[#This Row],[Proj. de V. No prox. mes]]*10,"-")</f>
        <v>14.000000000000002</v>
      </c>
      <c r="P1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-4.9999999999999982</v>
      </c>
      <c r="Q19" s="75">
        <f>VLOOKUP(Rapid_Componente[[#This Row],[Código]],Projeção[#All],15,FALSE)</f>
        <v>1.4000000000000001</v>
      </c>
      <c r="R19" s="39">
        <f>VLOOKUP(Rapid_Componente[[#This Row],[Código]],Projeção[#All],14,FALSE)</f>
        <v>0.13333333333333333</v>
      </c>
      <c r="S19" s="39">
        <f>IFERROR(VLOOKUP(Rapid_Componente[[#This Row],[Código]],Venda_mes[],2,FALSE),0)</f>
        <v>0</v>
      </c>
      <c r="T19" s="44">
        <f>IFERROR(Rapid_Componente[[#This Row],[V. No mes]]/Rapid_Componente[[#This Row],[Proj. de V. No mes]],"")</f>
        <v>0</v>
      </c>
      <c r="U19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19" s="39">
        <f>IFERROR(VLOOKUP(Rapid_Componente[[#This Row],[Código]],Venda_3meses[],2,FALSE),0)</f>
        <v>6</v>
      </c>
      <c r="W19" s="44">
        <f>IFERROR(Rapid_Componente[[#This Row],[V. 3 meses]]/Rapid_Componente[[#This Row],[Proj. de V. 3 meses]],"")</f>
        <v>15</v>
      </c>
      <c r="X1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6.8333333333333321</v>
      </c>
      <c r="Y19" s="39">
        <f>IFERROR(VLOOKUP(Rapid_Componente[[#This Row],[Código]],Venda_12meses[],2,FALSE),0)</f>
        <v>6</v>
      </c>
      <c r="Z19" s="44">
        <f>IFERROR(Rapid_Componente[[#This Row],[V. 12 meses]]/Rapid_Componente[[#This Row],[Proj. de V. 12 meses]],"")</f>
        <v>0.87804878048780499</v>
      </c>
      <c r="AA19" s="22"/>
    </row>
    <row r="20" spans="1:27" x14ac:dyDescent="0.25">
      <c r="A20" s="22" t="str">
        <f>VLOOKUP(Rapid_Componente[[#This Row],[Código]],BD_Produto[#All],7,FALSE)</f>
        <v>Componente</v>
      </c>
      <c r="B2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0" s="23">
        <v>33060460535</v>
      </c>
      <c r="D20" s="22" t="s">
        <v>921</v>
      </c>
      <c r="E20" s="22" t="str">
        <f>VLOOKUP(Rapid_Componente[[#This Row],[Código]],BD_Produto[],3,FALSE)</f>
        <v>Componentes</v>
      </c>
      <c r="F20" s="22" t="str">
        <f>VLOOKUP(Rapid_Componente[[#This Row],[Código]],BD_Produto[],4,FALSE)</f>
        <v>Grampeador Pistola</v>
      </c>
      <c r="G20" s="24">
        <v>30</v>
      </c>
      <c r="H20" s="25"/>
      <c r="I20" s="22"/>
      <c r="J20" s="24"/>
      <c r="K20" s="24" t="str">
        <f>IFERROR(VLOOKUP(Rapid_Componente[[#This Row],[Código]],Importação!P:R,3,FALSE),"")</f>
        <v/>
      </c>
      <c r="L20" s="24">
        <f>IFERROR(VLOOKUP(Rapid_Componente[[#This Row],[Código]],Saldo[],3,FALSE),0)</f>
        <v>36</v>
      </c>
      <c r="M20" s="24">
        <f>SUM(Rapid_Componente[[#This Row],[Produção]:[Estoque]])</f>
        <v>36</v>
      </c>
      <c r="N20" s="24">
        <f>IFERROR(Rapid_Componente[[#This Row],[Estoque+Importação]]/Rapid_Componente[[#This Row],[Proj. de V. No prox. mes]],"Sem Projeção")</f>
        <v>6.3529411764705879</v>
      </c>
      <c r="O20" s="24">
        <f>IF(OR(Rapid_Componente[[#This Row],[Status]]="Em Linha",Rapid_Componente[[#This Row],[Status]]="Componente",Rapid_Componente[[#This Row],[Status]]="Materia Prima"),Rapid_Componente[[#This Row],[Proj. de V. No prox. mes]]*10,"-")</f>
        <v>56.666666666666671</v>
      </c>
      <c r="P2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20.666666666666671</v>
      </c>
      <c r="Q20" s="75">
        <f>VLOOKUP(Rapid_Componente[[#This Row],[Código]],Projeção[#All],15,FALSE)</f>
        <v>5.666666666666667</v>
      </c>
      <c r="R20" s="39">
        <f>VLOOKUP(Rapid_Componente[[#This Row],[Código]],Projeção[#All],14,FALSE)</f>
        <v>0.66666666666666663</v>
      </c>
      <c r="S20" s="39">
        <f>IFERROR(VLOOKUP(Rapid_Componente[[#This Row],[Código]],Venda_mes[],2,FALSE),0)</f>
        <v>0</v>
      </c>
      <c r="T20" s="44">
        <f>IFERROR(Rapid_Componente[[#This Row],[V. No mes]]/Rapid_Componente[[#This Row],[Proj. de V. No mes]],"")</f>
        <v>0</v>
      </c>
      <c r="U20" s="43">
        <f>VLOOKUP(Rapid_Componente[[#This Row],[Código]],Projeção[#All],14,FALSE)+VLOOKUP(Rapid_Componente[[#This Row],[Código]],Projeção[#All],13,FALSE)+VLOOKUP(Rapid_Componente[[#This Row],[Código]],Projeção[#All],12,FALSE)</f>
        <v>2.8666666666666667</v>
      </c>
      <c r="V20" s="39">
        <f>IFERROR(VLOOKUP(Rapid_Componente[[#This Row],[Código]],Venda_3meses[],2,FALSE),0)</f>
        <v>20</v>
      </c>
      <c r="W20" s="44">
        <f>IFERROR(Rapid_Componente[[#This Row],[V. 3 meses]]/Rapid_Componente[[#This Row],[Proj. de V. 3 meses]],"")</f>
        <v>6.9767441860465116</v>
      </c>
      <c r="X2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22.166666666666668</v>
      </c>
      <c r="Y20" s="39">
        <f>IFERROR(VLOOKUP(Rapid_Componente[[#This Row],[Código]],Venda_12meses[],2,FALSE),0)</f>
        <v>30</v>
      </c>
      <c r="Z20" s="44">
        <f>IFERROR(Rapid_Componente[[#This Row],[V. 12 meses]]/Rapid_Componente[[#This Row],[Proj. de V. 12 meses]],"")</f>
        <v>1.3533834586466165</v>
      </c>
      <c r="AA20" s="22" t="s">
        <v>1706</v>
      </c>
    </row>
    <row r="21" spans="1:27" x14ac:dyDescent="0.25">
      <c r="A21" s="22" t="str">
        <f>VLOOKUP(Rapid_Componente[[#This Row],[Código]],BD_Produto[#All],7,FALSE)</f>
        <v>Componente</v>
      </c>
      <c r="B2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1" s="23">
        <v>33060424256</v>
      </c>
      <c r="D21" s="22" t="s">
        <v>1176</v>
      </c>
      <c r="E21" s="22" t="str">
        <f>VLOOKUP(Rapid_Componente[[#This Row],[Código]],BD_Produto[],3,FALSE)</f>
        <v>Componentes</v>
      </c>
      <c r="F21" s="22" t="str">
        <f>VLOOKUP(Rapid_Componente[[#This Row],[Código]],BD_Produto[],4,FALSE)</f>
        <v>Grampeador Heavy Duty</v>
      </c>
      <c r="G21" s="24"/>
      <c r="H21" s="25"/>
      <c r="I21" s="22"/>
      <c r="J21" s="24"/>
      <c r="K21" s="24" t="str">
        <f>IFERROR(VLOOKUP(Rapid_Componente[[#This Row],[Código]],Importação!P:R,3,FALSE),"")</f>
        <v/>
      </c>
      <c r="L21" s="24">
        <f>IFERROR(VLOOKUP(Rapid_Componente[[#This Row],[Código]],Saldo[],3,FALSE),0)</f>
        <v>37</v>
      </c>
      <c r="M21" s="24">
        <f>SUM(Rapid_Componente[[#This Row],[Produção]:[Estoque]])</f>
        <v>37</v>
      </c>
      <c r="N21" s="24" t="str">
        <f>IFERROR(Rapid_Componente[[#This Row],[Estoque+Importação]]/Rapid_Componente[[#This Row],[Proj. de V. No prox. mes]],"Sem Projeção")</f>
        <v>Sem Projeção</v>
      </c>
      <c r="O2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-37</v>
      </c>
      <c r="Q21" s="75">
        <f>VLOOKUP(Rapid_Componente[[#This Row],[Código]],Projeção[#All],15,FALSE)</f>
        <v>0</v>
      </c>
      <c r="R21" s="39">
        <f>VLOOKUP(Rapid_Componente[[#This Row],[Código]],Projeção[#All],14,FALSE)</f>
        <v>0.13333333333333333</v>
      </c>
      <c r="S21" s="39">
        <f>IFERROR(VLOOKUP(Rapid_Componente[[#This Row],[Código]],Venda_mes[],2,FALSE),0)</f>
        <v>0</v>
      </c>
      <c r="T21" s="44">
        <f>IFERROR(Rapid_Componente[[#This Row],[V. No mes]]/Rapid_Componente[[#This Row],[Proj. de V. No mes]],"")</f>
        <v>0</v>
      </c>
      <c r="U21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1" s="39">
        <f>IFERROR(VLOOKUP(Rapid_Componente[[#This Row],[Código]],Venda_3meses[],2,FALSE),0)</f>
        <v>0</v>
      </c>
      <c r="W21" s="44">
        <f>IFERROR(Rapid_Componente[[#This Row],[V. 3 meses]]/Rapid_Componente[[#This Row],[Proj. de V. 3 meses]],"")</f>
        <v>0</v>
      </c>
      <c r="X2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8</v>
      </c>
      <c r="Y21" s="39">
        <f>IFERROR(VLOOKUP(Rapid_Componente[[#This Row],[Código]],Venda_12meses[],2,FALSE),0)</f>
        <v>0</v>
      </c>
      <c r="Z21" s="44">
        <f>IFERROR(Rapid_Componente[[#This Row],[V. 12 meses]]/Rapid_Componente[[#This Row],[Proj. de V. 12 meses]],"")</f>
        <v>0</v>
      </c>
      <c r="AA21" s="22">
        <v>121509</v>
      </c>
    </row>
    <row r="22" spans="1:27" x14ac:dyDescent="0.25">
      <c r="A22" s="22" t="str">
        <f>VLOOKUP(Rapid_Componente[[#This Row],[Código]],BD_Produto[#All],7,FALSE)</f>
        <v>Componente</v>
      </c>
      <c r="B2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2" s="23">
        <v>33060424372</v>
      </c>
      <c r="D22" s="22" t="s">
        <v>256</v>
      </c>
      <c r="E22" s="22" t="str">
        <f>VLOOKUP(Rapid_Componente[[#This Row],[Código]],BD_Produto[],3,FALSE)</f>
        <v>Componentes</v>
      </c>
      <c r="F22" s="22" t="str">
        <f>VLOOKUP(Rapid_Componente[[#This Row],[Código]],BD_Produto[],4,FALSE)</f>
        <v>Grampeador Heavy Duty</v>
      </c>
      <c r="G22" s="24"/>
      <c r="H22" s="25"/>
      <c r="I22" s="22"/>
      <c r="J22" s="24"/>
      <c r="K22" s="24" t="str">
        <f>IFERROR(VLOOKUP(Rapid_Componente[[#This Row],[Código]],Importação!P:R,3,FALSE),"")</f>
        <v/>
      </c>
      <c r="L22" s="24">
        <f>IFERROR(VLOOKUP(Rapid_Componente[[#This Row],[Código]],Saldo[],3,FALSE),0)</f>
        <v>44</v>
      </c>
      <c r="M22" s="24">
        <f>SUM(Rapid_Componente[[#This Row],[Produção]:[Estoque]])</f>
        <v>44</v>
      </c>
      <c r="N22" s="24" t="str">
        <f>IFERROR(Rapid_Componente[[#This Row],[Estoque+Importação]]/Rapid_Componente[[#This Row],[Proj. de V. No prox. mes]],"Sem Projeção")</f>
        <v>Sem Projeção</v>
      </c>
      <c r="O2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-44</v>
      </c>
      <c r="Q22" s="75">
        <f>VLOOKUP(Rapid_Componente[[#This Row],[Código]],Projeção[#All],15,FALSE)</f>
        <v>0</v>
      </c>
      <c r="R22" s="39">
        <f>VLOOKUP(Rapid_Componente[[#This Row],[Código]],Projeção[#All],14,FALSE)</f>
        <v>0.13333333333333333</v>
      </c>
      <c r="S22" s="39">
        <f>IFERROR(VLOOKUP(Rapid_Componente[[#This Row],[Código]],Venda_mes[],2,FALSE),0)</f>
        <v>0</v>
      </c>
      <c r="T22" s="44">
        <f>IFERROR(Rapid_Componente[[#This Row],[V. No mes]]/Rapid_Componente[[#This Row],[Proj. de V. No mes]],"")</f>
        <v>0</v>
      </c>
      <c r="U22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2" s="39">
        <f>IFERROR(VLOOKUP(Rapid_Componente[[#This Row],[Código]],Venda_3meses[],2,FALSE),0)</f>
        <v>0</v>
      </c>
      <c r="W22" s="44">
        <f>IFERROR(Rapid_Componente[[#This Row],[V. 3 meses]]/Rapid_Componente[[#This Row],[Proj. de V. 3 meses]],"")</f>
        <v>0</v>
      </c>
      <c r="X2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8.5</v>
      </c>
      <c r="Y22" s="39">
        <f>IFERROR(VLOOKUP(Rapid_Componente[[#This Row],[Código]],Venda_12meses[],2,FALSE),0)</f>
        <v>0</v>
      </c>
      <c r="Z22" s="44">
        <f>IFERROR(Rapid_Componente[[#This Row],[V. 12 meses]]/Rapid_Componente[[#This Row],[Proj. de V. 12 meses]],"")</f>
        <v>0</v>
      </c>
      <c r="AA22" s="22"/>
    </row>
    <row r="23" spans="1:27" x14ac:dyDescent="0.25">
      <c r="A23" s="22" t="str">
        <f>VLOOKUP(Rapid_Componente[[#This Row],[Código]],BD_Produto[#All],7,FALSE)</f>
        <v>Componente</v>
      </c>
      <c r="B2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3" s="23">
        <v>33060461116</v>
      </c>
      <c r="D23" s="22" t="s">
        <v>293</v>
      </c>
      <c r="E23" s="22" t="str">
        <f>VLOOKUP(Rapid_Componente[[#This Row],[Código]],BD_Produto[],3,FALSE)</f>
        <v>Componentes</v>
      </c>
      <c r="F23" s="22" t="str">
        <f>VLOOKUP(Rapid_Componente[[#This Row],[Código]],BD_Produto[],4,FALSE)</f>
        <v>Grampeador Eletrico</v>
      </c>
      <c r="G23" s="24"/>
      <c r="H23" s="25"/>
      <c r="I23" s="22"/>
      <c r="J23" s="24"/>
      <c r="K23" s="24" t="str">
        <f>IFERROR(VLOOKUP(Rapid_Componente[[#This Row],[Código]],Importação!P:R,3,FALSE),"")</f>
        <v/>
      </c>
      <c r="L23" s="24">
        <f>IFERROR(VLOOKUP(Rapid_Componente[[#This Row],[Código]],Saldo[],3,FALSE),0)</f>
        <v>80</v>
      </c>
      <c r="M23" s="24">
        <f>SUM(Rapid_Componente[[#This Row],[Produção]:[Estoque]])</f>
        <v>80</v>
      </c>
      <c r="N23" s="24" t="str">
        <f>IFERROR(Rapid_Componente[[#This Row],[Estoque+Importação]]/Rapid_Componente[[#This Row],[Proj. de V. No prox. mes]],"Sem Projeção")</f>
        <v>Sem Projeção</v>
      </c>
      <c r="O2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-80</v>
      </c>
      <c r="Q23" s="75">
        <f>VLOOKUP(Rapid_Componente[[#This Row],[Código]],Projeção[#All],15,FALSE)</f>
        <v>0</v>
      </c>
      <c r="R23" s="39">
        <f>VLOOKUP(Rapid_Componente[[#This Row],[Código]],Projeção[#All],14,FALSE)</f>
        <v>0.16666666666666666</v>
      </c>
      <c r="S23" s="39">
        <f>IFERROR(VLOOKUP(Rapid_Componente[[#This Row],[Código]],Venda_mes[],2,FALSE),0)</f>
        <v>0</v>
      </c>
      <c r="T23" s="44">
        <f>IFERROR(Rapid_Componente[[#This Row],[V. No mes]]/Rapid_Componente[[#This Row],[Proj. de V. No mes]],"")</f>
        <v>0</v>
      </c>
      <c r="U23" s="43">
        <f>VLOOKUP(Rapid_Componente[[#This Row],[Código]],Projeção[#All],14,FALSE)+VLOOKUP(Rapid_Componente[[#This Row],[Código]],Projeção[#All],13,FALSE)+VLOOKUP(Rapid_Componente[[#This Row],[Código]],Projeção[#All],12,FALSE)</f>
        <v>0.5</v>
      </c>
      <c r="V23" s="39">
        <f>IFERROR(VLOOKUP(Rapid_Componente[[#This Row],[Código]],Venda_3meses[],2,FALSE),0)</f>
        <v>0</v>
      </c>
      <c r="W23" s="44">
        <f>IFERROR(Rapid_Componente[[#This Row],[V. 3 meses]]/Rapid_Componente[[#This Row],[Proj. de V. 3 meses]],"")</f>
        <v>0</v>
      </c>
      <c r="X2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6</v>
      </c>
      <c r="Y23" s="39">
        <f>IFERROR(VLOOKUP(Rapid_Componente[[#This Row],[Código]],Venda_12meses[],2,FALSE),0)</f>
        <v>0</v>
      </c>
      <c r="Z23" s="44">
        <f>IFERROR(Rapid_Componente[[#This Row],[V. 12 meses]]/Rapid_Componente[[#This Row],[Proj. de V. 12 meses]],"")</f>
        <v>0</v>
      </c>
      <c r="AA23" s="22"/>
    </row>
    <row r="24" spans="1:27" x14ac:dyDescent="0.25">
      <c r="A24" s="22" t="str">
        <f>VLOOKUP(Rapid_Componente[[#This Row],[Código]],BD_Produto[#All],7,FALSE)</f>
        <v>Componente</v>
      </c>
      <c r="B2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4" s="23">
        <v>33060414611</v>
      </c>
      <c r="D24" s="22" t="s">
        <v>922</v>
      </c>
      <c r="E24" s="22" t="str">
        <f>VLOOKUP(Rapid_Componente[[#This Row],[Código]],BD_Produto[],3,FALSE)</f>
        <v>Componentes</v>
      </c>
      <c r="F24" s="22" t="str">
        <f>VLOOKUP(Rapid_Componente[[#This Row],[Código]],BD_Produto[],4,FALSE)</f>
        <v>Grampeador Eletrico</v>
      </c>
      <c r="G24" s="24"/>
      <c r="H24" s="25"/>
      <c r="I24" s="22"/>
      <c r="J24" s="24"/>
      <c r="K24" s="24" t="str">
        <f>IFERROR(VLOOKUP(Rapid_Componente[[#This Row],[Código]],Importação!P:R,3,FALSE),"")</f>
        <v/>
      </c>
      <c r="L24" s="24">
        <f>IFERROR(VLOOKUP(Rapid_Componente[[#This Row],[Código]],Saldo[],3,FALSE),0)</f>
        <v>20</v>
      </c>
      <c r="M24" s="24">
        <f>SUM(Rapid_Componente[[#This Row],[Produção]:[Estoque]])</f>
        <v>20</v>
      </c>
      <c r="N24" s="24" t="str">
        <f>IFERROR(Rapid_Componente[[#This Row],[Estoque+Importação]]/Rapid_Componente[[#This Row],[Proj. de V. No prox. mes]],"Sem Projeção")</f>
        <v>Sem Projeção</v>
      </c>
      <c r="O2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</v>
      </c>
      <c r="Q24" s="75">
        <f>VLOOKUP(Rapid_Componente[[#This Row],[Código]],Projeção[#All],15,FALSE)</f>
        <v>0</v>
      </c>
      <c r="R24" s="39">
        <f>VLOOKUP(Rapid_Componente[[#This Row],[Código]],Projeção[#All],14,FALSE)</f>
        <v>3.3333333333333333E-2</v>
      </c>
      <c r="S24" s="39">
        <f>IFERROR(VLOOKUP(Rapid_Componente[[#This Row],[Código]],Venda_mes[],2,FALSE),0)</f>
        <v>0</v>
      </c>
      <c r="T24" s="44">
        <f>IFERROR(Rapid_Componente[[#This Row],[V. No mes]]/Rapid_Componente[[#This Row],[Proj. de V. No mes]],"")</f>
        <v>0</v>
      </c>
      <c r="U24" s="43">
        <f>VLOOKUP(Rapid_Componente[[#This Row],[Código]],Projeção[#All],14,FALSE)+VLOOKUP(Rapid_Componente[[#This Row],[Código]],Projeção[#All],13,FALSE)+VLOOKUP(Rapid_Componente[[#This Row],[Código]],Projeção[#All],12,FALSE)</f>
        <v>0.1</v>
      </c>
      <c r="V24" s="39">
        <f>IFERROR(VLOOKUP(Rapid_Componente[[#This Row],[Código]],Venda_3meses[],2,FALSE),0)</f>
        <v>0</v>
      </c>
      <c r="W24" s="44">
        <f>IFERROR(Rapid_Componente[[#This Row],[V. 3 meses]]/Rapid_Componente[[#This Row],[Proj. de V. 3 meses]],"")</f>
        <v>0</v>
      </c>
      <c r="X2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1.3666666666666663</v>
      </c>
      <c r="Y24" s="39">
        <f>IFERROR(VLOOKUP(Rapid_Componente[[#This Row],[Código]],Venda_12meses[],2,FALSE),0)</f>
        <v>0</v>
      </c>
      <c r="Z24" s="44">
        <f>IFERROR(Rapid_Componente[[#This Row],[V. 12 meses]]/Rapid_Componente[[#This Row],[Proj. de V. 12 meses]],"")</f>
        <v>0</v>
      </c>
      <c r="AA24" s="22"/>
    </row>
    <row r="25" spans="1:27" x14ac:dyDescent="0.25">
      <c r="A25" s="22" t="str">
        <f>VLOOKUP(Rapid_Componente[[#This Row],[Código]],BD_Produto[#All],7,FALSE)</f>
        <v>Componente</v>
      </c>
      <c r="B2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5" s="23">
        <v>33060414694</v>
      </c>
      <c r="D25" s="22" t="s">
        <v>1124</v>
      </c>
      <c r="E25" s="22" t="str">
        <f>VLOOKUP(Rapid_Componente[[#This Row],[Código]],BD_Produto[],3,FALSE)</f>
        <v>Componentes</v>
      </c>
      <c r="F25" s="22" t="str">
        <f>VLOOKUP(Rapid_Componente[[#This Row],[Código]],BD_Produto[],4,FALSE)</f>
        <v>Grampeador Eletrico</v>
      </c>
      <c r="G25" s="24"/>
      <c r="H25" s="25"/>
      <c r="I25" s="22"/>
      <c r="J25" s="24"/>
      <c r="K25" s="24" t="str">
        <f>IFERROR(VLOOKUP(Rapid_Componente[[#This Row],[Código]],Importação!P:R,3,FALSE),"")</f>
        <v/>
      </c>
      <c r="L25" s="24">
        <f>IFERROR(VLOOKUP(Rapid_Componente[[#This Row],[Código]],Saldo[],3,FALSE),0)</f>
        <v>21</v>
      </c>
      <c r="M25" s="24">
        <f>SUM(Rapid_Componente[[#This Row],[Produção]:[Estoque]])</f>
        <v>21</v>
      </c>
      <c r="N25" s="24" t="str">
        <f>IFERROR(Rapid_Componente[[#This Row],[Estoque+Importação]]/Rapid_Componente[[#This Row],[Proj. de V. No prox. mes]],"Sem Projeção")</f>
        <v>Sem Projeção</v>
      </c>
      <c r="O2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-21</v>
      </c>
      <c r="Q25" s="75">
        <f>VLOOKUP(Rapid_Componente[[#This Row],[Código]],Projeção[#All],15,FALSE)</f>
        <v>0</v>
      </c>
      <c r="R25" s="39">
        <f>VLOOKUP(Rapid_Componente[[#This Row],[Código]],Projeção[#All],14,FALSE)</f>
        <v>0.13333333333333333</v>
      </c>
      <c r="S25" s="39">
        <f>IFERROR(VLOOKUP(Rapid_Componente[[#This Row],[Código]],Venda_mes[],2,FALSE),0)</f>
        <v>0</v>
      </c>
      <c r="T25" s="44">
        <f>IFERROR(Rapid_Componente[[#This Row],[V. No mes]]/Rapid_Componente[[#This Row],[Proj. de V. No mes]],"")</f>
        <v>0</v>
      </c>
      <c r="U25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5" s="39">
        <f>IFERROR(VLOOKUP(Rapid_Componente[[#This Row],[Código]],Venda_3meses[],2,FALSE),0)</f>
        <v>0</v>
      </c>
      <c r="W25" s="44">
        <f>IFERROR(Rapid_Componente[[#This Row],[V. 3 meses]]/Rapid_Componente[[#This Row],[Proj. de V. 3 meses]],"")</f>
        <v>0</v>
      </c>
      <c r="X2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3.7999999999999994</v>
      </c>
      <c r="Y25" s="39">
        <f>IFERROR(VLOOKUP(Rapid_Componente[[#This Row],[Código]],Venda_12meses[],2,FALSE),0)</f>
        <v>0</v>
      </c>
      <c r="Z25" s="44">
        <f>IFERROR(Rapid_Componente[[#This Row],[V. 12 meses]]/Rapid_Componente[[#This Row],[Proj. de V. 12 meses]],"")</f>
        <v>0</v>
      </c>
      <c r="AA25" s="22">
        <v>177311</v>
      </c>
    </row>
    <row r="26" spans="1:27" x14ac:dyDescent="0.25">
      <c r="A26" s="22" t="str">
        <f>VLOOKUP(Rapid_Componente[[#This Row],[Código]],BD_Produto[#All],7,FALSE)</f>
        <v>Componente</v>
      </c>
      <c r="B2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6" s="23">
        <v>33060424541</v>
      </c>
      <c r="D26" s="22" t="s">
        <v>916</v>
      </c>
      <c r="E26" s="22" t="str">
        <f>VLOOKUP(Rapid_Componente[[#This Row],[Código]],BD_Produto[],3,FALSE)</f>
        <v>Componentes</v>
      </c>
      <c r="F26" s="22" t="str">
        <f>VLOOKUP(Rapid_Componente[[#This Row],[Código]],BD_Produto[],4,FALSE)</f>
        <v>Grampeador Heavy Duty</v>
      </c>
      <c r="G26" s="24"/>
      <c r="H26" s="25"/>
      <c r="I26" s="22"/>
      <c r="J26" s="24"/>
      <c r="K26" s="24" t="str">
        <f>IFERROR(VLOOKUP(Rapid_Componente[[#This Row],[Código]],Importação!P:R,3,FALSE),"")</f>
        <v/>
      </c>
      <c r="L26" s="24">
        <f>IFERROR(VLOOKUP(Rapid_Componente[[#This Row],[Código]],Saldo[],3,FALSE),0)</f>
        <v>5</v>
      </c>
      <c r="M26" s="24">
        <f>SUM(Rapid_Componente[[#This Row],[Produção]:[Estoque]])</f>
        <v>5</v>
      </c>
      <c r="N26" s="24" t="str">
        <f>IFERROR(Rapid_Componente[[#This Row],[Estoque+Importação]]/Rapid_Componente[[#This Row],[Proj. de V. No prox. mes]],"Sem Projeção")</f>
        <v>Sem Projeção</v>
      </c>
      <c r="O2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-5</v>
      </c>
      <c r="Q26" s="75">
        <f>VLOOKUP(Rapid_Componente[[#This Row],[Código]],Projeção[#All],15,FALSE)</f>
        <v>0</v>
      </c>
      <c r="R26" s="39">
        <f>VLOOKUP(Rapid_Componente[[#This Row],[Código]],Projeção[#All],14,FALSE)</f>
        <v>0.13333333333333333</v>
      </c>
      <c r="S26" s="39">
        <f>IFERROR(VLOOKUP(Rapid_Componente[[#This Row],[Código]],Venda_mes[],2,FALSE),0)</f>
        <v>0</v>
      </c>
      <c r="T26" s="44">
        <f>IFERROR(Rapid_Componente[[#This Row],[V. No mes]]/Rapid_Componente[[#This Row],[Proj. de V. No mes]],"")</f>
        <v>0</v>
      </c>
      <c r="U26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6" s="39">
        <f>IFERROR(VLOOKUP(Rapid_Componente[[#This Row],[Código]],Venda_3meses[],2,FALSE),0)</f>
        <v>0</v>
      </c>
      <c r="W26" s="44">
        <f>IFERROR(Rapid_Componente[[#This Row],[V. 3 meses]]/Rapid_Componente[[#This Row],[Proj. de V. 3 meses]],"")</f>
        <v>0</v>
      </c>
      <c r="X2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2.6666666666666661</v>
      </c>
      <c r="Y26" s="39">
        <f>IFERROR(VLOOKUP(Rapid_Componente[[#This Row],[Código]],Venda_12meses[],2,FALSE),0)</f>
        <v>0</v>
      </c>
      <c r="Z26" s="44">
        <f>IFERROR(Rapid_Componente[[#This Row],[V. 12 meses]]/Rapid_Componente[[#This Row],[Proj. de V. 12 meses]],"")</f>
        <v>0</v>
      </c>
      <c r="AA26" s="22"/>
    </row>
    <row r="27" spans="1:27" x14ac:dyDescent="0.25">
      <c r="A27" s="22" t="str">
        <f>VLOOKUP(Rapid_Componente[[#This Row],[Código]],BD_Produto[#All],7,FALSE)</f>
        <v>Componente</v>
      </c>
      <c r="B2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7" s="23">
        <v>33060414795</v>
      </c>
      <c r="D27" s="22" t="s">
        <v>917</v>
      </c>
      <c r="E27" s="22" t="str">
        <f>VLOOKUP(Rapid_Componente[[#This Row],[Código]],BD_Produto[],3,FALSE)</f>
        <v>Componentes</v>
      </c>
      <c r="F27" s="22" t="str">
        <f>VLOOKUP(Rapid_Componente[[#This Row],[Código]],BD_Produto[],4,FALSE)</f>
        <v>Grampeador Heavy Duty</v>
      </c>
      <c r="G27" s="24"/>
      <c r="H27" s="25"/>
      <c r="I27" s="22"/>
      <c r="J27" s="24"/>
      <c r="K27" s="24" t="str">
        <f>IFERROR(VLOOKUP(Rapid_Componente[[#This Row],[Código]],Importação!P:R,3,FALSE),"")</f>
        <v/>
      </c>
      <c r="L27" s="24">
        <f>IFERROR(VLOOKUP(Rapid_Componente[[#This Row],[Código]],Saldo[],3,FALSE),0)</f>
        <v>7</v>
      </c>
      <c r="M27" s="24">
        <f>SUM(Rapid_Componente[[#This Row],[Produção]:[Estoque]])</f>
        <v>7</v>
      </c>
      <c r="N27" s="24" t="str">
        <f>IFERROR(Rapid_Componente[[#This Row],[Estoque+Importação]]/Rapid_Componente[[#This Row],[Proj. de V. No prox. mes]],"Sem Projeção")</f>
        <v>Sem Projeção</v>
      </c>
      <c r="O2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-7</v>
      </c>
      <c r="Q27" s="75">
        <f>VLOOKUP(Rapid_Componente[[#This Row],[Código]],Projeção[#All],15,FALSE)</f>
        <v>0</v>
      </c>
      <c r="R27" s="39">
        <f>VLOOKUP(Rapid_Componente[[#This Row],[Código]],Projeção[#All],14,FALSE)</f>
        <v>0.13333333333333333</v>
      </c>
      <c r="S27" s="39">
        <f>IFERROR(VLOOKUP(Rapid_Componente[[#This Row],[Código]],Venda_mes[],2,FALSE),0)</f>
        <v>0</v>
      </c>
      <c r="T27" s="44">
        <f>IFERROR(Rapid_Componente[[#This Row],[V. No mes]]/Rapid_Componente[[#This Row],[Proj. de V. No mes]],"")</f>
        <v>0</v>
      </c>
      <c r="U27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7" s="39">
        <f>IFERROR(VLOOKUP(Rapid_Componente[[#This Row],[Código]],Venda_3meses[],2,FALSE),0)</f>
        <v>0</v>
      </c>
      <c r="W27" s="44">
        <f>IFERROR(Rapid_Componente[[#This Row],[V. 3 meses]]/Rapid_Componente[[#This Row],[Proj. de V. 3 meses]],"")</f>
        <v>0</v>
      </c>
      <c r="X2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2.6666666666666661</v>
      </c>
      <c r="Y27" s="39">
        <f>IFERROR(VLOOKUP(Rapid_Componente[[#This Row],[Código]],Venda_12meses[],2,FALSE),0)</f>
        <v>0</v>
      </c>
      <c r="Z27" s="44">
        <f>IFERROR(Rapid_Componente[[#This Row],[V. 12 meses]]/Rapid_Componente[[#This Row],[Proj. de V. 12 meses]],"")</f>
        <v>0</v>
      </c>
      <c r="AA27" s="22"/>
    </row>
    <row r="28" spans="1:27" x14ac:dyDescent="0.25">
      <c r="A28" s="22" t="str">
        <f>VLOOKUP(Rapid_Componente[[#This Row],[Código]],BD_Produto[#All],7,FALSE)</f>
        <v>Componente</v>
      </c>
      <c r="B2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8" s="23">
        <v>33060424667</v>
      </c>
      <c r="D28" s="22" t="s">
        <v>919</v>
      </c>
      <c r="E28" s="22" t="str">
        <f>VLOOKUP(Rapid_Componente[[#This Row],[Código]],BD_Produto[],3,FALSE)</f>
        <v>Componentes</v>
      </c>
      <c r="F28" s="22" t="str">
        <f>VLOOKUP(Rapid_Componente[[#This Row],[Código]],BD_Produto[],4,FALSE)</f>
        <v>Grampeador Heavy Duty</v>
      </c>
      <c r="G28" s="24"/>
      <c r="H28" s="25"/>
      <c r="I28" s="22"/>
      <c r="J28" s="24"/>
      <c r="K28" s="24" t="str">
        <f>IFERROR(VLOOKUP(Rapid_Componente[[#This Row],[Código]],Importação!P:R,3,FALSE),"")</f>
        <v/>
      </c>
      <c r="L28" s="24">
        <f>IFERROR(VLOOKUP(Rapid_Componente[[#This Row],[Código]],Saldo[],3,FALSE),0)</f>
        <v>13</v>
      </c>
      <c r="M28" s="24">
        <f>SUM(Rapid_Componente[[#This Row],[Produção]:[Estoque]])</f>
        <v>13</v>
      </c>
      <c r="N28" s="24" t="str">
        <f>IFERROR(Rapid_Componente[[#This Row],[Estoque+Importação]]/Rapid_Componente[[#This Row],[Proj. de V. No prox. mes]],"Sem Projeção")</f>
        <v>Sem Projeção</v>
      </c>
      <c r="O2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-13</v>
      </c>
      <c r="Q28" s="75">
        <f>VLOOKUP(Rapid_Componente[[#This Row],[Código]],Projeção[#All],15,FALSE)</f>
        <v>0</v>
      </c>
      <c r="R28" s="39">
        <f>VLOOKUP(Rapid_Componente[[#This Row],[Código]],Projeção[#All],14,FALSE)</f>
        <v>0.13333333333333333</v>
      </c>
      <c r="S28" s="39">
        <f>IFERROR(VLOOKUP(Rapid_Componente[[#This Row],[Código]],Venda_mes[],2,FALSE),0)</f>
        <v>0</v>
      </c>
      <c r="T28" s="44">
        <f>IFERROR(Rapid_Componente[[#This Row],[V. No mes]]/Rapid_Componente[[#This Row],[Proj. de V. No mes]],"")</f>
        <v>0</v>
      </c>
      <c r="U28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8" s="39">
        <f>IFERROR(VLOOKUP(Rapid_Componente[[#This Row],[Código]],Venda_3meses[],2,FALSE),0)</f>
        <v>0</v>
      </c>
      <c r="W28" s="44">
        <f>IFERROR(Rapid_Componente[[#This Row],[V. 3 meses]]/Rapid_Componente[[#This Row],[Proj. de V. 3 meses]],"")</f>
        <v>0</v>
      </c>
      <c r="X2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2.6666666666666661</v>
      </c>
      <c r="Y28" s="39">
        <f>IFERROR(VLOOKUP(Rapid_Componente[[#This Row],[Código]],Venda_12meses[],2,FALSE),0)</f>
        <v>0</v>
      </c>
      <c r="Z28" s="44">
        <f>IFERROR(Rapid_Componente[[#This Row],[V. 12 meses]]/Rapid_Componente[[#This Row],[Proj. de V. 12 meses]],"")</f>
        <v>0</v>
      </c>
      <c r="AA28" s="22"/>
    </row>
    <row r="29" spans="1:27" x14ac:dyDescent="0.25">
      <c r="A29" s="22" t="str">
        <f>VLOOKUP(Rapid_Componente[[#This Row],[Código]],BD_Produto[#All],7,FALSE)</f>
        <v>Componente</v>
      </c>
      <c r="B2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29" s="23">
        <v>33060424540</v>
      </c>
      <c r="D29" s="22" t="s">
        <v>920</v>
      </c>
      <c r="E29" s="22" t="str">
        <f>VLOOKUP(Rapid_Componente[[#This Row],[Código]],BD_Produto[],3,FALSE)</f>
        <v>Componentes</v>
      </c>
      <c r="F29" s="22" t="str">
        <f>VLOOKUP(Rapid_Componente[[#This Row],[Código]],BD_Produto[],4,FALSE)</f>
        <v>Grampeador Heavy Duty</v>
      </c>
      <c r="G29" s="24"/>
      <c r="H29" s="25"/>
      <c r="I29" s="22"/>
      <c r="J29" s="24"/>
      <c r="K29" s="24" t="str">
        <f>IFERROR(VLOOKUP(Rapid_Componente[[#This Row],[Código]],Importação!P:R,3,FALSE),"")</f>
        <v/>
      </c>
      <c r="L29" s="24">
        <f>IFERROR(VLOOKUP(Rapid_Componente[[#This Row],[Código]],Saldo[],3,FALSE),0)</f>
        <v>16</v>
      </c>
      <c r="M29" s="24">
        <f>SUM(Rapid_Componente[[#This Row],[Produção]:[Estoque]])</f>
        <v>16</v>
      </c>
      <c r="N29" s="24" t="str">
        <f>IFERROR(Rapid_Componente[[#This Row],[Estoque+Importação]]/Rapid_Componente[[#This Row],[Proj. de V. No prox. mes]],"Sem Projeção")</f>
        <v>Sem Projeção</v>
      </c>
      <c r="O2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2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-16</v>
      </c>
      <c r="Q29" s="75">
        <f>VLOOKUP(Rapid_Componente[[#This Row],[Código]],Projeção[#All],15,FALSE)</f>
        <v>0</v>
      </c>
      <c r="R29" s="39">
        <f>VLOOKUP(Rapid_Componente[[#This Row],[Código]],Projeção[#All],14,FALSE)</f>
        <v>0.13333333333333333</v>
      </c>
      <c r="S29" s="39">
        <f>IFERROR(VLOOKUP(Rapid_Componente[[#This Row],[Código]],Venda_mes[],2,FALSE),0)</f>
        <v>0</v>
      </c>
      <c r="T29" s="44">
        <f>IFERROR(Rapid_Componente[[#This Row],[V. No mes]]/Rapid_Componente[[#This Row],[Proj. de V. No mes]],"")</f>
        <v>0</v>
      </c>
      <c r="U29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29" s="39">
        <f>IFERROR(VLOOKUP(Rapid_Componente[[#This Row],[Código]],Venda_3meses[],2,FALSE),0)</f>
        <v>0</v>
      </c>
      <c r="W29" s="44">
        <f>IFERROR(Rapid_Componente[[#This Row],[V. 3 meses]]/Rapid_Componente[[#This Row],[Proj. de V. 3 meses]],"")</f>
        <v>0</v>
      </c>
      <c r="X2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2.6666666666666661</v>
      </c>
      <c r="Y29" s="39">
        <f>IFERROR(VLOOKUP(Rapid_Componente[[#This Row],[Código]],Venda_12meses[],2,FALSE),0)</f>
        <v>0</v>
      </c>
      <c r="Z29" s="44">
        <f>IFERROR(Rapid_Componente[[#This Row],[V. 12 meses]]/Rapid_Componente[[#This Row],[Proj. de V. 12 meses]],"")</f>
        <v>0</v>
      </c>
      <c r="AA29" s="22"/>
    </row>
    <row r="30" spans="1:27" x14ac:dyDescent="0.25">
      <c r="A30" s="22" t="str">
        <f>VLOOKUP(Rapid_Componente[[#This Row],[Código]],BD_Produto[#All],7,FALSE)</f>
        <v>Componente</v>
      </c>
      <c r="B3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0" s="23">
        <v>33060424539</v>
      </c>
      <c r="D30" s="22" t="s">
        <v>923</v>
      </c>
      <c r="E30" s="22" t="str">
        <f>VLOOKUP(Rapid_Componente[[#This Row],[Código]],BD_Produto[],3,FALSE)</f>
        <v>Componentes</v>
      </c>
      <c r="F30" s="22" t="str">
        <f>VLOOKUP(Rapid_Componente[[#This Row],[Código]],BD_Produto[],4,FALSE)</f>
        <v>Grampeador Heavy Duty</v>
      </c>
      <c r="G30" s="24"/>
      <c r="H30" s="25"/>
      <c r="I30" s="22"/>
      <c r="J30" s="24"/>
      <c r="K30" s="24" t="str">
        <f>IFERROR(VLOOKUP(Rapid_Componente[[#This Row],[Código]],Importação!P:R,3,FALSE),"")</f>
        <v/>
      </c>
      <c r="L30" s="24">
        <f>IFERROR(VLOOKUP(Rapid_Componente[[#This Row],[Código]],Saldo[],3,FALSE),0)</f>
        <v>29</v>
      </c>
      <c r="M30" s="24">
        <f>SUM(Rapid_Componente[[#This Row],[Produção]:[Estoque]])</f>
        <v>29</v>
      </c>
      <c r="N30" s="24" t="str">
        <f>IFERROR(Rapid_Componente[[#This Row],[Estoque+Importação]]/Rapid_Componente[[#This Row],[Proj. de V. No prox. mes]],"Sem Projeção")</f>
        <v>Sem Projeção</v>
      </c>
      <c r="O3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3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-29</v>
      </c>
      <c r="Q30" s="75">
        <f>VLOOKUP(Rapid_Componente[[#This Row],[Código]],Projeção[#All],15,FALSE)</f>
        <v>0</v>
      </c>
      <c r="R30" s="39">
        <f>VLOOKUP(Rapid_Componente[[#This Row],[Código]],Projeção[#All],14,FALSE)</f>
        <v>0.19999999999999998</v>
      </c>
      <c r="S30" s="39">
        <f>IFERROR(VLOOKUP(Rapid_Componente[[#This Row],[Código]],Venda_mes[],2,FALSE),0)</f>
        <v>0</v>
      </c>
      <c r="T30" s="44">
        <f>IFERROR(Rapid_Componente[[#This Row],[V. No mes]]/Rapid_Componente[[#This Row],[Proj. de V. No mes]],"")</f>
        <v>0</v>
      </c>
      <c r="U30" s="43">
        <f>VLOOKUP(Rapid_Componente[[#This Row],[Código]],Projeção[#All],14,FALSE)+VLOOKUP(Rapid_Componente[[#This Row],[Código]],Projeção[#All],13,FALSE)+VLOOKUP(Rapid_Componente[[#This Row],[Código]],Projeção[#All],12,FALSE)</f>
        <v>0.6</v>
      </c>
      <c r="V30" s="39">
        <f>IFERROR(VLOOKUP(Rapid_Componente[[#This Row],[Código]],Venda_3meses[],2,FALSE),0)</f>
        <v>0</v>
      </c>
      <c r="W30" s="44">
        <f>IFERROR(Rapid_Componente[[#This Row],[V. 3 meses]]/Rapid_Componente[[#This Row],[Proj. de V. 3 meses]],"")</f>
        <v>0</v>
      </c>
      <c r="X3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4</v>
      </c>
      <c r="Y30" s="39">
        <f>IFERROR(VLOOKUP(Rapid_Componente[[#This Row],[Código]],Venda_12meses[],2,FALSE),0)</f>
        <v>0</v>
      </c>
      <c r="Z30" s="44">
        <f>IFERROR(Rapid_Componente[[#This Row],[V. 12 meses]]/Rapid_Componente[[#This Row],[Proj. de V. 12 meses]],"")</f>
        <v>0</v>
      </c>
      <c r="AA30" s="22"/>
    </row>
    <row r="31" spans="1:27" x14ac:dyDescent="0.25">
      <c r="A31" s="22" t="str">
        <f>VLOOKUP(Rapid_Componente[[#This Row],[Código]],BD_Produto[#All],7,FALSE)</f>
        <v>Componente</v>
      </c>
      <c r="B3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1" s="23">
        <v>33070424531</v>
      </c>
      <c r="D31" s="22" t="s">
        <v>930</v>
      </c>
      <c r="E31" s="22" t="str">
        <f>VLOOKUP(Rapid_Componente[[#This Row],[Código]],BD_Produto[],3,FALSE)</f>
        <v>Componentes</v>
      </c>
      <c r="F31" s="22" t="str">
        <f>VLOOKUP(Rapid_Componente[[#This Row],[Código]],BD_Produto[],4,FALSE)</f>
        <v>Grampeador Pistola</v>
      </c>
      <c r="G31" s="24"/>
      <c r="H31" s="25"/>
      <c r="I31" s="22"/>
      <c r="J31" s="24"/>
      <c r="K31" s="24" t="str">
        <f>IFERROR(VLOOKUP(Rapid_Componente[[#This Row],[Código]],Importação!P:R,3,FALSE),"")</f>
        <v/>
      </c>
      <c r="L31" s="24">
        <f>IFERROR(VLOOKUP(Rapid_Componente[[#This Row],[Código]],Saldo[],3,FALSE),0)</f>
        <v>131</v>
      </c>
      <c r="M31" s="24">
        <f>SUM(Rapid_Componente[[#This Row],[Produção]:[Estoque]])</f>
        <v>131</v>
      </c>
      <c r="N31" s="24">
        <f>IFERROR(Rapid_Componente[[#This Row],[Estoque+Importação]]/Rapid_Componente[[#This Row],[Proj. de V. No prox. mes]],"Sem Projeção")</f>
        <v>53.835616438356169</v>
      </c>
      <c r="O31" s="24">
        <f>IF(OR(Rapid_Componente[[#This Row],[Status]]="Em Linha",Rapid_Componente[[#This Row],[Status]]="Componente",Rapid_Componente[[#This Row],[Status]]="Materia Prima"),Rapid_Componente[[#This Row],[Proj. de V. No prox. mes]]*10,"-")</f>
        <v>24.333333333333332</v>
      </c>
      <c r="P3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-106.66666666666667</v>
      </c>
      <c r="Q31" s="75">
        <f>VLOOKUP(Rapid_Componente[[#This Row],[Código]],Projeção[#All],15,FALSE)</f>
        <v>2.4333333333333331</v>
      </c>
      <c r="R31" s="39">
        <f>VLOOKUP(Rapid_Componente[[#This Row],[Código]],Projeção[#All],14,FALSE)</f>
        <v>0.66666666666666663</v>
      </c>
      <c r="S31" s="39">
        <f>IFERROR(VLOOKUP(Rapid_Componente[[#This Row],[Código]],Venda_mes[],2,FALSE),0)</f>
        <v>0</v>
      </c>
      <c r="T31" s="44">
        <f>IFERROR(Rapid_Componente[[#This Row],[V. No mes]]/Rapid_Componente[[#This Row],[Proj. de V. No mes]],"")</f>
        <v>0</v>
      </c>
      <c r="U31" s="43">
        <f>VLOOKUP(Rapid_Componente[[#This Row],[Código]],Projeção[#All],14,FALSE)+VLOOKUP(Rapid_Componente[[#This Row],[Código]],Projeção[#All],13,FALSE)+VLOOKUP(Rapid_Componente[[#This Row],[Código]],Projeção[#All],12,FALSE)</f>
        <v>2</v>
      </c>
      <c r="V31" s="39">
        <f>IFERROR(VLOOKUP(Rapid_Componente[[#This Row],[Código]],Venda_3meses[],2,FALSE),0)</f>
        <v>4</v>
      </c>
      <c r="W31" s="44">
        <f>IFERROR(Rapid_Componente[[#This Row],[V. 3 meses]]/Rapid_Componente[[#This Row],[Proj. de V. 3 meses]],"")</f>
        <v>2</v>
      </c>
      <c r="X3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13.333333333333334</v>
      </c>
      <c r="Y31" s="39">
        <f>IFERROR(VLOOKUP(Rapid_Componente[[#This Row],[Código]],Venda_12meses[],2,FALSE),0)</f>
        <v>19</v>
      </c>
      <c r="Z31" s="44">
        <f>IFERROR(Rapid_Componente[[#This Row],[V. 12 meses]]/Rapid_Componente[[#This Row],[Proj. de V. 12 meses]],"")</f>
        <v>1.425</v>
      </c>
      <c r="AA31" s="22"/>
    </row>
    <row r="32" spans="1:27" x14ac:dyDescent="0.25">
      <c r="A32" s="22" t="str">
        <f>VLOOKUP(Rapid_Componente[[#This Row],[Código]],BD_Produto[#All],7,FALSE)</f>
        <v>Componente</v>
      </c>
      <c r="B3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2" s="23">
        <v>33060414693</v>
      </c>
      <c r="D32" s="22" t="s">
        <v>234</v>
      </c>
      <c r="E32" s="22" t="str">
        <f>VLOOKUP(Rapid_Componente[[#This Row],[Código]],BD_Produto[],3,FALSE)</f>
        <v>Componentes</v>
      </c>
      <c r="F32" s="22" t="str">
        <f>VLOOKUP(Rapid_Componente[[#This Row],[Código]],BD_Produto[],4,FALSE)</f>
        <v>Grampeador Eletrico</v>
      </c>
      <c r="G32" s="24"/>
      <c r="H32" s="25"/>
      <c r="I32" s="22"/>
      <c r="J32" s="24"/>
      <c r="K32" s="24" t="str">
        <f>IFERROR(VLOOKUP(Rapid_Componente[[#This Row],[Código]],Importação!P:R,3,FALSE),"")</f>
        <v/>
      </c>
      <c r="L32" s="24">
        <f>IFERROR(VLOOKUP(Rapid_Componente[[#This Row],[Código]],Saldo[],3,FALSE),0)</f>
        <v>30</v>
      </c>
      <c r="M32" s="24">
        <f>SUM(Rapid_Componente[[#This Row],[Produção]:[Estoque]])</f>
        <v>30</v>
      </c>
      <c r="N32" s="24">
        <f>IFERROR(Rapid_Componente[[#This Row],[Estoque+Importação]]/Rapid_Componente[[#This Row],[Proj. de V. No prox. mes]],"Sem Projeção")</f>
        <v>40.909090909090914</v>
      </c>
      <c r="O32" s="24">
        <f>IF(OR(Rapid_Componente[[#This Row],[Status]]="Em Linha",Rapid_Componente[[#This Row],[Status]]="Componente",Rapid_Componente[[#This Row],[Status]]="Materia Prima"),Rapid_Componente[[#This Row],[Proj. de V. No prox. mes]]*10,"-")</f>
        <v>7.333333333333333</v>
      </c>
      <c r="P3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-22.666666666666668</v>
      </c>
      <c r="Q32" s="75">
        <f>VLOOKUP(Rapid_Componente[[#This Row],[Código]],Projeção[#All],15,FALSE)</f>
        <v>0.73333333333333328</v>
      </c>
      <c r="R32" s="39">
        <f>VLOOKUP(Rapid_Componente[[#This Row],[Código]],Projeção[#All],14,FALSE)</f>
        <v>0.13333333333333333</v>
      </c>
      <c r="S32" s="39">
        <f>IFERROR(VLOOKUP(Rapid_Componente[[#This Row],[Código]],Venda_mes[],2,FALSE),0)</f>
        <v>0</v>
      </c>
      <c r="T32" s="44">
        <f>IFERROR(Rapid_Componente[[#This Row],[V. No mes]]/Rapid_Componente[[#This Row],[Proj. de V. No mes]],"")</f>
        <v>0</v>
      </c>
      <c r="U32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32" s="39">
        <f>IFERROR(VLOOKUP(Rapid_Componente[[#This Row],[Código]],Venda_3meses[],2,FALSE),0)</f>
        <v>1</v>
      </c>
      <c r="W32" s="44">
        <f>IFERROR(Rapid_Componente[[#This Row],[V. 3 meses]]/Rapid_Componente[[#This Row],[Proj. de V. 3 meses]],"")</f>
        <v>2.5</v>
      </c>
      <c r="X3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3.4666666666666663</v>
      </c>
      <c r="Y32" s="39">
        <f>IFERROR(VLOOKUP(Rapid_Componente[[#This Row],[Código]],Venda_12meses[],2,FALSE),0)</f>
        <v>6</v>
      </c>
      <c r="Z32" s="44">
        <f>IFERROR(Rapid_Componente[[#This Row],[V. 12 meses]]/Rapid_Componente[[#This Row],[Proj. de V. 12 meses]],"")</f>
        <v>1.7307692307692308</v>
      </c>
      <c r="AA32" s="22">
        <v>177303</v>
      </c>
    </row>
    <row r="33" spans="1:27" x14ac:dyDescent="0.25">
      <c r="A33" s="22" t="str">
        <f>VLOOKUP(Rapid_Componente[[#This Row],[Código]],BD_Produto[#All],7,FALSE)</f>
        <v>Componente</v>
      </c>
      <c r="B3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3" s="23">
        <v>33060414799</v>
      </c>
      <c r="D33" s="22" t="s">
        <v>239</v>
      </c>
      <c r="E33" s="22" t="str">
        <f>VLOOKUP(Rapid_Componente[[#This Row],[Código]],BD_Produto[],3,FALSE)</f>
        <v>Componentes</v>
      </c>
      <c r="F33" s="22" t="str">
        <f>VLOOKUP(Rapid_Componente[[#This Row],[Código]],BD_Produto[],4,FALSE)</f>
        <v>Grampeador Eletrico</v>
      </c>
      <c r="G33" s="24"/>
      <c r="H33" s="25"/>
      <c r="I33" s="22"/>
      <c r="J33" s="24"/>
      <c r="K33" s="24" t="str">
        <f>IFERROR(VLOOKUP(Rapid_Componente[[#This Row],[Código]],Importação!P:R,3,FALSE),"")</f>
        <v/>
      </c>
      <c r="L33" s="24">
        <f>IFERROR(VLOOKUP(Rapid_Componente[[#This Row],[Código]],Saldo[],3,FALSE),0)</f>
        <v>47</v>
      </c>
      <c r="M33" s="24">
        <f>SUM(Rapid_Componente[[#This Row],[Produção]:[Estoque]])</f>
        <v>47</v>
      </c>
      <c r="N33" s="24" t="str">
        <f>IFERROR(Rapid_Componente[[#This Row],[Estoque+Importação]]/Rapid_Componente[[#This Row],[Proj. de V. No prox. mes]],"Sem Projeção")</f>
        <v>Sem Projeção</v>
      </c>
      <c r="O3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3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-47</v>
      </c>
      <c r="Q33" s="75">
        <f>VLOOKUP(Rapid_Componente[[#This Row],[Código]],Projeção[#All],15,FALSE)</f>
        <v>0</v>
      </c>
      <c r="R33" s="39">
        <f>VLOOKUP(Rapid_Componente[[#This Row],[Código]],Projeção[#All],14,FALSE)</f>
        <v>0.16666666666666666</v>
      </c>
      <c r="S33" s="39">
        <f>IFERROR(VLOOKUP(Rapid_Componente[[#This Row],[Código]],Venda_mes[],2,FALSE),0)</f>
        <v>0</v>
      </c>
      <c r="T33" s="44">
        <f>IFERROR(Rapid_Componente[[#This Row],[V. No mes]]/Rapid_Componente[[#This Row],[Proj. de V. No mes]],"")</f>
        <v>0</v>
      </c>
      <c r="U33" s="43">
        <f>VLOOKUP(Rapid_Componente[[#This Row],[Código]],Projeção[#All],14,FALSE)+VLOOKUP(Rapid_Componente[[#This Row],[Código]],Projeção[#All],13,FALSE)+VLOOKUP(Rapid_Componente[[#This Row],[Código]],Projeção[#All],12,FALSE)</f>
        <v>0.5</v>
      </c>
      <c r="V33" s="39">
        <f>IFERROR(VLOOKUP(Rapid_Componente[[#This Row],[Código]],Venda_3meses[],2,FALSE),0)</f>
        <v>0</v>
      </c>
      <c r="W33" s="44">
        <f>IFERROR(Rapid_Componente[[#This Row],[V. 3 meses]]/Rapid_Componente[[#This Row],[Proj. de V. 3 meses]],"")</f>
        <v>0</v>
      </c>
      <c r="X3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3.3333333333333335</v>
      </c>
      <c r="Y33" s="39">
        <f>IFERROR(VLOOKUP(Rapid_Componente[[#This Row],[Código]],Venda_12meses[],2,FALSE),0)</f>
        <v>0</v>
      </c>
      <c r="Z33" s="44">
        <f>IFERROR(Rapid_Componente[[#This Row],[V. 12 meses]]/Rapid_Componente[[#This Row],[Proj. de V. 12 meses]],"")</f>
        <v>0</v>
      </c>
      <c r="AA33" s="22">
        <v>141432</v>
      </c>
    </row>
    <row r="34" spans="1:27" x14ac:dyDescent="0.25">
      <c r="A34" s="22" t="str">
        <f>VLOOKUP(Rapid_Componente[[#This Row],[Código]],BD_Produto[#All],7,FALSE)</f>
        <v>Componente</v>
      </c>
      <c r="B3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4" s="23">
        <v>33060424666</v>
      </c>
      <c r="D34" s="22" t="s">
        <v>924</v>
      </c>
      <c r="E34" s="22" t="str">
        <f>VLOOKUP(Rapid_Componente[[#This Row],[Código]],BD_Produto[],3,FALSE)</f>
        <v>Componentes</v>
      </c>
      <c r="F34" s="22" t="str">
        <f>VLOOKUP(Rapid_Componente[[#This Row],[Código]],BD_Produto[],4,FALSE)</f>
        <v>Grampeador Heavy Duty</v>
      </c>
      <c r="G34" s="24"/>
      <c r="H34" s="25"/>
      <c r="I34" s="22"/>
      <c r="J34" s="24"/>
      <c r="K34" s="24" t="str">
        <f>IFERROR(VLOOKUP(Rapid_Componente[[#This Row],[Código]],Importação!P:R,3,FALSE),"")</f>
        <v/>
      </c>
      <c r="L34" s="24">
        <f>IFERROR(VLOOKUP(Rapid_Componente[[#This Row],[Código]],Saldo[],3,FALSE),0)</f>
        <v>46</v>
      </c>
      <c r="M34" s="24">
        <f>SUM(Rapid_Componente[[#This Row],[Produção]:[Estoque]])</f>
        <v>46</v>
      </c>
      <c r="N34" s="24" t="str">
        <f>IFERROR(Rapid_Componente[[#This Row],[Estoque+Importação]]/Rapid_Componente[[#This Row],[Proj. de V. No prox. mes]],"Sem Projeção")</f>
        <v>Sem Projeção</v>
      </c>
      <c r="O3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3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-46</v>
      </c>
      <c r="Q34" s="75">
        <f>VLOOKUP(Rapid_Componente[[#This Row],[Código]],Projeção[#All],15,FALSE)</f>
        <v>0</v>
      </c>
      <c r="R34" s="39">
        <f>VLOOKUP(Rapid_Componente[[#This Row],[Código]],Projeção[#All],14,FALSE)</f>
        <v>0.13333333333333333</v>
      </c>
      <c r="S34" s="39">
        <f>IFERROR(VLOOKUP(Rapid_Componente[[#This Row],[Código]],Venda_mes[],2,FALSE),0)</f>
        <v>0</v>
      </c>
      <c r="T34" s="44">
        <f>IFERROR(Rapid_Componente[[#This Row],[V. No mes]]/Rapid_Componente[[#This Row],[Proj. de V. No mes]],"")</f>
        <v>0</v>
      </c>
      <c r="U34" s="43">
        <f>VLOOKUP(Rapid_Componente[[#This Row],[Código]],Projeção[#All],14,FALSE)+VLOOKUP(Rapid_Componente[[#This Row],[Código]],Projeção[#All],13,FALSE)+VLOOKUP(Rapid_Componente[[#This Row],[Código]],Projeção[#All],12,FALSE)</f>
        <v>0.4</v>
      </c>
      <c r="V34" s="39">
        <f>IFERROR(VLOOKUP(Rapid_Componente[[#This Row],[Código]],Venda_3meses[],2,FALSE),0)</f>
        <v>0</v>
      </c>
      <c r="W34" s="44">
        <f>IFERROR(Rapid_Componente[[#This Row],[V. 3 meses]]/Rapid_Componente[[#This Row],[Proj. de V. 3 meses]],"")</f>
        <v>0</v>
      </c>
      <c r="X3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2.6666666666666661</v>
      </c>
      <c r="Y34" s="39">
        <f>IFERROR(VLOOKUP(Rapid_Componente[[#This Row],[Código]],Venda_12meses[],2,FALSE),0)</f>
        <v>0</v>
      </c>
      <c r="Z34" s="44">
        <f>IFERROR(Rapid_Componente[[#This Row],[V. 12 meses]]/Rapid_Componente[[#This Row],[Proj. de V. 12 meses]],"")</f>
        <v>0</v>
      </c>
      <c r="AA34" s="22"/>
    </row>
    <row r="35" spans="1:27" x14ac:dyDescent="0.25">
      <c r="A35" s="22" t="str">
        <f>VLOOKUP(Rapid_Componente[[#This Row],[Código]],BD_Produto[#All],7,FALSE)</f>
        <v>Componente</v>
      </c>
      <c r="B3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5" s="23">
        <v>33070460776</v>
      </c>
      <c r="D35" s="22" t="s">
        <v>546</v>
      </c>
      <c r="E35" s="22" t="str">
        <f>VLOOKUP(Rapid_Componente[[#This Row],[Código]],BD_Produto[],3,FALSE)</f>
        <v>Componentes</v>
      </c>
      <c r="F35" s="22" t="str">
        <f>VLOOKUP(Rapid_Componente[[#This Row],[Código]],BD_Produto[],4,FALSE)</f>
        <v>Grampeador Eletrico</v>
      </c>
      <c r="G35" s="24"/>
      <c r="H35" s="25"/>
      <c r="I35" s="22"/>
      <c r="J35" s="24"/>
      <c r="K35" s="24" t="str">
        <f>IFERROR(VLOOKUP(Rapid_Componente[[#This Row],[Código]],Importação!P:R,3,FALSE),"")</f>
        <v/>
      </c>
      <c r="L35" s="24">
        <f>IFERROR(VLOOKUP(Rapid_Componente[[#This Row],[Código]],Saldo[],3,FALSE),0)</f>
        <v>17</v>
      </c>
      <c r="M35" s="24">
        <f>SUM(Rapid_Componente[[#This Row],[Produção]:[Estoque]])</f>
        <v>17</v>
      </c>
      <c r="N35" s="24" t="str">
        <f>IFERROR(Rapid_Componente[[#This Row],[Estoque+Importação]]/Rapid_Componente[[#This Row],[Proj. de V. No prox. mes]],"Sem Projeção")</f>
        <v>Sem Projeção</v>
      </c>
      <c r="O3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3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-17</v>
      </c>
      <c r="Q35" s="75">
        <f>VLOOKUP(Rapid_Componente[[#This Row],[Código]],Projeção[#All],15,FALSE)</f>
        <v>0</v>
      </c>
      <c r="R35" s="39">
        <f>VLOOKUP(Rapid_Componente[[#This Row],[Código]],Projeção[#All],14,FALSE)</f>
        <v>3.3333333333333333E-2</v>
      </c>
      <c r="S35" s="39">
        <f>IFERROR(VLOOKUP(Rapid_Componente[[#This Row],[Código]],Venda_mes[],2,FALSE),0)</f>
        <v>0</v>
      </c>
      <c r="T35" s="44">
        <f>IFERROR(Rapid_Componente[[#This Row],[V. No mes]]/Rapid_Componente[[#This Row],[Proj. de V. No mes]],"")</f>
        <v>0</v>
      </c>
      <c r="U35" s="43">
        <f>VLOOKUP(Rapid_Componente[[#This Row],[Código]],Projeção[#All],14,FALSE)+VLOOKUP(Rapid_Componente[[#This Row],[Código]],Projeção[#All],13,FALSE)+VLOOKUP(Rapid_Componente[[#This Row],[Código]],Projeção[#All],12,FALSE)</f>
        <v>0.1</v>
      </c>
      <c r="V35" s="39">
        <f>IFERROR(VLOOKUP(Rapid_Componente[[#This Row],[Código]],Venda_3meses[],2,FALSE),0)</f>
        <v>0</v>
      </c>
      <c r="W35" s="44">
        <f>IFERROR(Rapid_Componente[[#This Row],[V. 3 meses]]/Rapid_Componente[[#This Row],[Proj. de V. 3 meses]],"")</f>
        <v>0</v>
      </c>
      <c r="X3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0.66666666666666652</v>
      </c>
      <c r="Y35" s="39">
        <f>IFERROR(VLOOKUP(Rapid_Componente[[#This Row],[Código]],Venda_12meses[],2,FALSE),0)</f>
        <v>0</v>
      </c>
      <c r="Z35" s="44">
        <f>IFERROR(Rapid_Componente[[#This Row],[V. 12 meses]]/Rapid_Componente[[#This Row],[Proj. de V. 12 meses]],"")</f>
        <v>0</v>
      </c>
      <c r="AA35" s="22"/>
    </row>
    <row r="36" spans="1:27" x14ac:dyDescent="0.25">
      <c r="A36" s="22" t="str">
        <f>VLOOKUP(Rapid_Componente[[#This Row],[Código]],BD_Produto[#All],7,FALSE)</f>
        <v>Componente</v>
      </c>
      <c r="B3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6" s="23">
        <v>33060461721</v>
      </c>
      <c r="D36" s="22" t="s">
        <v>300</v>
      </c>
      <c r="E36" s="22" t="str">
        <f>VLOOKUP(Rapid_Componente[[#This Row],[Código]],BD_Produto[],3,FALSE)</f>
        <v>Componentes</v>
      </c>
      <c r="F36" s="22" t="str">
        <f>VLOOKUP(Rapid_Componente[[#This Row],[Código]],BD_Produto[],4,FALSE)</f>
        <v>Grampeador Heavy Duty</v>
      </c>
      <c r="G36" s="24"/>
      <c r="H36" s="25"/>
      <c r="I36" s="22"/>
      <c r="J36" s="24"/>
      <c r="K36" s="24" t="str">
        <f>IFERROR(VLOOKUP(Rapid_Componente[[#This Row],[Código]],Importação!P:R,3,FALSE),"")</f>
        <v/>
      </c>
      <c r="L36" s="24">
        <f>IFERROR(VLOOKUP(Rapid_Componente[[#This Row],[Código]],Saldo[],3,FALSE),0)</f>
        <v>2</v>
      </c>
      <c r="M36" s="24">
        <f>SUM(Rapid_Componente[[#This Row],[Produção]:[Estoque]])</f>
        <v>2</v>
      </c>
      <c r="N36" s="24">
        <f>IFERROR(Rapid_Componente[[#This Row],[Estoque+Importação]]/Rapid_Componente[[#This Row],[Proj. de V. No prox. mes]],"Sem Projeção")</f>
        <v>10</v>
      </c>
      <c r="O36" s="24">
        <f>IF(OR(Rapid_Componente[[#This Row],[Status]]="Em Linha",Rapid_Componente[[#This Row],[Status]]="Componente",Rapid_Componente[[#This Row],[Status]]="Materia Prima"),Rapid_Componente[[#This Row],[Proj. de V. No prox. mes]]*10,"-")</f>
        <v>1.9999999999999998</v>
      </c>
      <c r="P3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-2.2204460492503131E-16</v>
      </c>
      <c r="Q36" s="75">
        <f>VLOOKUP(Rapid_Componente[[#This Row],[Código]],Projeção[#All],15,FALSE)</f>
        <v>0.19999999999999998</v>
      </c>
      <c r="R36" s="39">
        <f>VLOOKUP(Rapid_Componente[[#This Row],[Código]],Projeção[#All],14,FALSE)</f>
        <v>0</v>
      </c>
      <c r="S36" s="39">
        <f>IFERROR(VLOOKUP(Rapid_Componente[[#This Row],[Código]],Venda_mes[],2,FALSE),0)</f>
        <v>0</v>
      </c>
      <c r="T36" s="44" t="str">
        <f>IFERROR(Rapid_Componente[[#This Row],[V. No mes]]/Rapid_Componente[[#This Row],[Proj. de V. No mes]],"")</f>
        <v/>
      </c>
      <c r="U36" s="43">
        <f>VLOOKUP(Rapid_Componente[[#This Row],[Código]],Projeção[#All],14,FALSE)+VLOOKUP(Rapid_Componente[[#This Row],[Código]],Projeção[#All],13,FALSE)+VLOOKUP(Rapid_Componente[[#This Row],[Código]],Projeção[#All],12,FALSE)</f>
        <v>3.3333333333333333E-2</v>
      </c>
      <c r="V36" s="39">
        <f>IFERROR(VLOOKUP(Rapid_Componente[[#This Row],[Código]],Venda_3meses[],2,FALSE),0)</f>
        <v>0</v>
      </c>
      <c r="W36" s="44">
        <f>IFERROR(Rapid_Componente[[#This Row],[V. 3 meses]]/Rapid_Componente[[#This Row],[Proj. de V. 3 meses]],"")</f>
        <v>0</v>
      </c>
      <c r="X3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0.6</v>
      </c>
      <c r="Y36" s="39">
        <f>IFERROR(VLOOKUP(Rapid_Componente[[#This Row],[Código]],Venda_12meses[],2,FALSE),0)</f>
        <v>2</v>
      </c>
      <c r="Z36" s="44">
        <f>IFERROR(Rapid_Componente[[#This Row],[V. 12 meses]]/Rapid_Componente[[#This Row],[Proj. de V. 12 meses]],"")</f>
        <v>3.3333333333333335</v>
      </c>
      <c r="AA36" s="22"/>
    </row>
    <row r="37" spans="1:27" x14ac:dyDescent="0.25">
      <c r="A37" s="22" t="str">
        <f>VLOOKUP(Rapid_Componente[[#This Row],[Código]],BD_Produto[#All],7,FALSE)</f>
        <v>Componente</v>
      </c>
      <c r="B3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7" s="23">
        <v>33060464979</v>
      </c>
      <c r="D37" s="22" t="s">
        <v>918</v>
      </c>
      <c r="E37" s="22" t="str">
        <f>VLOOKUP(Rapid_Componente[[#This Row],[Código]],BD_Produto[],3,FALSE)</f>
        <v>Componentes</v>
      </c>
      <c r="F37" s="22" t="str">
        <f>VLOOKUP(Rapid_Componente[[#This Row],[Código]],BD_Produto[],4,FALSE)</f>
        <v>Grampeador Eletrico</v>
      </c>
      <c r="G37" s="24"/>
      <c r="H37" s="25"/>
      <c r="I37" s="22"/>
      <c r="J37" s="24"/>
      <c r="K37" s="24" t="str">
        <f>IFERROR(VLOOKUP(Rapid_Componente[[#This Row],[Código]],Importação!P:R,3,FALSE),"")</f>
        <v/>
      </c>
      <c r="L37" s="24">
        <f>IFERROR(VLOOKUP(Rapid_Componente[[#This Row],[Código]],Saldo[],3,FALSE),0)</f>
        <v>11</v>
      </c>
      <c r="M37" s="24">
        <f>SUM(Rapid_Componente[[#This Row],[Produção]:[Estoque]])</f>
        <v>11</v>
      </c>
      <c r="N37" s="24" t="str">
        <f>IFERROR(Rapid_Componente[[#This Row],[Estoque+Importação]]/Rapid_Componente[[#This Row],[Proj. de V. No prox. mes]],"Sem Projeção")</f>
        <v>Sem Projeção</v>
      </c>
      <c r="O3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3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-11</v>
      </c>
      <c r="Q37" s="75">
        <f>VLOOKUP(Rapid_Componente[[#This Row],[Código]],Projeção[#All],15,FALSE)</f>
        <v>0</v>
      </c>
      <c r="R37" s="39">
        <f>VLOOKUP(Rapid_Componente[[#This Row],[Código]],Projeção[#All],14,FALSE)</f>
        <v>0</v>
      </c>
      <c r="S37" s="39">
        <f>IFERROR(VLOOKUP(Rapid_Componente[[#This Row],[Código]],Venda_mes[],2,FALSE),0)</f>
        <v>0</v>
      </c>
      <c r="T37" s="44" t="str">
        <f>IFERROR(Rapid_Componente[[#This Row],[V. No mes]]/Rapid_Componente[[#This Row],[Proj. de V. No mes]],"")</f>
        <v/>
      </c>
      <c r="U37" s="43">
        <f>VLOOKUP(Rapid_Componente[[#This Row],[Código]],Projeção[#All],14,FALSE)+VLOOKUP(Rapid_Componente[[#This Row],[Código]],Projeção[#All],13,FALSE)+VLOOKUP(Rapid_Componente[[#This Row],[Código]],Projeção[#All],12,FALSE)</f>
        <v>3.3333333333333333E-2</v>
      </c>
      <c r="V37" s="39">
        <f>IFERROR(VLOOKUP(Rapid_Componente[[#This Row],[Código]],Venda_3meses[],2,FALSE),0)</f>
        <v>0</v>
      </c>
      <c r="W37" s="44">
        <f>IFERROR(Rapid_Componente[[#This Row],[V. 3 meses]]/Rapid_Componente[[#This Row],[Proj. de V. 3 meses]],"")</f>
        <v>0</v>
      </c>
      <c r="X3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0.33333333333333331</v>
      </c>
      <c r="Y37" s="39">
        <f>IFERROR(VLOOKUP(Rapid_Componente[[#This Row],[Código]],Venda_12meses[],2,FALSE),0)</f>
        <v>0</v>
      </c>
      <c r="Z37" s="44">
        <f>IFERROR(Rapid_Componente[[#This Row],[V. 12 meses]]/Rapid_Componente[[#This Row],[Proj. de V. 12 meses]],"")</f>
        <v>0</v>
      </c>
      <c r="AA37" s="22"/>
    </row>
    <row r="38" spans="1:27" x14ac:dyDescent="0.25">
      <c r="A38" s="22" t="str">
        <f>VLOOKUP(Rapid_Componente[[#This Row],[Código]],BD_Produto[#All],7,FALSE)</f>
        <v>Componente</v>
      </c>
      <c r="B3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8" s="23">
        <v>33060414671</v>
      </c>
      <c r="D38" s="22" t="s">
        <v>233</v>
      </c>
      <c r="E38" s="22" t="str">
        <f>VLOOKUP(Rapid_Componente[[#This Row],[Código]],BD_Produto[],3,FALSE)</f>
        <v>Componentes</v>
      </c>
      <c r="F38" s="22" t="str">
        <f>VLOOKUP(Rapid_Componente[[#This Row],[Código]],BD_Produto[],4,FALSE)</f>
        <v>Grampeador Eletrico</v>
      </c>
      <c r="G38" s="24"/>
      <c r="H38" s="25"/>
      <c r="I38" s="22"/>
      <c r="J38" s="24"/>
      <c r="K38" s="24" t="str">
        <f>IFERROR(VLOOKUP(Rapid_Componente[[#This Row],[Código]],Importação!P:R,3,FALSE),"")</f>
        <v/>
      </c>
      <c r="L38" s="24">
        <f>IFERROR(VLOOKUP(Rapid_Componente[[#This Row],[Código]],Saldo[],3,FALSE),0)</f>
        <v>8</v>
      </c>
      <c r="M38" s="24">
        <f>SUM(Rapid_Componente[[#This Row],[Produção]:[Estoque]])</f>
        <v>8</v>
      </c>
      <c r="N38" s="24" t="str">
        <f>IFERROR(Rapid_Componente[[#This Row],[Estoque+Importação]]/Rapid_Componente[[#This Row],[Proj. de V. No prox. mes]],"Sem Projeção")</f>
        <v>Sem Projeção</v>
      </c>
      <c r="O3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3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-8</v>
      </c>
      <c r="Q38" s="75">
        <f>VLOOKUP(Rapid_Componente[[#This Row],[Código]],Projeção[#All],15,FALSE)</f>
        <v>0</v>
      </c>
      <c r="R38" s="39">
        <f>VLOOKUP(Rapid_Componente[[#This Row],[Código]],Projeção[#All],14,FALSE)</f>
        <v>0</v>
      </c>
      <c r="S38" s="39">
        <f>IFERROR(VLOOKUP(Rapid_Componente[[#This Row],[Código]],Venda_mes[],2,FALSE),0)</f>
        <v>0</v>
      </c>
      <c r="T38" s="44" t="str">
        <f>IFERROR(Rapid_Componente[[#This Row],[V. No mes]]/Rapid_Componente[[#This Row],[Proj. de V. No mes]],"")</f>
        <v/>
      </c>
      <c r="U3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38" s="39">
        <f>IFERROR(VLOOKUP(Rapid_Componente[[#This Row],[Código]],Venda_3meses[],2,FALSE),0)</f>
        <v>0</v>
      </c>
      <c r="W38" s="44" t="str">
        <f>IFERROR(Rapid_Componente[[#This Row],[V. 3 meses]]/Rapid_Componente[[#This Row],[Proj. de V. 3 meses]],"")</f>
        <v/>
      </c>
      <c r="X3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0.3</v>
      </c>
      <c r="Y38" s="39">
        <f>IFERROR(VLOOKUP(Rapid_Componente[[#This Row],[Código]],Venda_12meses[],2,FALSE),0)</f>
        <v>0</v>
      </c>
      <c r="Z38" s="44">
        <f>IFERROR(Rapid_Componente[[#This Row],[V. 12 meses]]/Rapid_Componente[[#This Row],[Proj. de V. 12 meses]],"")</f>
        <v>0</v>
      </c>
      <c r="AA38" s="22"/>
    </row>
    <row r="39" spans="1:27" x14ac:dyDescent="0.25">
      <c r="A39" s="22" t="str">
        <f>VLOOKUP(Rapid_Componente[[#This Row],[Código]],BD_Produto[#All],7,FALSE)</f>
        <v>Componente</v>
      </c>
      <c r="B3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39" s="23">
        <v>33060424360</v>
      </c>
      <c r="D39" s="22" t="s">
        <v>253</v>
      </c>
      <c r="E39" s="22" t="str">
        <f>VLOOKUP(Rapid_Componente[[#This Row],[Código]],BD_Produto[],3,FALSE)</f>
        <v>Componentes</v>
      </c>
      <c r="F39" s="22" t="str">
        <f>VLOOKUP(Rapid_Componente[[#This Row],[Código]],BD_Produto[],4,FALSE)</f>
        <v>Grampeador Heavy Duty</v>
      </c>
      <c r="G39" s="24"/>
      <c r="H39" s="25"/>
      <c r="I39" s="22"/>
      <c r="J39" s="24"/>
      <c r="K39" s="24" t="str">
        <f>IFERROR(VLOOKUP(Rapid_Componente[[#This Row],[Código]],Importação!P:R,3,FALSE),"")</f>
        <v/>
      </c>
      <c r="L39" s="24">
        <f>IFERROR(VLOOKUP(Rapid_Componente[[#This Row],[Código]],Saldo[],3,FALSE),0)</f>
        <v>42</v>
      </c>
      <c r="M39" s="24">
        <f>SUM(Rapid_Componente[[#This Row],[Produção]:[Estoque]])</f>
        <v>42</v>
      </c>
      <c r="N39" s="24">
        <f>IFERROR(Rapid_Componente[[#This Row],[Estoque+Importação]]/Rapid_Componente[[#This Row],[Proj. de V. No prox. mes]],"Sem Projeção")</f>
        <v>70</v>
      </c>
      <c r="O39" s="24">
        <f>IF(OR(Rapid_Componente[[#This Row],[Status]]="Em Linha",Rapid_Componente[[#This Row],[Status]]="Componente",Rapid_Componente[[#This Row],[Status]]="Materia Prima"),Rapid_Componente[[#This Row],[Proj. de V. No prox. mes]]*10,"-")</f>
        <v>6</v>
      </c>
      <c r="P3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-36</v>
      </c>
      <c r="Q39" s="75">
        <f>VLOOKUP(Rapid_Componente[[#This Row],[Código]],Projeção[#All],15,FALSE)</f>
        <v>0.6</v>
      </c>
      <c r="R39" s="39">
        <f>VLOOKUP(Rapid_Componente[[#This Row],[Código]],Projeção[#All],14,FALSE)</f>
        <v>0</v>
      </c>
      <c r="S39" s="39">
        <f>IFERROR(VLOOKUP(Rapid_Componente[[#This Row],[Código]],Venda_mes[],2,FALSE),0)</f>
        <v>0</v>
      </c>
      <c r="T39" s="44" t="str">
        <f>IFERROR(Rapid_Componente[[#This Row],[V. No mes]]/Rapid_Componente[[#This Row],[Proj. de V. No mes]],"")</f>
        <v/>
      </c>
      <c r="U3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39" s="39">
        <f>IFERROR(VLOOKUP(Rapid_Componente[[#This Row],[Código]],Venda_3meses[],2,FALSE),0)</f>
        <v>0</v>
      </c>
      <c r="W39" s="44" t="str">
        <f>IFERROR(Rapid_Componente[[#This Row],[V. 3 meses]]/Rapid_Componente[[#This Row],[Proj. de V. 3 meses]],"")</f>
        <v/>
      </c>
      <c r="X3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1.7999999999999998</v>
      </c>
      <c r="Y39" s="39">
        <f>IFERROR(VLOOKUP(Rapid_Componente[[#This Row],[Código]],Venda_12meses[],2,FALSE),0)</f>
        <v>6</v>
      </c>
      <c r="Z39" s="44">
        <f>IFERROR(Rapid_Componente[[#This Row],[V. 12 meses]]/Rapid_Componente[[#This Row],[Proj. de V. 12 meses]],"")</f>
        <v>3.3333333333333335</v>
      </c>
      <c r="AA39" s="22"/>
    </row>
    <row r="40" spans="1:27" x14ac:dyDescent="0.25">
      <c r="A40" s="22" t="str">
        <f>VLOOKUP(Rapid_Componente[[#This Row],[Código]],BD_Produto[#All],7,FALSE)</f>
        <v>Componente</v>
      </c>
      <c r="B4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0" s="23">
        <v>33060414766</v>
      </c>
      <c r="D40" s="22" t="s">
        <v>236</v>
      </c>
      <c r="E40" s="22" t="str">
        <f>VLOOKUP(Rapid_Componente[[#This Row],[Código]],BD_Produto[],3,FALSE)</f>
        <v>Componentes</v>
      </c>
      <c r="F40" s="22" t="str">
        <f>VLOOKUP(Rapid_Componente[[#This Row],[Código]],BD_Produto[],4,FALSE)</f>
        <v>Grampeador Eletrico</v>
      </c>
      <c r="G40" s="24"/>
      <c r="H40" s="25"/>
      <c r="I40" s="22"/>
      <c r="J40" s="24"/>
      <c r="K40" s="24" t="str">
        <f>IFERROR(VLOOKUP(Rapid_Componente[[#This Row],[Código]],Importação!P:R,3,FALSE),"")</f>
        <v/>
      </c>
      <c r="L40" s="24">
        <f>IFERROR(VLOOKUP(Rapid_Componente[[#This Row],[Código]],Saldo[],3,FALSE),0)</f>
        <v>29</v>
      </c>
      <c r="M40" s="24">
        <f>SUM(Rapid_Componente[[#This Row],[Produção]:[Estoque]])</f>
        <v>29</v>
      </c>
      <c r="N40" s="24" t="str">
        <f>IFERROR(Rapid_Componente[[#This Row],[Estoque+Importação]]/Rapid_Componente[[#This Row],[Proj. de V. No prox. mes]],"Sem Projeção")</f>
        <v>Sem Projeção</v>
      </c>
      <c r="O4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-29</v>
      </c>
      <c r="Q40" s="75">
        <f>VLOOKUP(Rapid_Componente[[#This Row],[Código]],Projeção[#All],15,FALSE)</f>
        <v>0</v>
      </c>
      <c r="R40" s="39">
        <f>VLOOKUP(Rapid_Componente[[#This Row],[Código]],Projeção[#All],14,FALSE)</f>
        <v>0</v>
      </c>
      <c r="S40" s="39">
        <f>IFERROR(VLOOKUP(Rapid_Componente[[#This Row],[Código]],Venda_mes[],2,FALSE),0)</f>
        <v>0</v>
      </c>
      <c r="T40" s="44" t="str">
        <f>IFERROR(Rapid_Componente[[#This Row],[V. No mes]]/Rapid_Componente[[#This Row],[Proj. de V. No mes]],"")</f>
        <v/>
      </c>
      <c r="U4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0" s="39">
        <f>IFERROR(VLOOKUP(Rapid_Componente[[#This Row],[Código]],Venda_3meses[],2,FALSE),0)</f>
        <v>0</v>
      </c>
      <c r="W40" s="44" t="str">
        <f>IFERROR(Rapid_Componente[[#This Row],[V. 3 meses]]/Rapid_Componente[[#This Row],[Proj. de V. 3 meses]],"")</f>
        <v/>
      </c>
      <c r="X4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0.3</v>
      </c>
      <c r="Y40" s="39">
        <f>IFERROR(VLOOKUP(Rapid_Componente[[#This Row],[Código]],Venda_12meses[],2,FALSE),0)</f>
        <v>0</v>
      </c>
      <c r="Z40" s="44">
        <f>IFERROR(Rapid_Componente[[#This Row],[V. 12 meses]]/Rapid_Componente[[#This Row],[Proj. de V. 12 meses]],"")</f>
        <v>0</v>
      </c>
      <c r="AA40" s="22">
        <v>17781602</v>
      </c>
    </row>
    <row r="41" spans="1:27" x14ac:dyDescent="0.25">
      <c r="A41" s="22" t="str">
        <f>VLOOKUP(Rapid_Componente[[#This Row],[Código]],BD_Produto[#All],7,FALSE)</f>
        <v>Componente</v>
      </c>
      <c r="B4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1" s="23">
        <v>33060424537</v>
      </c>
      <c r="D41" s="22" t="s">
        <v>259</v>
      </c>
      <c r="E41" s="22" t="str">
        <f>VLOOKUP(Rapid_Componente[[#This Row],[Código]],BD_Produto[],3,FALSE)</f>
        <v>Componentes</v>
      </c>
      <c r="F41" s="22" t="str">
        <f>VLOOKUP(Rapid_Componente[[#This Row],[Código]],BD_Produto[],4,FALSE)</f>
        <v>Grampeador Alicate</v>
      </c>
      <c r="G41" s="24"/>
      <c r="H41" s="25"/>
      <c r="I41" s="22"/>
      <c r="J41" s="24"/>
      <c r="K41" s="24" t="str">
        <f>IFERROR(VLOOKUP(Rapid_Componente[[#This Row],[Código]],Importação!P:R,3,FALSE),"")</f>
        <v/>
      </c>
      <c r="L41" s="24">
        <f>IFERROR(VLOOKUP(Rapid_Componente[[#This Row],[Código]],Saldo[],3,FALSE),0)</f>
        <v>26</v>
      </c>
      <c r="M41" s="24">
        <f>SUM(Rapid_Componente[[#This Row],[Produção]:[Estoque]])</f>
        <v>26</v>
      </c>
      <c r="N41" s="24" t="str">
        <f>IFERROR(Rapid_Componente[[#This Row],[Estoque+Importação]]/Rapid_Componente[[#This Row],[Proj. de V. No prox. mes]],"Sem Projeção")</f>
        <v>Sem Projeção</v>
      </c>
      <c r="O4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-26</v>
      </c>
      <c r="Q41" s="75">
        <f>VLOOKUP(Rapid_Componente[[#This Row],[Código]],Projeção[#All],15,FALSE)</f>
        <v>0</v>
      </c>
      <c r="R41" s="39">
        <f>VLOOKUP(Rapid_Componente[[#This Row],[Código]],Projeção[#All],14,FALSE)</f>
        <v>0</v>
      </c>
      <c r="S41" s="39">
        <f>IFERROR(VLOOKUP(Rapid_Componente[[#This Row],[Código]],Venda_mes[],2,FALSE),0)</f>
        <v>0</v>
      </c>
      <c r="T41" s="44" t="str">
        <f>IFERROR(Rapid_Componente[[#This Row],[V. No mes]]/Rapid_Componente[[#This Row],[Proj. de V. No mes]],"")</f>
        <v/>
      </c>
      <c r="U4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1" s="39">
        <f>IFERROR(VLOOKUP(Rapid_Componente[[#This Row],[Código]],Venda_3meses[],2,FALSE),0)</f>
        <v>0</v>
      </c>
      <c r="W41" s="44" t="str">
        <f>IFERROR(Rapid_Componente[[#This Row],[V. 3 meses]]/Rapid_Componente[[#This Row],[Proj. de V. 3 meses]],"")</f>
        <v/>
      </c>
      <c r="X4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4.333333333333333</v>
      </c>
      <c r="Y41" s="39">
        <f>IFERROR(VLOOKUP(Rapid_Componente[[#This Row],[Código]],Venda_12meses[],2,FALSE),0)</f>
        <v>0</v>
      </c>
      <c r="Z41" s="44">
        <f>IFERROR(Rapid_Componente[[#This Row],[V. 12 meses]]/Rapid_Componente[[#This Row],[Proj. de V. 12 meses]],"")</f>
        <v>0</v>
      </c>
      <c r="AA41" s="22">
        <v>12050102</v>
      </c>
    </row>
    <row r="42" spans="1:27" x14ac:dyDescent="0.25">
      <c r="A42" s="22" t="str">
        <f>VLOOKUP(Rapid_Componente[[#This Row],[Código]],BD_Produto[#All],7,FALSE)</f>
        <v>Componente</v>
      </c>
      <c r="B4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2" s="23">
        <v>33060424257</v>
      </c>
      <c r="D42" s="22" t="s">
        <v>247</v>
      </c>
      <c r="E42" s="22" t="str">
        <f>VLOOKUP(Rapid_Componente[[#This Row],[Código]],BD_Produto[],3,FALSE)</f>
        <v>Componentes</v>
      </c>
      <c r="F42" s="22" t="str">
        <f>VLOOKUP(Rapid_Componente[[#This Row],[Código]],BD_Produto[],4,FALSE)</f>
        <v>Grampeador Heavy Duty</v>
      </c>
      <c r="G42" s="24"/>
      <c r="H42" s="25"/>
      <c r="I42" s="22"/>
      <c r="J42" s="24"/>
      <c r="K42" s="24" t="str">
        <f>IFERROR(VLOOKUP(Rapid_Componente[[#This Row],[Código]],Importação!P:R,3,FALSE),"")</f>
        <v/>
      </c>
      <c r="L42" s="24">
        <f>IFERROR(VLOOKUP(Rapid_Componente[[#This Row],[Código]],Saldo[],3,FALSE),0)</f>
        <v>23</v>
      </c>
      <c r="M42" s="24">
        <f>SUM(Rapid_Componente[[#This Row],[Produção]:[Estoque]])</f>
        <v>23</v>
      </c>
      <c r="N42" s="24" t="str">
        <f>IFERROR(Rapid_Componente[[#This Row],[Estoque+Importação]]/Rapid_Componente[[#This Row],[Proj. de V. No prox. mes]],"Sem Projeção")</f>
        <v>Sem Projeção</v>
      </c>
      <c r="O4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-23</v>
      </c>
      <c r="Q42" s="75">
        <f>VLOOKUP(Rapid_Componente[[#This Row],[Código]],Projeção[#All],15,FALSE)</f>
        <v>0</v>
      </c>
      <c r="R42" s="39">
        <f>VLOOKUP(Rapid_Componente[[#This Row],[Código]],Projeção[#All],14,FALSE)</f>
        <v>0</v>
      </c>
      <c r="S42" s="39">
        <f>IFERROR(VLOOKUP(Rapid_Componente[[#This Row],[Código]],Venda_mes[],2,FALSE),0)</f>
        <v>0</v>
      </c>
      <c r="T42" s="44" t="str">
        <f>IFERROR(Rapid_Componente[[#This Row],[V. No mes]]/Rapid_Componente[[#This Row],[Proj. de V. No mes]],"")</f>
        <v/>
      </c>
      <c r="U4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2" s="39">
        <f>IFERROR(VLOOKUP(Rapid_Componente[[#This Row],[Código]],Venda_3meses[],2,FALSE),0)</f>
        <v>0</v>
      </c>
      <c r="W42" s="44" t="str">
        <f>IFERROR(Rapid_Componente[[#This Row],[V. 3 meses]]/Rapid_Componente[[#This Row],[Proj. de V. 3 meses]],"")</f>
        <v/>
      </c>
      <c r="X4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2.5</v>
      </c>
      <c r="Y42" s="39">
        <f>IFERROR(VLOOKUP(Rapid_Componente[[#This Row],[Código]],Venda_12meses[],2,FALSE),0)</f>
        <v>0</v>
      </c>
      <c r="Z42" s="44">
        <f>IFERROR(Rapid_Componente[[#This Row],[V. 12 meses]]/Rapid_Componente[[#This Row],[Proj. de V. 12 meses]],"")</f>
        <v>0</v>
      </c>
      <c r="AA42" s="22"/>
    </row>
    <row r="43" spans="1:27" x14ac:dyDescent="0.25">
      <c r="A43" s="22" t="str">
        <f>VLOOKUP(Rapid_Componente[[#This Row],[Código]],BD_Produto[#All],7,FALSE)</f>
        <v>Componente</v>
      </c>
      <c r="B4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3" s="23">
        <v>33070460775</v>
      </c>
      <c r="D43" s="22" t="s">
        <v>545</v>
      </c>
      <c r="E43" s="22" t="str">
        <f>VLOOKUP(Rapid_Componente[[#This Row],[Código]],BD_Produto[],3,FALSE)</f>
        <v>Componentes</v>
      </c>
      <c r="F43" s="22" t="str">
        <f>VLOOKUP(Rapid_Componente[[#This Row],[Código]],BD_Produto[],4,FALSE)</f>
        <v>Grampeador Eletrico</v>
      </c>
      <c r="G43" s="24"/>
      <c r="H43" s="25"/>
      <c r="I43" s="22"/>
      <c r="J43" s="24"/>
      <c r="K43" s="24" t="str">
        <f>IFERROR(VLOOKUP(Rapid_Componente[[#This Row],[Código]],Importação!P:R,3,FALSE),"")</f>
        <v/>
      </c>
      <c r="L43" s="24">
        <f>IFERROR(VLOOKUP(Rapid_Componente[[#This Row],[Código]],Saldo[],3,FALSE),0)</f>
        <v>66</v>
      </c>
      <c r="M43" s="24">
        <f>SUM(Rapid_Componente[[#This Row],[Produção]:[Estoque]])</f>
        <v>66</v>
      </c>
      <c r="N43" s="24" t="str">
        <f>IFERROR(Rapid_Componente[[#This Row],[Estoque+Importação]]/Rapid_Componente[[#This Row],[Proj. de V. No prox. mes]],"Sem Projeção")</f>
        <v>Sem Projeção</v>
      </c>
      <c r="O4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-66</v>
      </c>
      <c r="Q43" s="75">
        <f>VLOOKUP(Rapid_Componente[[#This Row],[Código]],Projeção[#All],15,FALSE)</f>
        <v>0</v>
      </c>
      <c r="R43" s="39">
        <f>VLOOKUP(Rapid_Componente[[#This Row],[Código]],Projeção[#All],14,FALSE)</f>
        <v>0</v>
      </c>
      <c r="S43" s="39">
        <f>IFERROR(VLOOKUP(Rapid_Componente[[#This Row],[Código]],Venda_mes[],2,FALSE),0)</f>
        <v>0</v>
      </c>
      <c r="T43" s="44" t="str">
        <f>IFERROR(Rapid_Componente[[#This Row],[V. No mes]]/Rapid_Componente[[#This Row],[Proj. de V. No mes]],"")</f>
        <v/>
      </c>
      <c r="U4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3" s="39">
        <f>IFERROR(VLOOKUP(Rapid_Componente[[#This Row],[Código]],Venda_3meses[],2,FALSE),0)</f>
        <v>0</v>
      </c>
      <c r="W43" s="44" t="str">
        <f>IFERROR(Rapid_Componente[[#This Row],[V. 3 meses]]/Rapid_Componente[[#This Row],[Proj. de V. 3 meses]],"")</f>
        <v/>
      </c>
      <c r="X4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0.33333333333333331</v>
      </c>
      <c r="Y43" s="39">
        <f>IFERROR(VLOOKUP(Rapid_Componente[[#This Row],[Código]],Venda_12meses[],2,FALSE),0)</f>
        <v>0</v>
      </c>
      <c r="Z43" s="44">
        <f>IFERROR(Rapid_Componente[[#This Row],[V. 12 meses]]/Rapid_Componente[[#This Row],[Proj. de V. 12 meses]],"")</f>
        <v>0</v>
      </c>
      <c r="AA43" s="22"/>
    </row>
    <row r="44" spans="1:27" x14ac:dyDescent="0.25">
      <c r="A44" s="22" t="str">
        <f>VLOOKUP(Rapid_Componente[[#This Row],[Código]],BD_Produto[#All],7,FALSE)</f>
        <v>Componente</v>
      </c>
      <c r="B4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4" s="23">
        <v>33060414665</v>
      </c>
      <c r="D44" s="22" t="s">
        <v>231</v>
      </c>
      <c r="E44" s="22" t="str">
        <f>VLOOKUP(Rapid_Componente[[#This Row],[Código]],BD_Produto[],3,FALSE)</f>
        <v>Componentes</v>
      </c>
      <c r="F44" s="22" t="str">
        <f>VLOOKUP(Rapid_Componente[[#This Row],[Código]],BD_Produto[],4,FALSE)</f>
        <v>Grampeador Alicate</v>
      </c>
      <c r="G44" s="24"/>
      <c r="H44" s="25"/>
      <c r="I44" s="22"/>
      <c r="J44" s="24"/>
      <c r="K44" s="24" t="str">
        <f>IFERROR(VLOOKUP(Rapid_Componente[[#This Row],[Código]],Importação!P:R,3,FALSE),"")</f>
        <v/>
      </c>
      <c r="L44" s="24">
        <f>IFERROR(VLOOKUP(Rapid_Componente[[#This Row],[Código]],Saldo[],3,FALSE),0)</f>
        <v>448</v>
      </c>
      <c r="M44" s="24">
        <f>SUM(Rapid_Componente[[#This Row],[Produção]:[Estoque]])</f>
        <v>448</v>
      </c>
      <c r="N44" s="24" t="str">
        <f>IFERROR(Rapid_Componente[[#This Row],[Estoque+Importação]]/Rapid_Componente[[#This Row],[Proj. de V. No prox. mes]],"Sem Projeção")</f>
        <v>Sem Projeção</v>
      </c>
      <c r="O4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-448</v>
      </c>
      <c r="Q44" s="75">
        <f>VLOOKUP(Rapid_Componente[[#This Row],[Código]],Projeção[#All],15,FALSE)</f>
        <v>0</v>
      </c>
      <c r="R44" s="39">
        <f>VLOOKUP(Rapid_Componente[[#This Row],[Código]],Projeção[#All],14,FALSE)</f>
        <v>0</v>
      </c>
      <c r="S44" s="39">
        <f>IFERROR(VLOOKUP(Rapid_Componente[[#This Row],[Código]],Venda_mes[],2,FALSE),0)</f>
        <v>0</v>
      </c>
      <c r="T44" s="44" t="str">
        <f>IFERROR(Rapid_Componente[[#This Row],[V. No mes]]/Rapid_Componente[[#This Row],[Proj. de V. No mes]],"")</f>
        <v/>
      </c>
      <c r="U4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4" s="39">
        <f>IFERROR(VLOOKUP(Rapid_Componente[[#This Row],[Código]],Venda_3meses[],2,FALSE),0)</f>
        <v>0</v>
      </c>
      <c r="W44" s="44" t="str">
        <f>IFERROR(Rapid_Componente[[#This Row],[V. 3 meses]]/Rapid_Componente[[#This Row],[Proj. de V. 3 meses]],"")</f>
        <v/>
      </c>
      <c r="X4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1.3333333333333333</v>
      </c>
      <c r="Y44" s="39">
        <f>IFERROR(VLOOKUP(Rapid_Componente[[#This Row],[Código]],Venda_12meses[],2,FALSE),0)</f>
        <v>0</v>
      </c>
      <c r="Z44" s="44">
        <f>IFERROR(Rapid_Componente[[#This Row],[V. 12 meses]]/Rapid_Componente[[#This Row],[Proj. de V. 12 meses]],"")</f>
        <v>0</v>
      </c>
      <c r="AA44" s="22">
        <v>120139</v>
      </c>
    </row>
    <row r="45" spans="1:27" x14ac:dyDescent="0.25">
      <c r="A45" s="22" t="str">
        <f>VLOOKUP(Rapid_Componente[[#This Row],[Código]],BD_Produto[#All],7,FALSE)</f>
        <v>Componente</v>
      </c>
      <c r="B4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5" s="23">
        <v>33060454041</v>
      </c>
      <c r="D45" s="22" t="s">
        <v>283</v>
      </c>
      <c r="E45" s="22" t="str">
        <f>VLOOKUP(Rapid_Componente[[#This Row],[Código]],BD_Produto[],3,FALSE)</f>
        <v>Componentes</v>
      </c>
      <c r="F45" s="22" t="str">
        <f>VLOOKUP(Rapid_Componente[[#This Row],[Código]],BD_Produto[],4,FALSE)</f>
        <v>Grampeador Eletrico</v>
      </c>
      <c r="G45" s="24"/>
      <c r="H45" s="25"/>
      <c r="I45" s="22"/>
      <c r="J45" s="24"/>
      <c r="K45" s="24" t="str">
        <f>IFERROR(VLOOKUP(Rapid_Componente[[#This Row],[Código]],Importação!P:R,3,FALSE),"")</f>
        <v/>
      </c>
      <c r="L45" s="24">
        <f>IFERROR(VLOOKUP(Rapid_Componente[[#This Row],[Código]],Saldo[],3,FALSE),0)</f>
        <v>360</v>
      </c>
      <c r="M45" s="24">
        <f>SUM(Rapid_Componente[[#This Row],[Produção]:[Estoque]])</f>
        <v>360</v>
      </c>
      <c r="N45" s="24" t="str">
        <f>IFERROR(Rapid_Componente[[#This Row],[Estoque+Importação]]/Rapid_Componente[[#This Row],[Proj. de V. No prox. mes]],"Sem Projeção")</f>
        <v>Sem Projeção</v>
      </c>
      <c r="O4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-360</v>
      </c>
      <c r="Q45" s="75">
        <f>VLOOKUP(Rapid_Componente[[#This Row],[Código]],Projeção[#All],15,FALSE)</f>
        <v>0</v>
      </c>
      <c r="R45" s="39">
        <f>VLOOKUP(Rapid_Componente[[#This Row],[Código]],Projeção[#All],14,FALSE)</f>
        <v>0</v>
      </c>
      <c r="S45" s="39">
        <f>IFERROR(VLOOKUP(Rapid_Componente[[#This Row],[Código]],Venda_mes[],2,FALSE),0)</f>
        <v>0</v>
      </c>
      <c r="T45" s="44" t="str">
        <f>IFERROR(Rapid_Componente[[#This Row],[V. No mes]]/Rapid_Componente[[#This Row],[Proj. de V. No mes]],"")</f>
        <v/>
      </c>
      <c r="U4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5" s="39">
        <f>IFERROR(VLOOKUP(Rapid_Componente[[#This Row],[Código]],Venda_3meses[],2,FALSE),0)</f>
        <v>0</v>
      </c>
      <c r="W45" s="44" t="str">
        <f>IFERROR(Rapid_Componente[[#This Row],[V. 3 meses]]/Rapid_Componente[[#This Row],[Proj. de V. 3 meses]],"")</f>
        <v/>
      </c>
      <c r="X4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45" s="39">
        <f>IFERROR(VLOOKUP(Rapid_Componente[[#This Row],[Código]],Venda_12meses[],2,FALSE),0)</f>
        <v>0</v>
      </c>
      <c r="Z45" s="44" t="str">
        <f>IFERROR(Rapid_Componente[[#This Row],[V. 12 meses]]/Rapid_Componente[[#This Row],[Proj. de V. 12 meses]],"")</f>
        <v/>
      </c>
      <c r="AA45" s="22">
        <v>184097</v>
      </c>
    </row>
    <row r="46" spans="1:27" x14ac:dyDescent="0.25">
      <c r="A46" s="22" t="str">
        <f>VLOOKUP(Rapid_Componente[[#This Row],[Código]],BD_Produto[#All],7,FALSE)</f>
        <v>Componente</v>
      </c>
      <c r="B4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6" s="23">
        <v>33060424579</v>
      </c>
      <c r="D46" s="22" t="s">
        <v>269</v>
      </c>
      <c r="E46" s="22" t="str">
        <f>VLOOKUP(Rapid_Componente[[#This Row],[Código]],BD_Produto[],3,FALSE)</f>
        <v>Componentes</v>
      </c>
      <c r="F46" s="22" t="str">
        <f>VLOOKUP(Rapid_Componente[[#This Row],[Código]],BD_Produto[],4,FALSE)</f>
        <v>Grampeador Heavy Duty</v>
      </c>
      <c r="G46" s="24"/>
      <c r="H46" s="25"/>
      <c r="I46" s="22"/>
      <c r="J46" s="24"/>
      <c r="K46" s="24" t="str">
        <f>IFERROR(VLOOKUP(Rapid_Componente[[#This Row],[Código]],Importação!P:R,3,FALSE),"")</f>
        <v/>
      </c>
      <c r="L46" s="24">
        <f>IFERROR(VLOOKUP(Rapid_Componente[[#This Row],[Código]],Saldo[],3,FALSE),0)</f>
        <v>314</v>
      </c>
      <c r="M46" s="24">
        <f>SUM(Rapid_Componente[[#This Row],[Produção]:[Estoque]])</f>
        <v>314</v>
      </c>
      <c r="N46" s="24" t="str">
        <f>IFERROR(Rapid_Componente[[#This Row],[Estoque+Importação]]/Rapid_Componente[[#This Row],[Proj. de V. No prox. mes]],"Sem Projeção")</f>
        <v>Sem Projeção</v>
      </c>
      <c r="O4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-314</v>
      </c>
      <c r="Q46" s="75">
        <f>VLOOKUP(Rapid_Componente[[#This Row],[Código]],Projeção[#All],15,FALSE)</f>
        <v>0</v>
      </c>
      <c r="R46" s="39">
        <f>VLOOKUP(Rapid_Componente[[#This Row],[Código]],Projeção[#All],14,FALSE)</f>
        <v>0</v>
      </c>
      <c r="S46" s="39">
        <f>IFERROR(VLOOKUP(Rapid_Componente[[#This Row],[Código]],Venda_mes[],2,FALSE),0)</f>
        <v>0</v>
      </c>
      <c r="T46" s="44" t="str">
        <f>IFERROR(Rapid_Componente[[#This Row],[V. No mes]]/Rapid_Componente[[#This Row],[Proj. de V. No mes]],"")</f>
        <v/>
      </c>
      <c r="U4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6" s="39">
        <f>IFERROR(VLOOKUP(Rapid_Componente[[#This Row],[Código]],Venda_3meses[],2,FALSE),0)</f>
        <v>0</v>
      </c>
      <c r="W46" s="44" t="str">
        <f>IFERROR(Rapid_Componente[[#This Row],[V. 3 meses]]/Rapid_Componente[[#This Row],[Proj. de V. 3 meses]],"")</f>
        <v/>
      </c>
      <c r="X4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46" s="39">
        <f>IFERROR(VLOOKUP(Rapid_Componente[[#This Row],[Código]],Venda_12meses[],2,FALSE),0)</f>
        <v>0</v>
      </c>
      <c r="Z46" s="44" t="str">
        <f>IFERROR(Rapid_Componente[[#This Row],[V. 12 meses]]/Rapid_Componente[[#This Row],[Proj. de V. 12 meses]],"")</f>
        <v/>
      </c>
      <c r="AA46" s="22"/>
    </row>
    <row r="47" spans="1:27" x14ac:dyDescent="0.25">
      <c r="A47" s="22" t="str">
        <f>VLOOKUP(Rapid_Componente[[#This Row],[Código]],BD_Produto[#All],7,FALSE)</f>
        <v>Componente</v>
      </c>
      <c r="B4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7" s="23">
        <v>33060424581</v>
      </c>
      <c r="D47" s="22" t="s">
        <v>271</v>
      </c>
      <c r="E47" s="22" t="str">
        <f>VLOOKUP(Rapid_Componente[[#This Row],[Código]],BD_Produto[],3,FALSE)</f>
        <v>Componentes</v>
      </c>
      <c r="F47" s="22" t="str">
        <f>VLOOKUP(Rapid_Componente[[#This Row],[Código]],BD_Produto[],4,FALSE)</f>
        <v>Grampeador Heavy Duty</v>
      </c>
      <c r="G47" s="24"/>
      <c r="H47" s="25"/>
      <c r="I47" s="22"/>
      <c r="J47" s="24"/>
      <c r="K47" s="24" t="str">
        <f>IFERROR(VLOOKUP(Rapid_Componente[[#This Row],[Código]],Importação!P:R,3,FALSE),"")</f>
        <v/>
      </c>
      <c r="L47" s="24">
        <f>IFERROR(VLOOKUP(Rapid_Componente[[#This Row],[Código]],Saldo[],3,FALSE),0)</f>
        <v>307</v>
      </c>
      <c r="M47" s="24">
        <f>SUM(Rapid_Componente[[#This Row],[Produção]:[Estoque]])</f>
        <v>307</v>
      </c>
      <c r="N47" s="24" t="str">
        <f>IFERROR(Rapid_Componente[[#This Row],[Estoque+Importação]]/Rapid_Componente[[#This Row],[Proj. de V. No prox. mes]],"Sem Projeção")</f>
        <v>Sem Projeção</v>
      </c>
      <c r="O4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-307</v>
      </c>
      <c r="Q47" s="75">
        <f>VLOOKUP(Rapid_Componente[[#This Row],[Código]],Projeção[#All],15,FALSE)</f>
        <v>0</v>
      </c>
      <c r="R47" s="39">
        <f>VLOOKUP(Rapid_Componente[[#This Row],[Código]],Projeção[#All],14,FALSE)</f>
        <v>0</v>
      </c>
      <c r="S47" s="39">
        <f>IFERROR(VLOOKUP(Rapid_Componente[[#This Row],[Código]],Venda_mes[],2,FALSE),0)</f>
        <v>0</v>
      </c>
      <c r="T47" s="44" t="str">
        <f>IFERROR(Rapid_Componente[[#This Row],[V. No mes]]/Rapid_Componente[[#This Row],[Proj. de V. No mes]],"")</f>
        <v/>
      </c>
      <c r="U4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7" s="39">
        <f>IFERROR(VLOOKUP(Rapid_Componente[[#This Row],[Código]],Venda_3meses[],2,FALSE),0)</f>
        <v>0</v>
      </c>
      <c r="W47" s="44" t="str">
        <f>IFERROR(Rapid_Componente[[#This Row],[V. 3 meses]]/Rapid_Componente[[#This Row],[Proj. de V. 3 meses]],"")</f>
        <v/>
      </c>
      <c r="X4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47" s="39">
        <f>IFERROR(VLOOKUP(Rapid_Componente[[#This Row],[Código]],Venda_12meses[],2,FALSE),0)</f>
        <v>0</v>
      </c>
      <c r="Z47" s="44" t="str">
        <f>IFERROR(Rapid_Componente[[#This Row],[V. 12 meses]]/Rapid_Componente[[#This Row],[Proj. de V. 12 meses]],"")</f>
        <v/>
      </c>
      <c r="AA47" s="22"/>
    </row>
    <row r="48" spans="1:27" x14ac:dyDescent="0.25">
      <c r="A48" s="22" t="str">
        <f>VLOOKUP(Rapid_Componente[[#This Row],[Código]],BD_Produto[#All],7,FALSE)</f>
        <v>Componente</v>
      </c>
      <c r="B4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8" s="23">
        <v>33060424583</v>
      </c>
      <c r="D48" s="22" t="s">
        <v>1404</v>
      </c>
      <c r="E48" s="22" t="str">
        <f>VLOOKUP(Rapid_Componente[[#This Row],[Código]],BD_Produto[],3,FALSE)</f>
        <v>Componentes</v>
      </c>
      <c r="F48" s="22" t="str">
        <f>VLOOKUP(Rapid_Componente[[#This Row],[Código]],BD_Produto[],4,FALSE)</f>
        <v>Grampeador Heavy Duty</v>
      </c>
      <c r="G48" s="24"/>
      <c r="H48" s="25"/>
      <c r="I48" s="22"/>
      <c r="J48" s="24"/>
      <c r="K48" s="24" t="str">
        <f>IFERROR(VLOOKUP(Rapid_Componente[[#This Row],[Código]],Importação!P:R,3,FALSE),"")</f>
        <v/>
      </c>
      <c r="L48" s="24">
        <f>IFERROR(VLOOKUP(Rapid_Componente[[#This Row],[Código]],Saldo[],3,FALSE),0)</f>
        <v>302</v>
      </c>
      <c r="M48" s="24">
        <f>SUM(Rapid_Componente[[#This Row],[Produção]:[Estoque]])</f>
        <v>302</v>
      </c>
      <c r="N48" s="24" t="str">
        <f>IFERROR(Rapid_Componente[[#This Row],[Estoque+Importação]]/Rapid_Componente[[#This Row],[Proj. de V. No prox. mes]],"Sem Projeção")</f>
        <v>Sem Projeção</v>
      </c>
      <c r="O4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-302</v>
      </c>
      <c r="Q48" s="75">
        <f>VLOOKUP(Rapid_Componente[[#This Row],[Código]],Projeção[#All],15,FALSE)</f>
        <v>0</v>
      </c>
      <c r="R48" s="39">
        <f>VLOOKUP(Rapid_Componente[[#This Row],[Código]],Projeção[#All],14,FALSE)</f>
        <v>0</v>
      </c>
      <c r="S48" s="39">
        <f>IFERROR(VLOOKUP(Rapid_Componente[[#This Row],[Código]],Venda_mes[],2,FALSE),0)</f>
        <v>0</v>
      </c>
      <c r="T48" s="44" t="str">
        <f>IFERROR(Rapid_Componente[[#This Row],[V. No mes]]/Rapid_Componente[[#This Row],[Proj. de V. No mes]],"")</f>
        <v/>
      </c>
      <c r="U4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8" s="39">
        <f>IFERROR(VLOOKUP(Rapid_Componente[[#This Row],[Código]],Venda_3meses[],2,FALSE),0)</f>
        <v>0</v>
      </c>
      <c r="W48" s="44" t="str">
        <f>IFERROR(Rapid_Componente[[#This Row],[V. 3 meses]]/Rapid_Componente[[#This Row],[Proj. de V. 3 meses]],"")</f>
        <v/>
      </c>
      <c r="X4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48" s="39">
        <f>IFERROR(VLOOKUP(Rapid_Componente[[#This Row],[Código]],Venda_12meses[],2,FALSE),0)</f>
        <v>0</v>
      </c>
      <c r="Z48" s="44" t="str">
        <f>IFERROR(Rapid_Componente[[#This Row],[V. 12 meses]]/Rapid_Componente[[#This Row],[Proj. de V. 12 meses]],"")</f>
        <v/>
      </c>
      <c r="AA48" s="22"/>
    </row>
    <row r="49" spans="1:27" x14ac:dyDescent="0.25">
      <c r="A49" s="22" t="str">
        <f>VLOOKUP(Rapid_Componente[[#This Row],[Código]],BD_Produto[#All],7,FALSE)</f>
        <v>Componente</v>
      </c>
      <c r="B4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49" s="23">
        <v>33060424576</v>
      </c>
      <c r="D49" s="22" t="s">
        <v>1402</v>
      </c>
      <c r="E49" s="22" t="str">
        <f>VLOOKUP(Rapid_Componente[[#This Row],[Código]],BD_Produto[],3,FALSE)</f>
        <v>Componentes</v>
      </c>
      <c r="F49" s="22" t="str">
        <f>VLOOKUP(Rapid_Componente[[#This Row],[Código]],BD_Produto[],4,FALSE)</f>
        <v>Grampeador Heavy Duty</v>
      </c>
      <c r="G49" s="24"/>
      <c r="H49" s="25"/>
      <c r="I49" s="22"/>
      <c r="J49" s="24"/>
      <c r="K49" s="24" t="str">
        <f>IFERROR(VLOOKUP(Rapid_Componente[[#This Row],[Código]],Importação!P:R,3,FALSE),"")</f>
        <v/>
      </c>
      <c r="L49" s="24">
        <f>IFERROR(VLOOKUP(Rapid_Componente[[#This Row],[Código]],Saldo[],3,FALSE),0)</f>
        <v>210</v>
      </c>
      <c r="M49" s="24">
        <f>SUM(Rapid_Componente[[#This Row],[Produção]:[Estoque]])</f>
        <v>210</v>
      </c>
      <c r="N49" s="24" t="str">
        <f>IFERROR(Rapid_Componente[[#This Row],[Estoque+Importação]]/Rapid_Componente[[#This Row],[Proj. de V. No prox. mes]],"Sem Projeção")</f>
        <v>Sem Projeção</v>
      </c>
      <c r="O4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4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-210</v>
      </c>
      <c r="Q49" s="75">
        <f>VLOOKUP(Rapid_Componente[[#This Row],[Código]],Projeção[#All],15,FALSE)</f>
        <v>0</v>
      </c>
      <c r="R49" s="39">
        <f>VLOOKUP(Rapid_Componente[[#This Row],[Código]],Projeção[#All],14,FALSE)</f>
        <v>0</v>
      </c>
      <c r="S49" s="39">
        <f>IFERROR(VLOOKUP(Rapid_Componente[[#This Row],[Código]],Venda_mes[],2,FALSE),0)</f>
        <v>0</v>
      </c>
      <c r="T49" s="44" t="str">
        <f>IFERROR(Rapid_Componente[[#This Row],[V. No mes]]/Rapid_Componente[[#This Row],[Proj. de V. No mes]],"")</f>
        <v/>
      </c>
      <c r="U4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49" s="39">
        <f>IFERROR(VLOOKUP(Rapid_Componente[[#This Row],[Código]],Venda_3meses[],2,FALSE),0)</f>
        <v>0</v>
      </c>
      <c r="W49" s="44" t="str">
        <f>IFERROR(Rapid_Componente[[#This Row],[V. 3 meses]]/Rapid_Componente[[#This Row],[Proj. de V. 3 meses]],"")</f>
        <v/>
      </c>
      <c r="X4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49" s="39">
        <f>IFERROR(VLOOKUP(Rapid_Componente[[#This Row],[Código]],Venda_12meses[],2,FALSE),0)</f>
        <v>0</v>
      </c>
      <c r="Z49" s="44" t="str">
        <f>IFERROR(Rapid_Componente[[#This Row],[V. 12 meses]]/Rapid_Componente[[#This Row],[Proj. de V. 12 meses]],"")</f>
        <v/>
      </c>
      <c r="AA49" s="22"/>
    </row>
    <row r="50" spans="1:27" x14ac:dyDescent="0.25">
      <c r="A50" s="22" t="str">
        <f>VLOOKUP(Rapid_Componente[[#This Row],[Código]],BD_Produto[#All],7,FALSE)</f>
        <v>Componente</v>
      </c>
      <c r="B5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0" s="23">
        <v>33060424585</v>
      </c>
      <c r="D50" s="22" t="s">
        <v>1401</v>
      </c>
      <c r="E50" s="22" t="str">
        <f>VLOOKUP(Rapid_Componente[[#This Row],[Código]],BD_Produto[],3,FALSE)</f>
        <v>Componentes</v>
      </c>
      <c r="F50" s="22" t="str">
        <f>VLOOKUP(Rapid_Componente[[#This Row],[Código]],BD_Produto[],4,FALSE)</f>
        <v>Grampeador Heavy Duty</v>
      </c>
      <c r="G50" s="24"/>
      <c r="H50" s="25"/>
      <c r="I50" s="22"/>
      <c r="J50" s="24"/>
      <c r="K50" s="24" t="str">
        <f>IFERROR(VLOOKUP(Rapid_Componente[[#This Row],[Código]],Importação!P:R,3,FALSE),"")</f>
        <v/>
      </c>
      <c r="L50" s="24">
        <f>IFERROR(VLOOKUP(Rapid_Componente[[#This Row],[Código]],Saldo[],3,FALSE),0)</f>
        <v>205</v>
      </c>
      <c r="M50" s="24">
        <f>SUM(Rapid_Componente[[#This Row],[Produção]:[Estoque]])</f>
        <v>205</v>
      </c>
      <c r="N50" s="24" t="str">
        <f>IFERROR(Rapid_Componente[[#This Row],[Estoque+Importação]]/Rapid_Componente[[#This Row],[Proj. de V. No prox. mes]],"Sem Projeção")</f>
        <v>Sem Projeção</v>
      </c>
      <c r="O5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-205</v>
      </c>
      <c r="Q50" s="75">
        <f>VLOOKUP(Rapid_Componente[[#This Row],[Código]],Projeção[#All],15,FALSE)</f>
        <v>0</v>
      </c>
      <c r="R50" s="39">
        <f>VLOOKUP(Rapid_Componente[[#This Row],[Código]],Projeção[#All],14,FALSE)</f>
        <v>0</v>
      </c>
      <c r="S50" s="39">
        <f>IFERROR(VLOOKUP(Rapid_Componente[[#This Row],[Código]],Venda_mes[],2,FALSE),0)</f>
        <v>0</v>
      </c>
      <c r="T50" s="44" t="str">
        <f>IFERROR(Rapid_Componente[[#This Row],[V. No mes]]/Rapid_Componente[[#This Row],[Proj. de V. No mes]],"")</f>
        <v/>
      </c>
      <c r="U5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0" s="39">
        <f>IFERROR(VLOOKUP(Rapid_Componente[[#This Row],[Código]],Venda_3meses[],2,FALSE),0)</f>
        <v>0</v>
      </c>
      <c r="W50" s="44" t="str">
        <f>IFERROR(Rapid_Componente[[#This Row],[V. 3 meses]]/Rapid_Componente[[#This Row],[Proj. de V. 3 meses]],"")</f>
        <v/>
      </c>
      <c r="X5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0" s="39">
        <f>IFERROR(VLOOKUP(Rapid_Componente[[#This Row],[Código]],Venda_12meses[],2,FALSE),0)</f>
        <v>0</v>
      </c>
      <c r="Z50" s="44" t="str">
        <f>IFERROR(Rapid_Componente[[#This Row],[V. 12 meses]]/Rapid_Componente[[#This Row],[Proj. de V. 12 meses]],"")</f>
        <v/>
      </c>
      <c r="AA50" s="22"/>
    </row>
    <row r="51" spans="1:27" x14ac:dyDescent="0.25">
      <c r="A51" s="22" t="str">
        <f>VLOOKUP(Rapid_Componente[[#This Row],[Código]],BD_Produto[#All],7,FALSE)</f>
        <v>Componente</v>
      </c>
      <c r="B5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1" s="23">
        <v>33060424574</v>
      </c>
      <c r="D51" s="22" t="s">
        <v>265</v>
      </c>
      <c r="E51" s="22" t="str">
        <f>VLOOKUP(Rapid_Componente[[#This Row],[Código]],BD_Produto[],3,FALSE)</f>
        <v>Componentes</v>
      </c>
      <c r="F51" s="22" t="str">
        <f>VLOOKUP(Rapid_Componente[[#This Row],[Código]],BD_Produto[],4,FALSE)</f>
        <v>Grampeador Heavy Duty</v>
      </c>
      <c r="G51" s="24"/>
      <c r="H51" s="25"/>
      <c r="I51" s="22"/>
      <c r="J51" s="24"/>
      <c r="K51" s="24" t="str">
        <f>IFERROR(VLOOKUP(Rapid_Componente[[#This Row],[Código]],Importação!P:R,3,FALSE),"")</f>
        <v/>
      </c>
      <c r="L51" s="24">
        <f>IFERROR(VLOOKUP(Rapid_Componente[[#This Row],[Código]],Saldo[],3,FALSE),0)</f>
        <v>199</v>
      </c>
      <c r="M51" s="24">
        <f>SUM(Rapid_Componente[[#This Row],[Produção]:[Estoque]])</f>
        <v>199</v>
      </c>
      <c r="N51" s="24" t="str">
        <f>IFERROR(Rapid_Componente[[#This Row],[Estoque+Importação]]/Rapid_Componente[[#This Row],[Proj. de V. No prox. mes]],"Sem Projeção")</f>
        <v>Sem Projeção</v>
      </c>
      <c r="O5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-199</v>
      </c>
      <c r="Q51" s="75">
        <f>VLOOKUP(Rapid_Componente[[#This Row],[Código]],Projeção[#All],15,FALSE)</f>
        <v>0</v>
      </c>
      <c r="R51" s="39">
        <f>VLOOKUP(Rapid_Componente[[#This Row],[Código]],Projeção[#All],14,FALSE)</f>
        <v>0</v>
      </c>
      <c r="S51" s="39">
        <f>IFERROR(VLOOKUP(Rapid_Componente[[#This Row],[Código]],Venda_mes[],2,FALSE),0)</f>
        <v>0</v>
      </c>
      <c r="T51" s="44" t="str">
        <f>IFERROR(Rapid_Componente[[#This Row],[V. No mes]]/Rapid_Componente[[#This Row],[Proj. de V. No mes]],"")</f>
        <v/>
      </c>
      <c r="U5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1" s="39">
        <f>IFERROR(VLOOKUP(Rapid_Componente[[#This Row],[Código]],Venda_3meses[],2,FALSE),0)</f>
        <v>0</v>
      </c>
      <c r="W51" s="44" t="str">
        <f>IFERROR(Rapid_Componente[[#This Row],[V. 3 meses]]/Rapid_Componente[[#This Row],[Proj. de V. 3 meses]],"")</f>
        <v/>
      </c>
      <c r="X5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1" s="39">
        <f>IFERROR(VLOOKUP(Rapid_Componente[[#This Row],[Código]],Venda_12meses[],2,FALSE),0)</f>
        <v>0</v>
      </c>
      <c r="Z51" s="44" t="str">
        <f>IFERROR(Rapid_Componente[[#This Row],[V. 12 meses]]/Rapid_Componente[[#This Row],[Proj. de V. 12 meses]],"")</f>
        <v/>
      </c>
      <c r="AA51" s="22"/>
    </row>
    <row r="52" spans="1:27" x14ac:dyDescent="0.25">
      <c r="A52" s="22" t="str">
        <f>VLOOKUP(Rapid_Componente[[#This Row],[Código]],BD_Produto[#All],7,FALSE)</f>
        <v>Componente</v>
      </c>
      <c r="B5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2" s="23">
        <v>33060424580</v>
      </c>
      <c r="D52" s="22" t="s">
        <v>270</v>
      </c>
      <c r="E52" s="22" t="str">
        <f>VLOOKUP(Rapid_Componente[[#This Row],[Código]],BD_Produto[],3,FALSE)</f>
        <v>Componentes</v>
      </c>
      <c r="F52" s="22" t="str">
        <f>VLOOKUP(Rapid_Componente[[#This Row],[Código]],BD_Produto[],4,FALSE)</f>
        <v>Grampeador Heavy Duty</v>
      </c>
      <c r="G52" s="24"/>
      <c r="H52" s="25"/>
      <c r="I52" s="22"/>
      <c r="J52" s="24"/>
      <c r="K52" s="24" t="str">
        <f>IFERROR(VLOOKUP(Rapid_Componente[[#This Row],[Código]],Importação!P:R,3,FALSE),"")</f>
        <v/>
      </c>
      <c r="L52" s="24">
        <f>IFERROR(VLOOKUP(Rapid_Componente[[#This Row],[Código]],Saldo[],3,FALSE),0)</f>
        <v>173</v>
      </c>
      <c r="M52" s="24">
        <f>SUM(Rapid_Componente[[#This Row],[Produção]:[Estoque]])</f>
        <v>173</v>
      </c>
      <c r="N52" s="24" t="str">
        <f>IFERROR(Rapid_Componente[[#This Row],[Estoque+Importação]]/Rapid_Componente[[#This Row],[Proj. de V. No prox. mes]],"Sem Projeção")</f>
        <v>Sem Projeção</v>
      </c>
      <c r="O5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-173</v>
      </c>
      <c r="Q52" s="75">
        <f>VLOOKUP(Rapid_Componente[[#This Row],[Código]],Projeção[#All],15,FALSE)</f>
        <v>0</v>
      </c>
      <c r="R52" s="39">
        <f>VLOOKUP(Rapid_Componente[[#This Row],[Código]],Projeção[#All],14,FALSE)</f>
        <v>0</v>
      </c>
      <c r="S52" s="39">
        <f>IFERROR(VLOOKUP(Rapid_Componente[[#This Row],[Código]],Venda_mes[],2,FALSE),0)</f>
        <v>0</v>
      </c>
      <c r="T52" s="44" t="str">
        <f>IFERROR(Rapid_Componente[[#This Row],[V. No mes]]/Rapid_Componente[[#This Row],[Proj. de V. No mes]],"")</f>
        <v/>
      </c>
      <c r="U5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2" s="39">
        <f>IFERROR(VLOOKUP(Rapid_Componente[[#This Row],[Código]],Venda_3meses[],2,FALSE),0)</f>
        <v>0</v>
      </c>
      <c r="W52" s="44" t="str">
        <f>IFERROR(Rapid_Componente[[#This Row],[V. 3 meses]]/Rapid_Componente[[#This Row],[Proj. de V. 3 meses]],"")</f>
        <v/>
      </c>
      <c r="X5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2" s="39">
        <f>IFERROR(VLOOKUP(Rapid_Componente[[#This Row],[Código]],Venda_12meses[],2,FALSE),0)</f>
        <v>0</v>
      </c>
      <c r="Z52" s="44" t="str">
        <f>IFERROR(Rapid_Componente[[#This Row],[V. 12 meses]]/Rapid_Componente[[#This Row],[Proj. de V. 12 meses]],"")</f>
        <v/>
      </c>
      <c r="AA52" s="22"/>
    </row>
    <row r="53" spans="1:27" x14ac:dyDescent="0.25">
      <c r="A53" s="22" t="str">
        <f>VLOOKUP(Rapid_Componente[[#This Row],[Código]],BD_Produto[#All],7,FALSE)</f>
        <v>Componente</v>
      </c>
      <c r="B5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3" s="23">
        <v>33060424563</v>
      </c>
      <c r="D53" s="22" t="s">
        <v>264</v>
      </c>
      <c r="E53" s="22" t="str">
        <f>VLOOKUP(Rapid_Componente[[#This Row],[Código]],BD_Produto[],3,FALSE)</f>
        <v>Componentes</v>
      </c>
      <c r="F53" s="22" t="str">
        <f>VLOOKUP(Rapid_Componente[[#This Row],[Código]],BD_Produto[],4,FALSE)</f>
        <v>Grampeador Heavy Duty</v>
      </c>
      <c r="G53" s="24"/>
      <c r="H53" s="25"/>
      <c r="I53" s="22"/>
      <c r="J53" s="24"/>
      <c r="K53" s="24" t="str">
        <f>IFERROR(VLOOKUP(Rapid_Componente[[#This Row],[Código]],Importação!P:R,3,FALSE),"")</f>
        <v/>
      </c>
      <c r="L53" s="24">
        <f>IFERROR(VLOOKUP(Rapid_Componente[[#This Row],[Código]],Saldo[],3,FALSE),0)</f>
        <v>109</v>
      </c>
      <c r="M53" s="24">
        <f>SUM(Rapid_Componente[[#This Row],[Produção]:[Estoque]])</f>
        <v>109</v>
      </c>
      <c r="N53" s="24" t="str">
        <f>IFERROR(Rapid_Componente[[#This Row],[Estoque+Importação]]/Rapid_Componente[[#This Row],[Proj. de V. No prox. mes]],"Sem Projeção")</f>
        <v>Sem Projeção</v>
      </c>
      <c r="O5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-109</v>
      </c>
      <c r="Q53" s="75">
        <f>VLOOKUP(Rapid_Componente[[#This Row],[Código]],Projeção[#All],15,FALSE)</f>
        <v>0</v>
      </c>
      <c r="R53" s="39">
        <f>VLOOKUP(Rapid_Componente[[#This Row],[Código]],Projeção[#All],14,FALSE)</f>
        <v>0</v>
      </c>
      <c r="S53" s="39">
        <f>IFERROR(VLOOKUP(Rapid_Componente[[#This Row],[Código]],Venda_mes[],2,FALSE),0)</f>
        <v>0</v>
      </c>
      <c r="T53" s="44" t="str">
        <f>IFERROR(Rapid_Componente[[#This Row],[V. No mes]]/Rapid_Componente[[#This Row],[Proj. de V. No mes]],"")</f>
        <v/>
      </c>
      <c r="U5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3" s="39">
        <f>IFERROR(VLOOKUP(Rapid_Componente[[#This Row],[Código]],Venda_3meses[],2,FALSE),0)</f>
        <v>0</v>
      </c>
      <c r="W53" s="44" t="str">
        <f>IFERROR(Rapid_Componente[[#This Row],[V. 3 meses]]/Rapid_Componente[[#This Row],[Proj. de V. 3 meses]],"")</f>
        <v/>
      </c>
      <c r="X5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3" s="39">
        <f>IFERROR(VLOOKUP(Rapid_Componente[[#This Row],[Código]],Venda_12meses[],2,FALSE),0)</f>
        <v>0</v>
      </c>
      <c r="Z53" s="44" t="str">
        <f>IFERROR(Rapid_Componente[[#This Row],[V. 12 meses]]/Rapid_Componente[[#This Row],[Proj. de V. 12 meses]],"")</f>
        <v/>
      </c>
      <c r="AA53" s="22"/>
    </row>
    <row r="54" spans="1:27" x14ac:dyDescent="0.25">
      <c r="A54" s="22" t="str">
        <f>VLOOKUP(Rapid_Componente[[#This Row],[Código]],BD_Produto[#All],7,FALSE)</f>
        <v>Componente</v>
      </c>
      <c r="B5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4" s="23">
        <v>33060424582</v>
      </c>
      <c r="D54" s="22" t="s">
        <v>272</v>
      </c>
      <c r="E54" s="22" t="str">
        <f>VLOOKUP(Rapid_Componente[[#This Row],[Código]],BD_Produto[],3,FALSE)</f>
        <v>Componentes</v>
      </c>
      <c r="F54" s="22" t="str">
        <f>VLOOKUP(Rapid_Componente[[#This Row],[Código]],BD_Produto[],4,FALSE)</f>
        <v>Grampeador Heavy Duty</v>
      </c>
      <c r="G54" s="24"/>
      <c r="H54" s="25"/>
      <c r="I54" s="22"/>
      <c r="J54" s="24"/>
      <c r="K54" s="24" t="str">
        <f>IFERROR(VLOOKUP(Rapid_Componente[[#This Row],[Código]],Importação!P:R,3,FALSE),"")</f>
        <v/>
      </c>
      <c r="L54" s="24">
        <f>IFERROR(VLOOKUP(Rapid_Componente[[#This Row],[Código]],Saldo[],3,FALSE),0)</f>
        <v>100</v>
      </c>
      <c r="M54" s="24">
        <f>SUM(Rapid_Componente[[#This Row],[Produção]:[Estoque]])</f>
        <v>100</v>
      </c>
      <c r="N54" s="24" t="str">
        <f>IFERROR(Rapid_Componente[[#This Row],[Estoque+Importação]]/Rapid_Componente[[#This Row],[Proj. de V. No prox. mes]],"Sem Projeção")</f>
        <v>Sem Projeção</v>
      </c>
      <c r="O5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-100</v>
      </c>
      <c r="Q54" s="75">
        <f>VLOOKUP(Rapid_Componente[[#This Row],[Código]],Projeção[#All],15,FALSE)</f>
        <v>0</v>
      </c>
      <c r="R54" s="39">
        <f>VLOOKUP(Rapid_Componente[[#This Row],[Código]],Projeção[#All],14,FALSE)</f>
        <v>0</v>
      </c>
      <c r="S54" s="39">
        <f>IFERROR(VLOOKUP(Rapid_Componente[[#This Row],[Código]],Venda_mes[],2,FALSE),0)</f>
        <v>0</v>
      </c>
      <c r="T54" s="44" t="str">
        <f>IFERROR(Rapid_Componente[[#This Row],[V. No mes]]/Rapid_Componente[[#This Row],[Proj. de V. No mes]],"")</f>
        <v/>
      </c>
      <c r="U5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4" s="39">
        <f>IFERROR(VLOOKUP(Rapid_Componente[[#This Row],[Código]],Venda_3meses[],2,FALSE),0)</f>
        <v>0</v>
      </c>
      <c r="W54" s="44" t="str">
        <f>IFERROR(Rapid_Componente[[#This Row],[V. 3 meses]]/Rapid_Componente[[#This Row],[Proj. de V. 3 meses]],"")</f>
        <v/>
      </c>
      <c r="X5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4" s="39">
        <f>IFERROR(VLOOKUP(Rapid_Componente[[#This Row],[Código]],Venda_12meses[],2,FALSE),0)</f>
        <v>0</v>
      </c>
      <c r="Z54" s="44" t="str">
        <f>IFERROR(Rapid_Componente[[#This Row],[V. 12 meses]]/Rapid_Componente[[#This Row],[Proj. de V. 12 meses]],"")</f>
        <v/>
      </c>
      <c r="AA54" s="22"/>
    </row>
    <row r="55" spans="1:27" x14ac:dyDescent="0.25">
      <c r="A55" s="22" t="str">
        <f>VLOOKUP(Rapid_Componente[[#This Row],[Código]],BD_Produto[#All],7,FALSE)</f>
        <v>Componente</v>
      </c>
      <c r="B5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5" s="23">
        <v>33060424358</v>
      </c>
      <c r="D55" s="22" t="s">
        <v>251</v>
      </c>
      <c r="E55" s="22" t="str">
        <f>VLOOKUP(Rapid_Componente[[#This Row],[Código]],BD_Produto[],3,FALSE)</f>
        <v>Componentes</v>
      </c>
      <c r="F55" s="22" t="str">
        <f>VLOOKUP(Rapid_Componente[[#This Row],[Código]],BD_Produto[],4,FALSE)</f>
        <v>Grampeador Heavy Duty</v>
      </c>
      <c r="G55" s="24"/>
      <c r="H55" s="25"/>
      <c r="I55" s="22"/>
      <c r="J55" s="24"/>
      <c r="K55" s="24" t="str">
        <f>IFERROR(VLOOKUP(Rapid_Componente[[#This Row],[Código]],Importação!P:R,3,FALSE),"")</f>
        <v/>
      </c>
      <c r="L55" s="24">
        <f>IFERROR(VLOOKUP(Rapid_Componente[[#This Row],[Código]],Saldo[],3,FALSE),0)</f>
        <v>99</v>
      </c>
      <c r="M55" s="24">
        <f>SUM(Rapid_Componente[[#This Row],[Produção]:[Estoque]])</f>
        <v>99</v>
      </c>
      <c r="N55" s="24" t="str">
        <f>IFERROR(Rapid_Componente[[#This Row],[Estoque+Importação]]/Rapid_Componente[[#This Row],[Proj. de V. No prox. mes]],"Sem Projeção")</f>
        <v>Sem Projeção</v>
      </c>
      <c r="O5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-99</v>
      </c>
      <c r="Q55" s="75">
        <f>VLOOKUP(Rapid_Componente[[#This Row],[Código]],Projeção[#All],15,FALSE)</f>
        <v>0</v>
      </c>
      <c r="R55" s="39">
        <f>VLOOKUP(Rapid_Componente[[#This Row],[Código]],Projeção[#All],14,FALSE)</f>
        <v>0</v>
      </c>
      <c r="S55" s="39">
        <f>IFERROR(VLOOKUP(Rapid_Componente[[#This Row],[Código]],Venda_mes[],2,FALSE),0)</f>
        <v>0</v>
      </c>
      <c r="T55" s="44" t="str">
        <f>IFERROR(Rapid_Componente[[#This Row],[V. No mes]]/Rapid_Componente[[#This Row],[Proj. de V. No mes]],"")</f>
        <v/>
      </c>
      <c r="U5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5" s="39">
        <f>IFERROR(VLOOKUP(Rapid_Componente[[#This Row],[Código]],Venda_3meses[],2,FALSE),0)</f>
        <v>0</v>
      </c>
      <c r="W55" s="44" t="str">
        <f>IFERROR(Rapid_Componente[[#This Row],[V. 3 meses]]/Rapid_Componente[[#This Row],[Proj. de V. 3 meses]],"")</f>
        <v/>
      </c>
      <c r="X5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5" s="39">
        <f>IFERROR(VLOOKUP(Rapid_Componente[[#This Row],[Código]],Venda_12meses[],2,FALSE),0)</f>
        <v>0</v>
      </c>
      <c r="Z55" s="44" t="str">
        <f>IFERROR(Rapid_Componente[[#This Row],[V. 12 meses]]/Rapid_Componente[[#This Row],[Proj. de V. 12 meses]],"")</f>
        <v/>
      </c>
      <c r="AA55" s="22"/>
    </row>
    <row r="56" spans="1:27" x14ac:dyDescent="0.25">
      <c r="A56" s="22" t="str">
        <f>VLOOKUP(Rapid_Componente[[#This Row],[Código]],BD_Produto[#All],7,FALSE)</f>
        <v>Componente</v>
      </c>
      <c r="B5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6" s="23">
        <v>33060424578</v>
      </c>
      <c r="D56" s="22" t="s">
        <v>268</v>
      </c>
      <c r="E56" s="22" t="str">
        <f>VLOOKUP(Rapid_Componente[[#This Row],[Código]],BD_Produto[],3,FALSE)</f>
        <v>Componentes</v>
      </c>
      <c r="F56" s="22" t="str">
        <f>VLOOKUP(Rapid_Componente[[#This Row],[Código]],BD_Produto[],4,FALSE)</f>
        <v>Grampeador Heavy Duty</v>
      </c>
      <c r="G56" s="24"/>
      <c r="H56" s="25"/>
      <c r="I56" s="22"/>
      <c r="J56" s="24"/>
      <c r="K56" s="24" t="str">
        <f>IFERROR(VLOOKUP(Rapid_Componente[[#This Row],[Código]],Importação!P:R,3,FALSE),"")</f>
        <v/>
      </c>
      <c r="L56" s="24">
        <f>IFERROR(VLOOKUP(Rapid_Componente[[#This Row],[Código]],Saldo[],3,FALSE),0)</f>
        <v>97</v>
      </c>
      <c r="M56" s="24">
        <f>SUM(Rapid_Componente[[#This Row],[Produção]:[Estoque]])</f>
        <v>97</v>
      </c>
      <c r="N56" s="24" t="str">
        <f>IFERROR(Rapid_Componente[[#This Row],[Estoque+Importação]]/Rapid_Componente[[#This Row],[Proj. de V. No prox. mes]],"Sem Projeção")</f>
        <v>Sem Projeção</v>
      </c>
      <c r="O5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-97</v>
      </c>
      <c r="Q56" s="75">
        <f>VLOOKUP(Rapid_Componente[[#This Row],[Código]],Projeção[#All],15,FALSE)</f>
        <v>0</v>
      </c>
      <c r="R56" s="39">
        <f>VLOOKUP(Rapid_Componente[[#This Row],[Código]],Projeção[#All],14,FALSE)</f>
        <v>0</v>
      </c>
      <c r="S56" s="39">
        <f>IFERROR(VLOOKUP(Rapid_Componente[[#This Row],[Código]],Venda_mes[],2,FALSE),0)</f>
        <v>0</v>
      </c>
      <c r="T56" s="44" t="str">
        <f>IFERROR(Rapid_Componente[[#This Row],[V. No mes]]/Rapid_Componente[[#This Row],[Proj. de V. No mes]],"")</f>
        <v/>
      </c>
      <c r="U5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6" s="39">
        <f>IFERROR(VLOOKUP(Rapid_Componente[[#This Row],[Código]],Venda_3meses[],2,FALSE),0)</f>
        <v>0</v>
      </c>
      <c r="W56" s="44" t="str">
        <f>IFERROR(Rapid_Componente[[#This Row],[V. 3 meses]]/Rapid_Componente[[#This Row],[Proj. de V. 3 meses]],"")</f>
        <v/>
      </c>
      <c r="X5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6" s="39">
        <f>IFERROR(VLOOKUP(Rapid_Componente[[#This Row],[Código]],Venda_12meses[],2,FALSE),0)</f>
        <v>0</v>
      </c>
      <c r="Z56" s="44" t="str">
        <f>IFERROR(Rapid_Componente[[#This Row],[V. 12 meses]]/Rapid_Componente[[#This Row],[Proj. de V. 12 meses]],"")</f>
        <v/>
      </c>
      <c r="AA56" s="22"/>
    </row>
    <row r="57" spans="1:27" x14ac:dyDescent="0.25">
      <c r="A57" s="22" t="str">
        <f>VLOOKUP(Rapid_Componente[[#This Row],[Código]],BD_Produto[#All],7,FALSE)</f>
        <v>Componente</v>
      </c>
      <c r="B5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7" s="23">
        <v>33060424562</v>
      </c>
      <c r="D57" s="22" t="s">
        <v>263</v>
      </c>
      <c r="E57" s="22" t="str">
        <f>VLOOKUP(Rapid_Componente[[#This Row],[Código]],BD_Produto[],3,FALSE)</f>
        <v>Componentes</v>
      </c>
      <c r="F57" s="22" t="str">
        <f>VLOOKUP(Rapid_Componente[[#This Row],[Código]],BD_Produto[],4,FALSE)</f>
        <v>Grampeador Heavy Duty</v>
      </c>
      <c r="G57" s="24"/>
      <c r="H57" s="25"/>
      <c r="I57" s="22"/>
      <c r="J57" s="24"/>
      <c r="K57" s="24" t="str">
        <f>IFERROR(VLOOKUP(Rapid_Componente[[#This Row],[Código]],Importação!P:R,3,FALSE),"")</f>
        <v/>
      </c>
      <c r="L57" s="24">
        <f>IFERROR(VLOOKUP(Rapid_Componente[[#This Row],[Código]],Saldo[],3,FALSE),0)</f>
        <v>92</v>
      </c>
      <c r="M57" s="24">
        <f>SUM(Rapid_Componente[[#This Row],[Produção]:[Estoque]])</f>
        <v>92</v>
      </c>
      <c r="N57" s="24" t="str">
        <f>IFERROR(Rapid_Componente[[#This Row],[Estoque+Importação]]/Rapid_Componente[[#This Row],[Proj. de V. No prox. mes]],"Sem Projeção")</f>
        <v>Sem Projeção</v>
      </c>
      <c r="O5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-92</v>
      </c>
      <c r="Q57" s="75">
        <f>VLOOKUP(Rapid_Componente[[#This Row],[Código]],Projeção[#All],15,FALSE)</f>
        <v>0</v>
      </c>
      <c r="R57" s="39">
        <f>VLOOKUP(Rapid_Componente[[#This Row],[Código]],Projeção[#All],14,FALSE)</f>
        <v>0</v>
      </c>
      <c r="S57" s="39">
        <f>IFERROR(VLOOKUP(Rapid_Componente[[#This Row],[Código]],Venda_mes[],2,FALSE),0)</f>
        <v>0</v>
      </c>
      <c r="T57" s="44" t="str">
        <f>IFERROR(Rapid_Componente[[#This Row],[V. No mes]]/Rapid_Componente[[#This Row],[Proj. de V. No mes]],"")</f>
        <v/>
      </c>
      <c r="U5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7" s="39">
        <f>IFERROR(VLOOKUP(Rapid_Componente[[#This Row],[Código]],Venda_3meses[],2,FALSE),0)</f>
        <v>0</v>
      </c>
      <c r="W57" s="44" t="str">
        <f>IFERROR(Rapid_Componente[[#This Row],[V. 3 meses]]/Rapid_Componente[[#This Row],[Proj. de V. 3 meses]],"")</f>
        <v/>
      </c>
      <c r="X5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7" s="39">
        <f>IFERROR(VLOOKUP(Rapid_Componente[[#This Row],[Código]],Venda_12meses[],2,FALSE),0)</f>
        <v>0</v>
      </c>
      <c r="Z57" s="44" t="str">
        <f>IFERROR(Rapid_Componente[[#This Row],[V. 12 meses]]/Rapid_Componente[[#This Row],[Proj. de V. 12 meses]],"")</f>
        <v/>
      </c>
      <c r="AA57" s="22"/>
    </row>
    <row r="58" spans="1:27" x14ac:dyDescent="0.25">
      <c r="A58" s="22" t="str">
        <f>VLOOKUP(Rapid_Componente[[#This Row],[Código]],BD_Produto[#All],7,FALSE)</f>
        <v>Componente</v>
      </c>
      <c r="B5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8" s="23">
        <v>33060461118</v>
      </c>
      <c r="D58" s="22" t="s">
        <v>294</v>
      </c>
      <c r="E58" s="22" t="str">
        <f>VLOOKUP(Rapid_Componente[[#This Row],[Código]],BD_Produto[],3,FALSE)</f>
        <v>Componentes</v>
      </c>
      <c r="F58" s="22" t="str">
        <f>VLOOKUP(Rapid_Componente[[#This Row],[Código]],BD_Produto[],4,FALSE)</f>
        <v>Grampeador Eletrico</v>
      </c>
      <c r="G58" s="24"/>
      <c r="H58" s="25"/>
      <c r="I58" s="22"/>
      <c r="J58" s="24"/>
      <c r="K58" s="24" t="str">
        <f>IFERROR(VLOOKUP(Rapid_Componente[[#This Row],[Código]],Importação!P:R,3,FALSE),"")</f>
        <v/>
      </c>
      <c r="L58" s="24">
        <f>IFERROR(VLOOKUP(Rapid_Componente[[#This Row],[Código]],Saldo[],3,FALSE),0)</f>
        <v>84</v>
      </c>
      <c r="M58" s="24">
        <f>SUM(Rapid_Componente[[#This Row],[Produção]:[Estoque]])</f>
        <v>84</v>
      </c>
      <c r="N58" s="24" t="str">
        <f>IFERROR(Rapid_Componente[[#This Row],[Estoque+Importação]]/Rapid_Componente[[#This Row],[Proj. de V. No prox. mes]],"Sem Projeção")</f>
        <v>Sem Projeção</v>
      </c>
      <c r="O5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-84</v>
      </c>
      <c r="Q58" s="75">
        <f>VLOOKUP(Rapid_Componente[[#This Row],[Código]],Projeção[#All],15,FALSE)</f>
        <v>0</v>
      </c>
      <c r="R58" s="39">
        <f>VLOOKUP(Rapid_Componente[[#This Row],[Código]],Projeção[#All],14,FALSE)</f>
        <v>0</v>
      </c>
      <c r="S58" s="39">
        <f>IFERROR(VLOOKUP(Rapid_Componente[[#This Row],[Código]],Venda_mes[],2,FALSE),0)</f>
        <v>0</v>
      </c>
      <c r="T58" s="44" t="str">
        <f>IFERROR(Rapid_Componente[[#This Row],[V. No mes]]/Rapid_Componente[[#This Row],[Proj. de V. No mes]],"")</f>
        <v/>
      </c>
      <c r="U5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8" s="39">
        <f>IFERROR(VLOOKUP(Rapid_Componente[[#This Row],[Código]],Venda_3meses[],2,FALSE),0)</f>
        <v>0</v>
      </c>
      <c r="W58" s="44" t="str">
        <f>IFERROR(Rapid_Componente[[#This Row],[V. 3 meses]]/Rapid_Componente[[#This Row],[Proj. de V. 3 meses]],"")</f>
        <v/>
      </c>
      <c r="X5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8" s="39">
        <f>IFERROR(VLOOKUP(Rapid_Componente[[#This Row],[Código]],Venda_12meses[],2,FALSE),0)</f>
        <v>0</v>
      </c>
      <c r="Z58" s="44" t="str">
        <f>IFERROR(Rapid_Componente[[#This Row],[V. 12 meses]]/Rapid_Componente[[#This Row],[Proj. de V. 12 meses]],"")</f>
        <v/>
      </c>
      <c r="AA58" s="22"/>
    </row>
    <row r="59" spans="1:27" x14ac:dyDescent="0.25">
      <c r="A59" s="22" t="str">
        <f>VLOOKUP(Rapid_Componente[[#This Row],[Código]],BD_Produto[#All],7,FALSE)</f>
        <v>Componente</v>
      </c>
      <c r="B5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59" s="23">
        <v>33070454047</v>
      </c>
      <c r="D59" s="22" t="s">
        <v>540</v>
      </c>
      <c r="E59" s="22" t="str">
        <f>VLOOKUP(Rapid_Componente[[#This Row],[Código]],BD_Produto[],3,FALSE)</f>
        <v>Componentes</v>
      </c>
      <c r="F59" s="22" t="str">
        <f>VLOOKUP(Rapid_Componente[[#This Row],[Código]],BD_Produto[],4,FALSE)</f>
        <v>Grampeador Pistola</v>
      </c>
      <c r="G59" s="24"/>
      <c r="H59" s="25"/>
      <c r="I59" s="22"/>
      <c r="J59" s="24"/>
      <c r="K59" s="24" t="str">
        <f>IFERROR(VLOOKUP(Rapid_Componente[[#This Row],[Código]],Importação!P:R,3,FALSE),"")</f>
        <v/>
      </c>
      <c r="L59" s="24">
        <f>IFERROR(VLOOKUP(Rapid_Componente[[#This Row],[Código]],Saldo[],3,FALSE),0)</f>
        <v>79</v>
      </c>
      <c r="M59" s="24">
        <f>SUM(Rapid_Componente[[#This Row],[Produção]:[Estoque]])</f>
        <v>79</v>
      </c>
      <c r="N59" s="24" t="str">
        <f>IFERROR(Rapid_Componente[[#This Row],[Estoque+Importação]]/Rapid_Componente[[#This Row],[Proj. de V. No prox. mes]],"Sem Projeção")</f>
        <v>Sem Projeção</v>
      </c>
      <c r="O5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5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-79</v>
      </c>
      <c r="Q59" s="75">
        <f>VLOOKUP(Rapid_Componente[[#This Row],[Código]],Projeção[#All],15,FALSE)</f>
        <v>0</v>
      </c>
      <c r="R59" s="39">
        <f>VLOOKUP(Rapid_Componente[[#This Row],[Código]],Projeção[#All],14,FALSE)</f>
        <v>0</v>
      </c>
      <c r="S59" s="39">
        <f>IFERROR(VLOOKUP(Rapid_Componente[[#This Row],[Código]],Venda_mes[],2,FALSE),0)</f>
        <v>0</v>
      </c>
      <c r="T59" s="44" t="str">
        <f>IFERROR(Rapid_Componente[[#This Row],[V. No mes]]/Rapid_Componente[[#This Row],[Proj. de V. No mes]],"")</f>
        <v/>
      </c>
      <c r="U5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59" s="39">
        <f>IFERROR(VLOOKUP(Rapid_Componente[[#This Row],[Código]],Venda_3meses[],2,FALSE),0)</f>
        <v>0</v>
      </c>
      <c r="W59" s="44" t="str">
        <f>IFERROR(Rapid_Componente[[#This Row],[V. 3 meses]]/Rapid_Componente[[#This Row],[Proj. de V. 3 meses]],"")</f>
        <v/>
      </c>
      <c r="X5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59" s="39">
        <f>IFERROR(VLOOKUP(Rapid_Componente[[#This Row],[Código]],Venda_12meses[],2,FALSE),0)</f>
        <v>0</v>
      </c>
      <c r="Z59" s="44" t="str">
        <f>IFERROR(Rapid_Componente[[#This Row],[V. 12 meses]]/Rapid_Componente[[#This Row],[Proj. de V. 12 meses]],"")</f>
        <v/>
      </c>
      <c r="AA59" s="22">
        <v>147801</v>
      </c>
    </row>
    <row r="60" spans="1:27" x14ac:dyDescent="0.25">
      <c r="A60" s="22" t="str">
        <f>VLOOKUP(Rapid_Componente[[#This Row],[Código]],BD_Produto[#All],7,FALSE)</f>
        <v>Componente</v>
      </c>
      <c r="B6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0" s="23">
        <v>33060424561</v>
      </c>
      <c r="D60" s="22" t="s">
        <v>262</v>
      </c>
      <c r="E60" s="22" t="str">
        <f>VLOOKUP(Rapid_Componente[[#This Row],[Código]],BD_Produto[],3,FALSE)</f>
        <v>Componentes</v>
      </c>
      <c r="F60" s="22" t="str">
        <f>VLOOKUP(Rapid_Componente[[#This Row],[Código]],BD_Produto[],4,FALSE)</f>
        <v>Grampeador Heavy Duty</v>
      </c>
      <c r="G60" s="24"/>
      <c r="H60" s="25"/>
      <c r="I60" s="22"/>
      <c r="J60" s="24"/>
      <c r="K60" s="24" t="str">
        <f>IFERROR(VLOOKUP(Rapid_Componente[[#This Row],[Código]],Importação!P:R,3,FALSE),"")</f>
        <v/>
      </c>
      <c r="L60" s="24">
        <f>IFERROR(VLOOKUP(Rapid_Componente[[#This Row],[Código]],Saldo[],3,FALSE),0)</f>
        <v>79</v>
      </c>
      <c r="M60" s="24">
        <f>SUM(Rapid_Componente[[#This Row],[Produção]:[Estoque]])</f>
        <v>79</v>
      </c>
      <c r="N60" s="24" t="str">
        <f>IFERROR(Rapid_Componente[[#This Row],[Estoque+Importação]]/Rapid_Componente[[#This Row],[Proj. de V. No prox. mes]],"Sem Projeção")</f>
        <v>Sem Projeção</v>
      </c>
      <c r="O6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-79</v>
      </c>
      <c r="Q60" s="75">
        <f>VLOOKUP(Rapid_Componente[[#This Row],[Código]],Projeção[#All],15,FALSE)</f>
        <v>0</v>
      </c>
      <c r="R60" s="39">
        <f>VLOOKUP(Rapid_Componente[[#This Row],[Código]],Projeção[#All],14,FALSE)</f>
        <v>0</v>
      </c>
      <c r="S60" s="39">
        <f>IFERROR(VLOOKUP(Rapid_Componente[[#This Row],[Código]],Venda_mes[],2,FALSE),0)</f>
        <v>0</v>
      </c>
      <c r="T60" s="44" t="str">
        <f>IFERROR(Rapid_Componente[[#This Row],[V. No mes]]/Rapid_Componente[[#This Row],[Proj. de V. No mes]],"")</f>
        <v/>
      </c>
      <c r="U6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0" s="39">
        <f>IFERROR(VLOOKUP(Rapid_Componente[[#This Row],[Código]],Venda_3meses[],2,FALSE),0)</f>
        <v>0</v>
      </c>
      <c r="W60" s="44" t="str">
        <f>IFERROR(Rapid_Componente[[#This Row],[V. 3 meses]]/Rapid_Componente[[#This Row],[Proj. de V. 3 meses]],"")</f>
        <v/>
      </c>
      <c r="X6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0" s="39">
        <f>IFERROR(VLOOKUP(Rapid_Componente[[#This Row],[Código]],Venda_12meses[],2,FALSE),0)</f>
        <v>0</v>
      </c>
      <c r="Z60" s="44" t="str">
        <f>IFERROR(Rapid_Componente[[#This Row],[V. 12 meses]]/Rapid_Componente[[#This Row],[Proj. de V. 12 meses]],"")</f>
        <v/>
      </c>
      <c r="AA60" s="22"/>
    </row>
    <row r="61" spans="1:27" x14ac:dyDescent="0.25">
      <c r="A61" s="22" t="str">
        <f>VLOOKUP(Rapid_Componente[[#This Row],[Código]],BD_Produto[#All],7,FALSE)</f>
        <v>Componente</v>
      </c>
      <c r="B6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1" s="23">
        <v>33060414818</v>
      </c>
      <c r="D61" s="22" t="s">
        <v>999</v>
      </c>
      <c r="E61" s="22" t="str">
        <f>VLOOKUP(Rapid_Componente[[#This Row],[Código]],BD_Produto[],3,FALSE)</f>
        <v>Componentes</v>
      </c>
      <c r="F61" s="22" t="str">
        <f>VLOOKUP(Rapid_Componente[[#This Row],[Código]],BD_Produto[],4,FALSE)</f>
        <v>Grampeador Eletrico</v>
      </c>
      <c r="G61" s="24"/>
      <c r="H61" s="25"/>
      <c r="I61" s="22"/>
      <c r="J61" s="24"/>
      <c r="K61" s="24" t="str">
        <f>IFERROR(VLOOKUP(Rapid_Componente[[#This Row],[Código]],Importação!P:R,3,FALSE),"")</f>
        <v/>
      </c>
      <c r="L61" s="24">
        <f>IFERROR(VLOOKUP(Rapid_Componente[[#This Row],[Código]],Saldo[],3,FALSE),0)</f>
        <v>62</v>
      </c>
      <c r="M61" s="24">
        <f>SUM(Rapid_Componente[[#This Row],[Produção]:[Estoque]])</f>
        <v>62</v>
      </c>
      <c r="N61" s="24" t="str">
        <f>IFERROR(Rapid_Componente[[#This Row],[Estoque+Importação]]/Rapid_Componente[[#This Row],[Proj. de V. No prox. mes]],"Sem Projeção")</f>
        <v>Sem Projeção</v>
      </c>
      <c r="O6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-62</v>
      </c>
      <c r="Q61" s="75">
        <f>VLOOKUP(Rapid_Componente[[#This Row],[Código]],Projeção[#All],15,FALSE)</f>
        <v>0</v>
      </c>
      <c r="R61" s="39">
        <f>VLOOKUP(Rapid_Componente[[#This Row],[Código]],Projeção[#All],14,FALSE)</f>
        <v>0</v>
      </c>
      <c r="S61" s="39">
        <f>IFERROR(VLOOKUP(Rapid_Componente[[#This Row],[Código]],Venda_mes[],2,FALSE),0)</f>
        <v>0</v>
      </c>
      <c r="T61" s="44" t="str">
        <f>IFERROR(Rapid_Componente[[#This Row],[V. No mes]]/Rapid_Componente[[#This Row],[Proj. de V. No mes]],"")</f>
        <v/>
      </c>
      <c r="U6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1" s="39">
        <f>IFERROR(VLOOKUP(Rapid_Componente[[#This Row],[Código]],Venda_3meses[],2,FALSE),0)</f>
        <v>0</v>
      </c>
      <c r="W61" s="44" t="str">
        <f>IFERROR(Rapid_Componente[[#This Row],[V. 3 meses]]/Rapid_Componente[[#This Row],[Proj. de V. 3 meses]],"")</f>
        <v/>
      </c>
      <c r="X6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1" s="39">
        <f>IFERROR(VLOOKUP(Rapid_Componente[[#This Row],[Código]],Venda_12meses[],2,FALSE),0)</f>
        <v>0</v>
      </c>
      <c r="Z61" s="44" t="str">
        <f>IFERROR(Rapid_Componente[[#This Row],[V. 12 meses]]/Rapid_Componente[[#This Row],[Proj. de V. 12 meses]],"")</f>
        <v/>
      </c>
      <c r="AA61" s="22">
        <v>141168</v>
      </c>
    </row>
    <row r="62" spans="1:27" x14ac:dyDescent="0.25">
      <c r="A62" s="22" t="str">
        <f>VLOOKUP(Rapid_Componente[[#This Row],[Código]],BD_Produto[#All],7,FALSE)</f>
        <v>Componente</v>
      </c>
      <c r="B6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2" s="23">
        <v>33060454052</v>
      </c>
      <c r="D62" s="22" t="s">
        <v>288</v>
      </c>
      <c r="E62" s="22" t="str">
        <f>VLOOKUP(Rapid_Componente[[#This Row],[Código]],BD_Produto[],3,FALSE)</f>
        <v>Componentes</v>
      </c>
      <c r="F62" s="22" t="str">
        <f>VLOOKUP(Rapid_Componente[[#This Row],[Código]],BD_Produto[],4,FALSE)</f>
        <v>Grampeador Eletrico</v>
      </c>
      <c r="G62" s="24"/>
      <c r="H62" s="25"/>
      <c r="I62" s="22"/>
      <c r="J62" s="24"/>
      <c r="K62" s="24" t="str">
        <f>IFERROR(VLOOKUP(Rapid_Componente[[#This Row],[Código]],Importação!P:R,3,FALSE),"")</f>
        <v/>
      </c>
      <c r="L62" s="24">
        <f>IFERROR(VLOOKUP(Rapid_Componente[[#This Row],[Código]],Saldo[],3,FALSE),0)</f>
        <v>60</v>
      </c>
      <c r="M62" s="24">
        <f>SUM(Rapid_Componente[[#This Row],[Produção]:[Estoque]])</f>
        <v>60</v>
      </c>
      <c r="N62" s="24" t="str">
        <f>IFERROR(Rapid_Componente[[#This Row],[Estoque+Importação]]/Rapid_Componente[[#This Row],[Proj. de V. No prox. mes]],"Sem Projeção")</f>
        <v>Sem Projeção</v>
      </c>
      <c r="O6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-60</v>
      </c>
      <c r="Q62" s="75">
        <f>VLOOKUP(Rapid_Componente[[#This Row],[Código]],Projeção[#All],15,FALSE)</f>
        <v>0</v>
      </c>
      <c r="R62" s="39">
        <f>VLOOKUP(Rapid_Componente[[#This Row],[Código]],Projeção[#All],14,FALSE)</f>
        <v>0</v>
      </c>
      <c r="S62" s="39">
        <f>IFERROR(VLOOKUP(Rapid_Componente[[#This Row],[Código]],Venda_mes[],2,FALSE),0)</f>
        <v>0</v>
      </c>
      <c r="T62" s="44" t="str">
        <f>IFERROR(Rapid_Componente[[#This Row],[V. No mes]]/Rapid_Componente[[#This Row],[Proj. de V. No mes]],"")</f>
        <v/>
      </c>
      <c r="U6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2" s="39">
        <f>IFERROR(VLOOKUP(Rapid_Componente[[#This Row],[Código]],Venda_3meses[],2,FALSE),0)</f>
        <v>0</v>
      </c>
      <c r="W62" s="44" t="str">
        <f>IFERROR(Rapid_Componente[[#This Row],[V. 3 meses]]/Rapid_Componente[[#This Row],[Proj. de V. 3 meses]],"")</f>
        <v/>
      </c>
      <c r="X6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2" s="39">
        <f>IFERROR(VLOOKUP(Rapid_Componente[[#This Row],[Código]],Venda_12meses[],2,FALSE),0)</f>
        <v>0</v>
      </c>
      <c r="Z62" s="44" t="str">
        <f>IFERROR(Rapid_Componente[[#This Row],[V. 12 meses]]/Rapid_Componente[[#This Row],[Proj. de V. 12 meses]],"")</f>
        <v/>
      </c>
      <c r="AA62" s="22">
        <v>177535</v>
      </c>
    </row>
    <row r="63" spans="1:27" x14ac:dyDescent="0.25">
      <c r="A63" s="22" t="str">
        <f>VLOOKUP(Rapid_Componente[[#This Row],[Código]],BD_Produto[#All],7,FALSE)</f>
        <v>Componente</v>
      </c>
      <c r="B6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3" s="23">
        <v>33060414797</v>
      </c>
      <c r="D63" s="22" t="s">
        <v>238</v>
      </c>
      <c r="E63" s="22" t="str">
        <f>VLOOKUP(Rapid_Componente[[#This Row],[Código]],BD_Produto[],3,FALSE)</f>
        <v>Componentes</v>
      </c>
      <c r="F63" s="22" t="str">
        <f>VLOOKUP(Rapid_Componente[[#This Row],[Código]],BD_Produto[],4,FALSE)</f>
        <v>Grampeador Eletrico</v>
      </c>
      <c r="G63" s="24"/>
      <c r="H63" s="25"/>
      <c r="I63" s="22"/>
      <c r="J63" s="24"/>
      <c r="K63" s="24" t="str">
        <f>IFERROR(VLOOKUP(Rapid_Componente[[#This Row],[Código]],Importação!P:R,3,FALSE),"")</f>
        <v/>
      </c>
      <c r="L63" s="24">
        <f>IFERROR(VLOOKUP(Rapid_Componente[[#This Row],[Código]],Saldo[],3,FALSE),0)</f>
        <v>60</v>
      </c>
      <c r="M63" s="24">
        <f>SUM(Rapid_Componente[[#This Row],[Produção]:[Estoque]])</f>
        <v>60</v>
      </c>
      <c r="N63" s="24" t="str">
        <f>IFERROR(Rapid_Componente[[#This Row],[Estoque+Importação]]/Rapid_Componente[[#This Row],[Proj. de V. No prox. mes]],"Sem Projeção")</f>
        <v>Sem Projeção</v>
      </c>
      <c r="O6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-60</v>
      </c>
      <c r="Q63" s="75">
        <f>VLOOKUP(Rapid_Componente[[#This Row],[Código]],Projeção[#All],15,FALSE)</f>
        <v>0</v>
      </c>
      <c r="R63" s="39">
        <f>VLOOKUP(Rapid_Componente[[#This Row],[Código]],Projeção[#All],14,FALSE)</f>
        <v>0</v>
      </c>
      <c r="S63" s="39">
        <f>IFERROR(VLOOKUP(Rapid_Componente[[#This Row],[Código]],Venda_mes[],2,FALSE),0)</f>
        <v>0</v>
      </c>
      <c r="T63" s="44" t="str">
        <f>IFERROR(Rapid_Componente[[#This Row],[V. No mes]]/Rapid_Componente[[#This Row],[Proj. de V. No mes]],"")</f>
        <v/>
      </c>
      <c r="U6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3" s="39">
        <f>IFERROR(VLOOKUP(Rapid_Componente[[#This Row],[Código]],Venda_3meses[],2,FALSE),0)</f>
        <v>0</v>
      </c>
      <c r="W63" s="44" t="str">
        <f>IFERROR(Rapid_Componente[[#This Row],[V. 3 meses]]/Rapid_Componente[[#This Row],[Proj. de V. 3 meses]],"")</f>
        <v/>
      </c>
      <c r="X6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3" s="39">
        <f>IFERROR(VLOOKUP(Rapid_Componente[[#This Row],[Código]],Venda_12meses[],2,FALSE),0)</f>
        <v>0</v>
      </c>
      <c r="Z63" s="44" t="str">
        <f>IFERROR(Rapid_Componente[[#This Row],[V. 12 meses]]/Rapid_Componente[[#This Row],[Proj. de V. 12 meses]],"")</f>
        <v/>
      </c>
      <c r="AA63" s="22" t="s">
        <v>1707</v>
      </c>
    </row>
    <row r="64" spans="1:27" x14ac:dyDescent="0.25">
      <c r="A64" s="22" t="str">
        <f>VLOOKUP(Rapid_Componente[[#This Row],[Código]],BD_Produto[#All],7,FALSE)</f>
        <v>Componente</v>
      </c>
      <c r="B6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4" s="23">
        <v>33060454044</v>
      </c>
      <c r="D64" s="22" t="s">
        <v>286</v>
      </c>
      <c r="E64" s="22" t="str">
        <f>VLOOKUP(Rapid_Componente[[#This Row],[Código]],BD_Produto[],3,FALSE)</f>
        <v>Componentes</v>
      </c>
      <c r="F64" s="22" t="str">
        <f>VLOOKUP(Rapid_Componente[[#This Row],[Código]],BD_Produto[],4,FALSE)</f>
        <v>Grampeador Eletrico</v>
      </c>
      <c r="G64" s="24"/>
      <c r="H64" s="25"/>
      <c r="I64" s="22"/>
      <c r="J64" s="24"/>
      <c r="K64" s="24" t="str">
        <f>IFERROR(VLOOKUP(Rapid_Componente[[#This Row],[Código]],Importação!P:R,3,FALSE),"")</f>
        <v/>
      </c>
      <c r="L64" s="24">
        <f>IFERROR(VLOOKUP(Rapid_Componente[[#This Row],[Código]],Saldo[],3,FALSE),0)</f>
        <v>53</v>
      </c>
      <c r="M64" s="24">
        <f>SUM(Rapid_Componente[[#This Row],[Produção]:[Estoque]])</f>
        <v>53</v>
      </c>
      <c r="N64" s="24" t="str">
        <f>IFERROR(Rapid_Componente[[#This Row],[Estoque+Importação]]/Rapid_Componente[[#This Row],[Proj. de V. No prox. mes]],"Sem Projeção")</f>
        <v>Sem Projeção</v>
      </c>
      <c r="O6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-53</v>
      </c>
      <c r="Q64" s="75">
        <f>VLOOKUP(Rapid_Componente[[#This Row],[Código]],Projeção[#All],15,FALSE)</f>
        <v>0</v>
      </c>
      <c r="R64" s="39">
        <f>VLOOKUP(Rapid_Componente[[#This Row],[Código]],Projeção[#All],14,FALSE)</f>
        <v>0</v>
      </c>
      <c r="S64" s="39">
        <f>IFERROR(VLOOKUP(Rapid_Componente[[#This Row],[Código]],Venda_mes[],2,FALSE),0)</f>
        <v>0</v>
      </c>
      <c r="T64" s="44" t="str">
        <f>IFERROR(Rapid_Componente[[#This Row],[V. No mes]]/Rapid_Componente[[#This Row],[Proj. de V. No mes]],"")</f>
        <v/>
      </c>
      <c r="U6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4" s="39">
        <f>IFERROR(VLOOKUP(Rapid_Componente[[#This Row],[Código]],Venda_3meses[],2,FALSE),0)</f>
        <v>0</v>
      </c>
      <c r="W64" s="44" t="str">
        <f>IFERROR(Rapid_Componente[[#This Row],[V. 3 meses]]/Rapid_Componente[[#This Row],[Proj. de V. 3 meses]],"")</f>
        <v/>
      </c>
      <c r="X6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4" s="39">
        <f>IFERROR(VLOOKUP(Rapid_Componente[[#This Row],[Código]],Venda_12meses[],2,FALSE),0)</f>
        <v>0</v>
      </c>
      <c r="Z64" s="44" t="str">
        <f>IFERROR(Rapid_Componente[[#This Row],[V. 12 meses]]/Rapid_Componente[[#This Row],[Proj. de V. 12 meses]],"")</f>
        <v/>
      </c>
      <c r="AA64" s="22">
        <v>184026</v>
      </c>
    </row>
    <row r="65" spans="1:27" x14ac:dyDescent="0.25">
      <c r="A65" s="22" t="str">
        <f>VLOOKUP(Rapid_Componente[[#This Row],[Código]],BD_Produto[#All],7,FALSE)</f>
        <v>Componente</v>
      </c>
      <c r="B6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5" s="23">
        <v>33060460532</v>
      </c>
      <c r="D65" s="22" t="s">
        <v>290</v>
      </c>
      <c r="E65" s="22" t="str">
        <f>VLOOKUP(Rapid_Componente[[#This Row],[Código]],BD_Produto[],3,FALSE)</f>
        <v>Componentes</v>
      </c>
      <c r="F65" s="22" t="str">
        <f>VLOOKUP(Rapid_Componente[[#This Row],[Código]],BD_Produto[],4,FALSE)</f>
        <v>Grampeador Alicate</v>
      </c>
      <c r="G65" s="24"/>
      <c r="H65" s="25"/>
      <c r="I65" s="22"/>
      <c r="J65" s="24"/>
      <c r="K65" s="24" t="str">
        <f>IFERROR(VLOOKUP(Rapid_Componente[[#This Row],[Código]],Importação!P:R,3,FALSE),"")</f>
        <v/>
      </c>
      <c r="L65" s="24">
        <f>IFERROR(VLOOKUP(Rapid_Componente[[#This Row],[Código]],Saldo[],3,FALSE),0)</f>
        <v>50</v>
      </c>
      <c r="M65" s="24">
        <f>SUM(Rapid_Componente[[#This Row],[Produção]:[Estoque]])</f>
        <v>50</v>
      </c>
      <c r="N65" s="24" t="str">
        <f>IFERROR(Rapid_Componente[[#This Row],[Estoque+Importação]]/Rapid_Componente[[#This Row],[Proj. de V. No prox. mes]],"Sem Projeção")</f>
        <v>Sem Projeção</v>
      </c>
      <c r="O6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-50</v>
      </c>
      <c r="Q65" s="75">
        <f>VLOOKUP(Rapid_Componente[[#This Row],[Código]],Projeção[#All],15,FALSE)</f>
        <v>0</v>
      </c>
      <c r="R65" s="39">
        <f>VLOOKUP(Rapid_Componente[[#This Row],[Código]],Projeção[#All],14,FALSE)</f>
        <v>0</v>
      </c>
      <c r="S65" s="39">
        <f>IFERROR(VLOOKUP(Rapid_Componente[[#This Row],[Código]],Venda_mes[],2,FALSE),0)</f>
        <v>0</v>
      </c>
      <c r="T65" s="44" t="str">
        <f>IFERROR(Rapid_Componente[[#This Row],[V. No mes]]/Rapid_Componente[[#This Row],[Proj. de V. No mes]],"")</f>
        <v/>
      </c>
      <c r="U6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5" s="39">
        <f>IFERROR(VLOOKUP(Rapid_Componente[[#This Row],[Código]],Venda_3meses[],2,FALSE),0)</f>
        <v>0</v>
      </c>
      <c r="W65" s="44" t="str">
        <f>IFERROR(Rapid_Componente[[#This Row],[V. 3 meses]]/Rapid_Componente[[#This Row],[Proj. de V. 3 meses]],"")</f>
        <v/>
      </c>
      <c r="X6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5" s="39">
        <f>IFERROR(VLOOKUP(Rapid_Componente[[#This Row],[Código]],Venda_12meses[],2,FALSE),0)</f>
        <v>0</v>
      </c>
      <c r="Z65" s="44" t="str">
        <f>IFERROR(Rapid_Componente[[#This Row],[V. 12 meses]]/Rapid_Componente[[#This Row],[Proj. de V. 12 meses]],"")</f>
        <v/>
      </c>
      <c r="AA65" s="22" t="s">
        <v>1705</v>
      </c>
    </row>
    <row r="66" spans="1:27" x14ac:dyDescent="0.25">
      <c r="A66" s="22" t="str">
        <f>VLOOKUP(Rapid_Componente[[#This Row],[Código]],BD_Produto[#All],7,FALSE)</f>
        <v>Componente</v>
      </c>
      <c r="B6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6" s="23">
        <v>33060424575</v>
      </c>
      <c r="D66" s="22" t="s">
        <v>266</v>
      </c>
      <c r="E66" s="22" t="str">
        <f>VLOOKUP(Rapid_Componente[[#This Row],[Código]],BD_Produto[],3,FALSE)</f>
        <v>Componentes</v>
      </c>
      <c r="F66" s="22" t="str">
        <f>VLOOKUP(Rapid_Componente[[#This Row],[Código]],BD_Produto[],4,FALSE)</f>
        <v>Grampeador Heavy Duty</v>
      </c>
      <c r="G66" s="24"/>
      <c r="H66" s="25"/>
      <c r="I66" s="22"/>
      <c r="J66" s="24"/>
      <c r="K66" s="24" t="str">
        <f>IFERROR(VLOOKUP(Rapid_Componente[[#This Row],[Código]],Importação!P:R,3,FALSE),"")</f>
        <v/>
      </c>
      <c r="L66" s="24">
        <f>IFERROR(VLOOKUP(Rapid_Componente[[#This Row],[Código]],Saldo[],3,FALSE),0)</f>
        <v>50</v>
      </c>
      <c r="M66" s="24">
        <f>SUM(Rapid_Componente[[#This Row],[Produção]:[Estoque]])</f>
        <v>50</v>
      </c>
      <c r="N66" s="24" t="str">
        <f>IFERROR(Rapid_Componente[[#This Row],[Estoque+Importação]]/Rapid_Componente[[#This Row],[Proj. de V. No prox. mes]],"Sem Projeção")</f>
        <v>Sem Projeção</v>
      </c>
      <c r="O6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-50</v>
      </c>
      <c r="Q66" s="75">
        <f>VLOOKUP(Rapid_Componente[[#This Row],[Código]],Projeção[#All],15,FALSE)</f>
        <v>0</v>
      </c>
      <c r="R66" s="39">
        <f>VLOOKUP(Rapid_Componente[[#This Row],[Código]],Projeção[#All],14,FALSE)</f>
        <v>0</v>
      </c>
      <c r="S66" s="39">
        <f>IFERROR(VLOOKUP(Rapid_Componente[[#This Row],[Código]],Venda_mes[],2,FALSE),0)</f>
        <v>0</v>
      </c>
      <c r="T66" s="44" t="str">
        <f>IFERROR(Rapid_Componente[[#This Row],[V. No mes]]/Rapid_Componente[[#This Row],[Proj. de V. No mes]],"")</f>
        <v/>
      </c>
      <c r="U6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6" s="39">
        <f>IFERROR(VLOOKUP(Rapid_Componente[[#This Row],[Código]],Venda_3meses[],2,FALSE),0)</f>
        <v>0</v>
      </c>
      <c r="W66" s="44" t="str">
        <f>IFERROR(Rapid_Componente[[#This Row],[V. 3 meses]]/Rapid_Componente[[#This Row],[Proj. de V. 3 meses]],"")</f>
        <v/>
      </c>
      <c r="X6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6" s="39">
        <f>IFERROR(VLOOKUP(Rapid_Componente[[#This Row],[Código]],Venda_12meses[],2,FALSE),0)</f>
        <v>0</v>
      </c>
      <c r="Z66" s="44" t="str">
        <f>IFERROR(Rapid_Componente[[#This Row],[V. 12 meses]]/Rapid_Componente[[#This Row],[Proj. de V. 12 meses]],"")</f>
        <v/>
      </c>
      <c r="AA66" s="22"/>
    </row>
    <row r="67" spans="1:27" x14ac:dyDescent="0.25">
      <c r="A67" s="22" t="str">
        <f>VLOOKUP(Rapid_Componente[[#This Row],[Código]],BD_Produto[#All],7,FALSE)</f>
        <v>Componente</v>
      </c>
      <c r="B6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7" s="23">
        <v>33060460533</v>
      </c>
      <c r="D67" s="22" t="s">
        <v>291</v>
      </c>
      <c r="E67" s="22" t="str">
        <f>VLOOKUP(Rapid_Componente[[#This Row],[Código]],BD_Produto[],3,FALSE)</f>
        <v>Componentes</v>
      </c>
      <c r="F67" s="22" t="str">
        <f>VLOOKUP(Rapid_Componente[[#This Row],[Código]],BD_Produto[],4,FALSE)</f>
        <v>Grampeador Alicate</v>
      </c>
      <c r="G67" s="24"/>
      <c r="H67" s="25"/>
      <c r="I67" s="22"/>
      <c r="J67" s="24"/>
      <c r="K67" s="24" t="str">
        <f>IFERROR(VLOOKUP(Rapid_Componente[[#This Row],[Código]],Importação!P:R,3,FALSE),"")</f>
        <v/>
      </c>
      <c r="L67" s="24">
        <f>IFERROR(VLOOKUP(Rapid_Componente[[#This Row],[Código]],Saldo[],3,FALSE),0)</f>
        <v>49</v>
      </c>
      <c r="M67" s="24">
        <f>SUM(Rapid_Componente[[#This Row],[Produção]:[Estoque]])</f>
        <v>49</v>
      </c>
      <c r="N67" s="24" t="str">
        <f>IFERROR(Rapid_Componente[[#This Row],[Estoque+Importação]]/Rapid_Componente[[#This Row],[Proj. de V. No prox. mes]],"Sem Projeção")</f>
        <v>Sem Projeção</v>
      </c>
      <c r="O6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-49</v>
      </c>
      <c r="Q67" s="75">
        <f>VLOOKUP(Rapid_Componente[[#This Row],[Código]],Projeção[#All],15,FALSE)</f>
        <v>0</v>
      </c>
      <c r="R67" s="39">
        <f>VLOOKUP(Rapid_Componente[[#This Row],[Código]],Projeção[#All],14,FALSE)</f>
        <v>0</v>
      </c>
      <c r="S67" s="39">
        <f>IFERROR(VLOOKUP(Rapid_Componente[[#This Row],[Código]],Venda_mes[],2,FALSE),0)</f>
        <v>0</v>
      </c>
      <c r="T67" s="44" t="str">
        <f>IFERROR(Rapid_Componente[[#This Row],[V. No mes]]/Rapid_Componente[[#This Row],[Proj. de V. No mes]],"")</f>
        <v/>
      </c>
      <c r="U6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7" s="39">
        <f>IFERROR(VLOOKUP(Rapid_Componente[[#This Row],[Código]],Venda_3meses[],2,FALSE),0)</f>
        <v>0</v>
      </c>
      <c r="W67" s="44" t="str">
        <f>IFERROR(Rapid_Componente[[#This Row],[V. 3 meses]]/Rapid_Componente[[#This Row],[Proj. de V. 3 meses]],"")</f>
        <v/>
      </c>
      <c r="X6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7" s="39">
        <f>IFERROR(VLOOKUP(Rapid_Componente[[#This Row],[Código]],Venda_12meses[],2,FALSE),0)</f>
        <v>0</v>
      </c>
      <c r="Z67" s="44" t="str">
        <f>IFERROR(Rapid_Componente[[#This Row],[V. 12 meses]]/Rapid_Componente[[#This Row],[Proj. de V. 12 meses]],"")</f>
        <v/>
      </c>
      <c r="AA67" s="22" t="s">
        <v>1705</v>
      </c>
    </row>
    <row r="68" spans="1:27" x14ac:dyDescent="0.25">
      <c r="A68" s="22" t="str">
        <f>VLOOKUP(Rapid_Componente[[#This Row],[Código]],BD_Produto[#All],7,FALSE)</f>
        <v>Componente</v>
      </c>
      <c r="B6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8" s="23">
        <v>33060424356</v>
      </c>
      <c r="D68" s="22" t="s">
        <v>249</v>
      </c>
      <c r="E68" s="22" t="str">
        <f>VLOOKUP(Rapid_Componente[[#This Row],[Código]],BD_Produto[],3,FALSE)</f>
        <v>Componentes</v>
      </c>
      <c r="F68" s="22" t="str">
        <f>VLOOKUP(Rapid_Componente[[#This Row],[Código]],BD_Produto[],4,FALSE)</f>
        <v>Grampeador Heavy Duty</v>
      </c>
      <c r="G68" s="24"/>
      <c r="H68" s="25"/>
      <c r="I68" s="22"/>
      <c r="J68" s="24"/>
      <c r="K68" s="24" t="str">
        <f>IFERROR(VLOOKUP(Rapid_Componente[[#This Row],[Código]],Importação!P:R,3,FALSE),"")</f>
        <v/>
      </c>
      <c r="L68" s="24">
        <f>IFERROR(VLOOKUP(Rapid_Componente[[#This Row],[Código]],Saldo[],3,FALSE),0)</f>
        <v>48</v>
      </c>
      <c r="M68" s="24">
        <f>SUM(Rapid_Componente[[#This Row],[Produção]:[Estoque]])</f>
        <v>48</v>
      </c>
      <c r="N68" s="24" t="str">
        <f>IFERROR(Rapid_Componente[[#This Row],[Estoque+Importação]]/Rapid_Componente[[#This Row],[Proj. de V. No prox. mes]],"Sem Projeção")</f>
        <v>Sem Projeção</v>
      </c>
      <c r="O6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-48</v>
      </c>
      <c r="Q68" s="75">
        <f>VLOOKUP(Rapid_Componente[[#This Row],[Código]],Projeção[#All],15,FALSE)</f>
        <v>0</v>
      </c>
      <c r="R68" s="39">
        <f>VLOOKUP(Rapid_Componente[[#This Row],[Código]],Projeção[#All],14,FALSE)</f>
        <v>0</v>
      </c>
      <c r="S68" s="39">
        <f>IFERROR(VLOOKUP(Rapid_Componente[[#This Row],[Código]],Venda_mes[],2,FALSE),0)</f>
        <v>0</v>
      </c>
      <c r="T68" s="44" t="str">
        <f>IFERROR(Rapid_Componente[[#This Row],[V. No mes]]/Rapid_Componente[[#This Row],[Proj. de V. No mes]],"")</f>
        <v/>
      </c>
      <c r="U6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8" s="39">
        <f>IFERROR(VLOOKUP(Rapid_Componente[[#This Row],[Código]],Venda_3meses[],2,FALSE),0)</f>
        <v>0</v>
      </c>
      <c r="W68" s="44" t="str">
        <f>IFERROR(Rapid_Componente[[#This Row],[V. 3 meses]]/Rapid_Componente[[#This Row],[Proj. de V. 3 meses]],"")</f>
        <v/>
      </c>
      <c r="X6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8" s="39">
        <f>IFERROR(VLOOKUP(Rapid_Componente[[#This Row],[Código]],Venda_12meses[],2,FALSE),0)</f>
        <v>0</v>
      </c>
      <c r="Z68" s="44" t="str">
        <f>IFERROR(Rapid_Componente[[#This Row],[V. 12 meses]]/Rapid_Componente[[#This Row],[Proj. de V. 12 meses]],"")</f>
        <v/>
      </c>
      <c r="AA68" s="22"/>
    </row>
    <row r="69" spans="1:27" x14ac:dyDescent="0.25">
      <c r="A69" s="22" t="str">
        <f>VLOOKUP(Rapid_Componente[[#This Row],[Código]],BD_Produto[#All],7,FALSE)</f>
        <v>Componente</v>
      </c>
      <c r="B6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69" s="23">
        <v>33060424357</v>
      </c>
      <c r="D69" s="22" t="s">
        <v>1399</v>
      </c>
      <c r="E69" s="22" t="str">
        <f>VLOOKUP(Rapid_Componente[[#This Row],[Código]],BD_Produto[],3,FALSE)</f>
        <v>Componentes</v>
      </c>
      <c r="F69" s="22" t="str">
        <f>VLOOKUP(Rapid_Componente[[#This Row],[Código]],BD_Produto[],4,FALSE)</f>
        <v>Grampeador Heavy Duty</v>
      </c>
      <c r="G69" s="24"/>
      <c r="H69" s="25"/>
      <c r="I69" s="22"/>
      <c r="J69" s="24"/>
      <c r="K69" s="24" t="str">
        <f>IFERROR(VLOOKUP(Rapid_Componente[[#This Row],[Código]],Importação!P:R,3,FALSE),"")</f>
        <v/>
      </c>
      <c r="L69" s="24">
        <f>IFERROR(VLOOKUP(Rapid_Componente[[#This Row],[Código]],Saldo[],3,FALSE),0)</f>
        <v>47</v>
      </c>
      <c r="M69" s="24">
        <f>SUM(Rapid_Componente[[#This Row],[Produção]:[Estoque]])</f>
        <v>47</v>
      </c>
      <c r="N69" s="24" t="str">
        <f>IFERROR(Rapid_Componente[[#This Row],[Estoque+Importação]]/Rapid_Componente[[#This Row],[Proj. de V. No prox. mes]],"Sem Projeção")</f>
        <v>Sem Projeção</v>
      </c>
      <c r="O6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6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-47</v>
      </c>
      <c r="Q69" s="75">
        <f>VLOOKUP(Rapid_Componente[[#This Row],[Código]],Projeção[#All],15,FALSE)</f>
        <v>0</v>
      </c>
      <c r="R69" s="39">
        <f>VLOOKUP(Rapid_Componente[[#This Row],[Código]],Projeção[#All],14,FALSE)</f>
        <v>0</v>
      </c>
      <c r="S69" s="39">
        <f>IFERROR(VLOOKUP(Rapid_Componente[[#This Row],[Código]],Venda_mes[],2,FALSE),0)</f>
        <v>0</v>
      </c>
      <c r="T69" s="44" t="str">
        <f>IFERROR(Rapid_Componente[[#This Row],[V. No mes]]/Rapid_Componente[[#This Row],[Proj. de V. No mes]],"")</f>
        <v/>
      </c>
      <c r="U6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69" s="39">
        <f>IFERROR(VLOOKUP(Rapid_Componente[[#This Row],[Código]],Venda_3meses[],2,FALSE),0)</f>
        <v>0</v>
      </c>
      <c r="W69" s="44" t="str">
        <f>IFERROR(Rapid_Componente[[#This Row],[V. 3 meses]]/Rapid_Componente[[#This Row],[Proj. de V. 3 meses]],"")</f>
        <v/>
      </c>
      <c r="X6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69" s="39">
        <f>IFERROR(VLOOKUP(Rapid_Componente[[#This Row],[Código]],Venda_12meses[],2,FALSE),0)</f>
        <v>0</v>
      </c>
      <c r="Z69" s="44" t="str">
        <f>IFERROR(Rapid_Componente[[#This Row],[V. 12 meses]]/Rapid_Componente[[#This Row],[Proj. de V. 12 meses]],"")</f>
        <v/>
      </c>
      <c r="AA69" s="22"/>
    </row>
    <row r="70" spans="1:27" x14ac:dyDescent="0.25">
      <c r="A70" s="22" t="str">
        <f>VLOOKUP(Rapid_Componente[[#This Row],[Código]],BD_Produto[#All],7,FALSE)</f>
        <v>Componente</v>
      </c>
      <c r="B7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0" s="23">
        <v>33060454046</v>
      </c>
      <c r="D70" s="22" t="s">
        <v>287</v>
      </c>
      <c r="E70" s="22" t="str">
        <f>VLOOKUP(Rapid_Componente[[#This Row],[Código]],BD_Produto[],3,FALSE)</f>
        <v>Componentes</v>
      </c>
      <c r="F70" s="22" t="str">
        <f>VLOOKUP(Rapid_Componente[[#This Row],[Código]],BD_Produto[],4,FALSE)</f>
        <v>Grampeador Alicate</v>
      </c>
      <c r="G70" s="24"/>
      <c r="H70" s="25"/>
      <c r="I70" s="22"/>
      <c r="J70" s="24"/>
      <c r="K70" s="24" t="str">
        <f>IFERROR(VLOOKUP(Rapid_Componente[[#This Row],[Código]],Importação!P:R,3,FALSE),"")</f>
        <v/>
      </c>
      <c r="L70" s="24">
        <f>IFERROR(VLOOKUP(Rapid_Componente[[#This Row],[Código]],Saldo[],3,FALSE),0)</f>
        <v>40</v>
      </c>
      <c r="M70" s="24">
        <f>SUM(Rapid_Componente[[#This Row],[Produção]:[Estoque]])</f>
        <v>40</v>
      </c>
      <c r="N70" s="24" t="str">
        <f>IFERROR(Rapid_Componente[[#This Row],[Estoque+Importação]]/Rapid_Componente[[#This Row],[Proj. de V. No prox. mes]],"Sem Projeção")</f>
        <v>Sem Projeção</v>
      </c>
      <c r="O7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-40</v>
      </c>
      <c r="Q70" s="75">
        <f>VLOOKUP(Rapid_Componente[[#This Row],[Código]],Projeção[#All],15,FALSE)</f>
        <v>0</v>
      </c>
      <c r="R70" s="39">
        <f>VLOOKUP(Rapid_Componente[[#This Row],[Código]],Projeção[#All],14,FALSE)</f>
        <v>0</v>
      </c>
      <c r="S70" s="39">
        <f>IFERROR(VLOOKUP(Rapid_Componente[[#This Row],[Código]],Venda_mes[],2,FALSE),0)</f>
        <v>0</v>
      </c>
      <c r="T70" s="44" t="str">
        <f>IFERROR(Rapid_Componente[[#This Row],[V. No mes]]/Rapid_Componente[[#This Row],[Proj. de V. No mes]],"")</f>
        <v/>
      </c>
      <c r="U7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0" s="39">
        <f>IFERROR(VLOOKUP(Rapid_Componente[[#This Row],[Código]],Venda_3meses[],2,FALSE),0)</f>
        <v>0</v>
      </c>
      <c r="W70" s="44" t="str">
        <f>IFERROR(Rapid_Componente[[#This Row],[V. 3 meses]]/Rapid_Componente[[#This Row],[Proj. de V. 3 meses]],"")</f>
        <v/>
      </c>
      <c r="X7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0" s="39">
        <f>IFERROR(VLOOKUP(Rapid_Componente[[#This Row],[Código]],Venda_12meses[],2,FALSE),0)</f>
        <v>0</v>
      </c>
      <c r="Z70" s="44" t="str">
        <f>IFERROR(Rapid_Componente[[#This Row],[V. 12 meses]]/Rapid_Componente[[#This Row],[Proj. de V. 12 meses]],"")</f>
        <v/>
      </c>
      <c r="AA70" s="22">
        <v>12050101</v>
      </c>
    </row>
    <row r="71" spans="1:27" x14ac:dyDescent="0.25">
      <c r="A71" s="22" t="str">
        <f>VLOOKUP(Rapid_Componente[[#This Row],[Código]],BD_Produto[#All],7,FALSE)</f>
        <v>Componente</v>
      </c>
      <c r="B7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1" s="23">
        <v>33060424538</v>
      </c>
      <c r="D71" s="22" t="s">
        <v>260</v>
      </c>
      <c r="E71" s="22" t="str">
        <f>VLOOKUP(Rapid_Componente[[#This Row],[Código]],BD_Produto[],3,FALSE)</f>
        <v>Componentes</v>
      </c>
      <c r="F71" s="22" t="str">
        <f>VLOOKUP(Rapid_Componente[[#This Row],[Código]],BD_Produto[],4,FALSE)</f>
        <v>Grampeador Alicate</v>
      </c>
      <c r="G71" s="24"/>
      <c r="H71" s="25"/>
      <c r="I71" s="22"/>
      <c r="J71" s="24"/>
      <c r="K71" s="24" t="str">
        <f>IFERROR(VLOOKUP(Rapid_Componente[[#This Row],[Código]],Importação!P:R,3,FALSE),"")</f>
        <v/>
      </c>
      <c r="L71" s="24">
        <f>IFERROR(VLOOKUP(Rapid_Componente[[#This Row],[Código]],Saldo[],3,FALSE),0)</f>
        <v>38</v>
      </c>
      <c r="M71" s="24">
        <f>SUM(Rapid_Componente[[#This Row],[Produção]:[Estoque]])</f>
        <v>38</v>
      </c>
      <c r="N71" s="24" t="str">
        <f>IFERROR(Rapid_Componente[[#This Row],[Estoque+Importação]]/Rapid_Componente[[#This Row],[Proj. de V. No prox. mes]],"Sem Projeção")</f>
        <v>Sem Projeção</v>
      </c>
      <c r="O7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-38</v>
      </c>
      <c r="Q71" s="75">
        <f>VLOOKUP(Rapid_Componente[[#This Row],[Código]],Projeção[#All],15,FALSE)</f>
        <v>0</v>
      </c>
      <c r="R71" s="39">
        <f>VLOOKUP(Rapid_Componente[[#This Row],[Código]],Projeção[#All],14,FALSE)</f>
        <v>0</v>
      </c>
      <c r="S71" s="39">
        <f>IFERROR(VLOOKUP(Rapid_Componente[[#This Row],[Código]],Venda_mes[],2,FALSE),0)</f>
        <v>0</v>
      </c>
      <c r="T71" s="44" t="str">
        <f>IFERROR(Rapid_Componente[[#This Row],[V. No mes]]/Rapid_Componente[[#This Row],[Proj. de V. No mes]],"")</f>
        <v/>
      </c>
      <c r="U7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1" s="39">
        <f>IFERROR(VLOOKUP(Rapid_Componente[[#This Row],[Código]],Venda_3meses[],2,FALSE),0)</f>
        <v>0</v>
      </c>
      <c r="W71" s="44" t="str">
        <f>IFERROR(Rapid_Componente[[#This Row],[V. 3 meses]]/Rapid_Componente[[#This Row],[Proj. de V. 3 meses]],"")</f>
        <v/>
      </c>
      <c r="X7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2</v>
      </c>
      <c r="Y71" s="39">
        <f>IFERROR(VLOOKUP(Rapid_Componente[[#This Row],[Código]],Venda_12meses[],2,FALSE),0)</f>
        <v>0</v>
      </c>
      <c r="Z71" s="44">
        <f>IFERROR(Rapid_Componente[[#This Row],[V. 12 meses]]/Rapid_Componente[[#This Row],[Proj. de V. 12 meses]],"")</f>
        <v>0</v>
      </c>
      <c r="AA71" s="22">
        <v>120428</v>
      </c>
    </row>
    <row r="72" spans="1:27" x14ac:dyDescent="0.25">
      <c r="A72" s="22" t="str">
        <f>VLOOKUP(Rapid_Componente[[#This Row],[Código]],BD_Produto[#All],7,FALSE)</f>
        <v>Componente</v>
      </c>
      <c r="B7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2" s="23">
        <v>33070424532</v>
      </c>
      <c r="D72" s="22" t="s">
        <v>538</v>
      </c>
      <c r="E72" s="22" t="str">
        <f>VLOOKUP(Rapid_Componente[[#This Row],[Código]],BD_Produto[],3,FALSE)</f>
        <v>Componentes</v>
      </c>
      <c r="F72" s="22" t="str">
        <f>VLOOKUP(Rapid_Componente[[#This Row],[Código]],BD_Produto[],4,FALSE)</f>
        <v>Grampeador Alicate</v>
      </c>
      <c r="G72" s="24"/>
      <c r="H72" s="25"/>
      <c r="I72" s="22"/>
      <c r="J72" s="24"/>
      <c r="K72" s="24" t="str">
        <f>IFERROR(VLOOKUP(Rapid_Componente[[#This Row],[Código]],Importação!P:R,3,FALSE),"")</f>
        <v/>
      </c>
      <c r="L72" s="24">
        <f>IFERROR(VLOOKUP(Rapid_Componente[[#This Row],[Código]],Saldo[],3,FALSE),0)</f>
        <v>40</v>
      </c>
      <c r="M72" s="24">
        <f>SUM(Rapid_Componente[[#This Row],[Produção]:[Estoque]])</f>
        <v>40</v>
      </c>
      <c r="N72" s="24" t="str">
        <f>IFERROR(Rapid_Componente[[#This Row],[Estoque+Importação]]/Rapid_Componente[[#This Row],[Proj. de V. No prox. mes]],"Sem Projeção")</f>
        <v>Sem Projeção</v>
      </c>
      <c r="O7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-40</v>
      </c>
      <c r="Q72" s="75">
        <f>VLOOKUP(Rapid_Componente[[#This Row],[Código]],Projeção[#All],15,FALSE)</f>
        <v>0</v>
      </c>
      <c r="R72" s="39">
        <f>VLOOKUP(Rapid_Componente[[#This Row],[Código]],Projeção[#All],14,FALSE)</f>
        <v>0</v>
      </c>
      <c r="S72" s="39">
        <f>IFERROR(VLOOKUP(Rapid_Componente[[#This Row],[Código]],Venda_mes[],2,FALSE),0)</f>
        <v>0</v>
      </c>
      <c r="T72" s="44" t="str">
        <f>IFERROR(Rapid_Componente[[#This Row],[V. No mes]]/Rapid_Componente[[#This Row],[Proj. de V. No mes]],"")</f>
        <v/>
      </c>
      <c r="U7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2" s="39">
        <f>IFERROR(VLOOKUP(Rapid_Componente[[#This Row],[Código]],Venda_3meses[],2,FALSE),0)</f>
        <v>0</v>
      </c>
      <c r="W72" s="44" t="str">
        <f>IFERROR(Rapid_Componente[[#This Row],[V. 3 meses]]/Rapid_Componente[[#This Row],[Proj. de V. 3 meses]],"")</f>
        <v/>
      </c>
      <c r="X7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2" s="39">
        <f>IFERROR(VLOOKUP(Rapid_Componente[[#This Row],[Código]],Venda_12meses[],2,FALSE),0)</f>
        <v>0</v>
      </c>
      <c r="Z72" s="44" t="str">
        <f>IFERROR(Rapid_Componente[[#This Row],[V. 12 meses]]/Rapid_Componente[[#This Row],[Proj. de V. 12 meses]],"")</f>
        <v/>
      </c>
      <c r="AA72" s="22"/>
    </row>
    <row r="73" spans="1:27" x14ac:dyDescent="0.25">
      <c r="A73" s="22" t="str">
        <f>VLOOKUP(Rapid_Componente[[#This Row],[Código]],BD_Produto[#All],7,FALSE)</f>
        <v>Componente</v>
      </c>
      <c r="B7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3" s="23">
        <v>33060454038</v>
      </c>
      <c r="D73" s="22" t="s">
        <v>282</v>
      </c>
      <c r="E73" s="22" t="str">
        <f>VLOOKUP(Rapid_Componente[[#This Row],[Código]],BD_Produto[],3,FALSE)</f>
        <v>Componentes</v>
      </c>
      <c r="F73" s="22" t="str">
        <f>VLOOKUP(Rapid_Componente[[#This Row],[Código]],BD_Produto[],4,FALSE)</f>
        <v>Grampeador Eletrico</v>
      </c>
      <c r="G73" s="24"/>
      <c r="H73" s="25"/>
      <c r="I73" s="22"/>
      <c r="J73" s="24"/>
      <c r="K73" s="24" t="str">
        <f>IFERROR(VLOOKUP(Rapid_Componente[[#This Row],[Código]],Importação!P:R,3,FALSE),"")</f>
        <v/>
      </c>
      <c r="L73" s="24">
        <f>IFERROR(VLOOKUP(Rapid_Componente[[#This Row],[Código]],Saldo[],3,FALSE),0)</f>
        <v>40</v>
      </c>
      <c r="M73" s="24">
        <f>SUM(Rapid_Componente[[#This Row],[Produção]:[Estoque]])</f>
        <v>40</v>
      </c>
      <c r="N73" s="24" t="str">
        <f>IFERROR(Rapid_Componente[[#This Row],[Estoque+Importação]]/Rapid_Componente[[#This Row],[Proj. de V. No prox. mes]],"Sem Projeção")</f>
        <v>Sem Projeção</v>
      </c>
      <c r="O7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-40</v>
      </c>
      <c r="Q73" s="75">
        <f>VLOOKUP(Rapid_Componente[[#This Row],[Código]],Projeção[#All],15,FALSE)</f>
        <v>0</v>
      </c>
      <c r="R73" s="39">
        <f>VLOOKUP(Rapid_Componente[[#This Row],[Código]],Projeção[#All],14,FALSE)</f>
        <v>0</v>
      </c>
      <c r="S73" s="39">
        <f>IFERROR(VLOOKUP(Rapid_Componente[[#This Row],[Código]],Venda_mes[],2,FALSE),0)</f>
        <v>0</v>
      </c>
      <c r="T73" s="44" t="str">
        <f>IFERROR(Rapid_Componente[[#This Row],[V. No mes]]/Rapid_Componente[[#This Row],[Proj. de V. No mes]],"")</f>
        <v/>
      </c>
      <c r="U7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3" s="39">
        <f>IFERROR(VLOOKUP(Rapid_Componente[[#This Row],[Código]],Venda_3meses[],2,FALSE),0)</f>
        <v>0</v>
      </c>
      <c r="W73" s="44" t="str">
        <f>IFERROR(Rapid_Componente[[#This Row],[V. 3 meses]]/Rapid_Componente[[#This Row],[Proj. de V. 3 meses]],"")</f>
        <v/>
      </c>
      <c r="X7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3" s="39">
        <f>IFERROR(VLOOKUP(Rapid_Componente[[#This Row],[Código]],Venda_12meses[],2,FALSE),0)</f>
        <v>0</v>
      </c>
      <c r="Z73" s="44" t="str">
        <f>IFERROR(Rapid_Componente[[#This Row],[V. 12 meses]]/Rapid_Componente[[#This Row],[Proj. de V. 12 meses]],"")</f>
        <v/>
      </c>
      <c r="AA73" s="22">
        <v>141333</v>
      </c>
    </row>
    <row r="74" spans="1:27" x14ac:dyDescent="0.25">
      <c r="A74" s="22" t="str">
        <f>VLOOKUP(Rapid_Componente[[#This Row],[Código]],BD_Produto[#All],7,FALSE)</f>
        <v>Componente</v>
      </c>
      <c r="B7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4" s="23">
        <v>33060454042</v>
      </c>
      <c r="D74" s="22" t="s">
        <v>284</v>
      </c>
      <c r="E74" s="22" t="str">
        <f>VLOOKUP(Rapid_Componente[[#This Row],[Código]],BD_Produto[],3,FALSE)</f>
        <v>Componentes</v>
      </c>
      <c r="F74" s="22" t="str">
        <f>VLOOKUP(Rapid_Componente[[#This Row],[Código]],BD_Produto[],4,FALSE)</f>
        <v>Grampeador Eletrico</v>
      </c>
      <c r="G74" s="24"/>
      <c r="H74" s="25"/>
      <c r="I74" s="22"/>
      <c r="J74" s="24"/>
      <c r="K74" s="24" t="str">
        <f>IFERROR(VLOOKUP(Rapid_Componente[[#This Row],[Código]],Importação!P:R,3,FALSE),"")</f>
        <v/>
      </c>
      <c r="L74" s="24">
        <f>IFERROR(VLOOKUP(Rapid_Componente[[#This Row],[Código]],Saldo[],3,FALSE),0)</f>
        <v>39</v>
      </c>
      <c r="M74" s="24">
        <f>SUM(Rapid_Componente[[#This Row],[Produção]:[Estoque]])</f>
        <v>39</v>
      </c>
      <c r="N74" s="24" t="str">
        <f>IFERROR(Rapid_Componente[[#This Row],[Estoque+Importação]]/Rapid_Componente[[#This Row],[Proj. de V. No prox. mes]],"Sem Projeção")</f>
        <v>Sem Projeção</v>
      </c>
      <c r="O7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-39</v>
      </c>
      <c r="Q74" s="75">
        <f>VLOOKUP(Rapid_Componente[[#This Row],[Código]],Projeção[#All],15,FALSE)</f>
        <v>0</v>
      </c>
      <c r="R74" s="39">
        <f>VLOOKUP(Rapid_Componente[[#This Row],[Código]],Projeção[#All],14,FALSE)</f>
        <v>0</v>
      </c>
      <c r="S74" s="39">
        <f>IFERROR(VLOOKUP(Rapid_Componente[[#This Row],[Código]],Venda_mes[],2,FALSE),0)</f>
        <v>0</v>
      </c>
      <c r="T74" s="44" t="str">
        <f>IFERROR(Rapid_Componente[[#This Row],[V. No mes]]/Rapid_Componente[[#This Row],[Proj. de V. No mes]],"")</f>
        <v/>
      </c>
      <c r="U7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4" s="39">
        <f>IFERROR(VLOOKUP(Rapid_Componente[[#This Row],[Código]],Venda_3meses[],2,FALSE),0)</f>
        <v>0</v>
      </c>
      <c r="W74" s="44" t="str">
        <f>IFERROR(Rapid_Componente[[#This Row],[V. 3 meses]]/Rapid_Componente[[#This Row],[Proj. de V. 3 meses]],"")</f>
        <v/>
      </c>
      <c r="X7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4" s="39">
        <f>IFERROR(VLOOKUP(Rapid_Componente[[#This Row],[Código]],Venda_12meses[],2,FALSE),0)</f>
        <v>0</v>
      </c>
      <c r="Z74" s="44" t="str">
        <f>IFERROR(Rapid_Componente[[#This Row],[V. 12 meses]]/Rapid_Componente[[#This Row],[Proj. de V. 12 meses]],"")</f>
        <v/>
      </c>
      <c r="AA74" s="22">
        <v>184027</v>
      </c>
    </row>
    <row r="75" spans="1:27" x14ac:dyDescent="0.25">
      <c r="A75" s="22" t="str">
        <f>VLOOKUP(Rapid_Componente[[#This Row],[Código]],BD_Produto[#All],7,FALSE)</f>
        <v>Componente</v>
      </c>
      <c r="B7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5" s="23">
        <v>33060454034</v>
      </c>
      <c r="D75" s="22" t="s">
        <v>278</v>
      </c>
      <c r="E75" s="22" t="str">
        <f>VLOOKUP(Rapid_Componente[[#This Row],[Código]],BD_Produto[],3,FALSE)</f>
        <v>Componentes</v>
      </c>
      <c r="F75" s="22" t="str">
        <f>VLOOKUP(Rapid_Componente[[#This Row],[Código]],BD_Produto[],4,FALSE)</f>
        <v>Grampeador Eletrico</v>
      </c>
      <c r="G75" s="24"/>
      <c r="H75" s="25"/>
      <c r="I75" s="22"/>
      <c r="J75" s="24"/>
      <c r="K75" s="24" t="str">
        <f>IFERROR(VLOOKUP(Rapid_Componente[[#This Row],[Código]],Importação!P:R,3,FALSE),"")</f>
        <v/>
      </c>
      <c r="L75" s="24">
        <f>IFERROR(VLOOKUP(Rapid_Componente[[#This Row],[Código]],Saldo[],3,FALSE),0)</f>
        <v>35</v>
      </c>
      <c r="M75" s="24">
        <f>SUM(Rapid_Componente[[#This Row],[Produção]:[Estoque]])</f>
        <v>35</v>
      </c>
      <c r="N75" s="24" t="str">
        <f>IFERROR(Rapid_Componente[[#This Row],[Estoque+Importação]]/Rapid_Componente[[#This Row],[Proj. de V. No prox. mes]],"Sem Projeção")</f>
        <v>Sem Projeção</v>
      </c>
      <c r="O7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-35</v>
      </c>
      <c r="Q75" s="75">
        <f>VLOOKUP(Rapid_Componente[[#This Row],[Código]],Projeção[#All],15,FALSE)</f>
        <v>0</v>
      </c>
      <c r="R75" s="39">
        <f>VLOOKUP(Rapid_Componente[[#This Row],[Código]],Projeção[#All],14,FALSE)</f>
        <v>0</v>
      </c>
      <c r="S75" s="39">
        <f>IFERROR(VLOOKUP(Rapid_Componente[[#This Row],[Código]],Venda_mes[],2,FALSE),0)</f>
        <v>0</v>
      </c>
      <c r="T75" s="44" t="str">
        <f>IFERROR(Rapid_Componente[[#This Row],[V. No mes]]/Rapid_Componente[[#This Row],[Proj. de V. No mes]],"")</f>
        <v/>
      </c>
      <c r="U7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5" s="39">
        <f>IFERROR(VLOOKUP(Rapid_Componente[[#This Row],[Código]],Venda_3meses[],2,FALSE),0)</f>
        <v>0</v>
      </c>
      <c r="W75" s="44" t="str">
        <f>IFERROR(Rapid_Componente[[#This Row],[V. 3 meses]]/Rapid_Componente[[#This Row],[Proj. de V. 3 meses]],"")</f>
        <v/>
      </c>
      <c r="X7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5" s="39">
        <f>IFERROR(VLOOKUP(Rapid_Componente[[#This Row],[Código]],Venda_12meses[],2,FALSE),0)</f>
        <v>0</v>
      </c>
      <c r="Z75" s="44" t="str">
        <f>IFERROR(Rapid_Componente[[#This Row],[V. 12 meses]]/Rapid_Componente[[#This Row],[Proj. de V. 12 meses]],"")</f>
        <v/>
      </c>
      <c r="AA75" s="22">
        <v>141267</v>
      </c>
    </row>
    <row r="76" spans="1:27" x14ac:dyDescent="0.25">
      <c r="A76" s="22" t="str">
        <f>VLOOKUP(Rapid_Componente[[#This Row],[Código]],BD_Produto[#All],7,FALSE)</f>
        <v>Componente</v>
      </c>
      <c r="B7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6" s="23">
        <v>33060460536</v>
      </c>
      <c r="D76" s="22" t="s">
        <v>292</v>
      </c>
      <c r="E76" s="22" t="str">
        <f>VLOOKUP(Rapid_Componente[[#This Row],[Código]],BD_Produto[],3,FALSE)</f>
        <v>Componentes</v>
      </c>
      <c r="F76" s="22" t="str">
        <f>VLOOKUP(Rapid_Componente[[#This Row],[Código]],BD_Produto[],4,FALSE)</f>
        <v>Grampeador Alicate</v>
      </c>
      <c r="G76" s="24"/>
      <c r="H76" s="25"/>
      <c r="I76" s="22"/>
      <c r="J76" s="24"/>
      <c r="K76" s="24" t="str">
        <f>IFERROR(VLOOKUP(Rapid_Componente[[#This Row],[Código]],Importação!P:R,3,FALSE),"")</f>
        <v/>
      </c>
      <c r="L76" s="24">
        <f>IFERROR(VLOOKUP(Rapid_Componente[[#This Row],[Código]],Saldo[],3,FALSE),0)</f>
        <v>30</v>
      </c>
      <c r="M76" s="24">
        <f>SUM(Rapid_Componente[[#This Row],[Produção]:[Estoque]])</f>
        <v>30</v>
      </c>
      <c r="N76" s="24" t="str">
        <f>IFERROR(Rapid_Componente[[#This Row],[Estoque+Importação]]/Rapid_Componente[[#This Row],[Proj. de V. No prox. mes]],"Sem Projeção")</f>
        <v>Sem Projeção</v>
      </c>
      <c r="O7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</v>
      </c>
      <c r="Q76" s="75">
        <f>VLOOKUP(Rapid_Componente[[#This Row],[Código]],Projeção[#All],15,FALSE)</f>
        <v>0</v>
      </c>
      <c r="R76" s="39">
        <f>VLOOKUP(Rapid_Componente[[#This Row],[Código]],Projeção[#All],14,FALSE)</f>
        <v>0</v>
      </c>
      <c r="S76" s="39">
        <f>IFERROR(VLOOKUP(Rapid_Componente[[#This Row],[Código]],Venda_mes[],2,FALSE),0)</f>
        <v>0</v>
      </c>
      <c r="T76" s="44" t="str">
        <f>IFERROR(Rapid_Componente[[#This Row],[V. No mes]]/Rapid_Componente[[#This Row],[Proj. de V. No mes]],"")</f>
        <v/>
      </c>
      <c r="U7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6" s="39">
        <f>IFERROR(VLOOKUP(Rapid_Componente[[#This Row],[Código]],Venda_3meses[],2,FALSE),0)</f>
        <v>0</v>
      </c>
      <c r="W76" s="44" t="str">
        <f>IFERROR(Rapid_Componente[[#This Row],[V. 3 meses]]/Rapid_Componente[[#This Row],[Proj. de V. 3 meses]],"")</f>
        <v/>
      </c>
      <c r="X7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6" s="39">
        <f>IFERROR(VLOOKUP(Rapid_Componente[[#This Row],[Código]],Venda_12meses[],2,FALSE),0)</f>
        <v>0</v>
      </c>
      <c r="Z76" s="44" t="str">
        <f>IFERROR(Rapid_Componente[[#This Row],[V. 12 meses]]/Rapid_Componente[[#This Row],[Proj. de V. 12 meses]],"")</f>
        <v/>
      </c>
      <c r="AA76" s="22" t="s">
        <v>1705</v>
      </c>
    </row>
    <row r="77" spans="1:27" x14ac:dyDescent="0.25">
      <c r="A77" s="22" t="str">
        <f>VLOOKUP(Rapid_Componente[[#This Row],[Código]],BD_Produto[#All],7,FALSE)</f>
        <v>Componente</v>
      </c>
      <c r="B7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7" s="23">
        <v>33060454043</v>
      </c>
      <c r="D77" s="22" t="s">
        <v>285</v>
      </c>
      <c r="E77" s="22" t="str">
        <f>VLOOKUP(Rapid_Componente[[#This Row],[Código]],BD_Produto[],3,FALSE)</f>
        <v>Componentes</v>
      </c>
      <c r="F77" s="22" t="str">
        <f>VLOOKUP(Rapid_Componente[[#This Row],[Código]],BD_Produto[],4,FALSE)</f>
        <v>Grampeador Eletrico</v>
      </c>
      <c r="G77" s="24"/>
      <c r="H77" s="25"/>
      <c r="I77" s="22"/>
      <c r="J77" s="24"/>
      <c r="K77" s="24" t="str">
        <f>IFERROR(VLOOKUP(Rapid_Componente[[#This Row],[Código]],Importação!P:R,3,FALSE),"")</f>
        <v/>
      </c>
      <c r="L77" s="24">
        <f>IFERROR(VLOOKUP(Rapid_Componente[[#This Row],[Código]],Saldo[],3,FALSE),0)</f>
        <v>30</v>
      </c>
      <c r="M77" s="24">
        <f>SUM(Rapid_Componente[[#This Row],[Produção]:[Estoque]])</f>
        <v>30</v>
      </c>
      <c r="N77" s="24" t="str">
        <f>IFERROR(Rapid_Componente[[#This Row],[Estoque+Importação]]/Rapid_Componente[[#This Row],[Proj. de V. No prox. mes]],"Sem Projeção")</f>
        <v>Sem Projeção</v>
      </c>
      <c r="O7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</v>
      </c>
      <c r="Q77" s="75">
        <f>VLOOKUP(Rapid_Componente[[#This Row],[Código]],Projeção[#All],15,FALSE)</f>
        <v>0</v>
      </c>
      <c r="R77" s="39">
        <f>VLOOKUP(Rapid_Componente[[#This Row],[Código]],Projeção[#All],14,FALSE)</f>
        <v>0</v>
      </c>
      <c r="S77" s="39">
        <f>IFERROR(VLOOKUP(Rapid_Componente[[#This Row],[Código]],Venda_mes[],2,FALSE),0)</f>
        <v>0</v>
      </c>
      <c r="T77" s="44" t="str">
        <f>IFERROR(Rapid_Componente[[#This Row],[V. No mes]]/Rapid_Componente[[#This Row],[Proj. de V. No mes]],"")</f>
        <v/>
      </c>
      <c r="U7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7" s="39">
        <f>IFERROR(VLOOKUP(Rapid_Componente[[#This Row],[Código]],Venda_3meses[],2,FALSE),0)</f>
        <v>0</v>
      </c>
      <c r="W77" s="44" t="str">
        <f>IFERROR(Rapid_Componente[[#This Row],[V. 3 meses]]/Rapid_Componente[[#This Row],[Proj. de V. 3 meses]],"")</f>
        <v/>
      </c>
      <c r="X7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7" s="39">
        <f>IFERROR(VLOOKUP(Rapid_Componente[[#This Row],[Código]],Venda_12meses[],2,FALSE),0)</f>
        <v>0</v>
      </c>
      <c r="Z77" s="44" t="str">
        <f>IFERROR(Rapid_Componente[[#This Row],[V. 12 meses]]/Rapid_Componente[[#This Row],[Proj. de V. 12 meses]],"")</f>
        <v/>
      </c>
      <c r="AA77" s="22">
        <v>184096</v>
      </c>
    </row>
    <row r="78" spans="1:27" x14ac:dyDescent="0.25">
      <c r="A78" s="22" t="str">
        <f>VLOOKUP(Rapid_Componente[[#This Row],[Código]],BD_Produto[#All],7,FALSE)</f>
        <v>Componente</v>
      </c>
      <c r="B7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8" s="23">
        <v>33060454036</v>
      </c>
      <c r="D78" s="22" t="s">
        <v>280</v>
      </c>
      <c r="E78" s="22" t="str">
        <f>VLOOKUP(Rapid_Componente[[#This Row],[Código]],BD_Produto[],3,FALSE)</f>
        <v>Componentes</v>
      </c>
      <c r="F78" s="22" t="str">
        <f>VLOOKUP(Rapid_Componente[[#This Row],[Código]],BD_Produto[],4,FALSE)</f>
        <v>Grampeador Eletrico</v>
      </c>
      <c r="G78" s="24"/>
      <c r="H78" s="25"/>
      <c r="I78" s="22"/>
      <c r="J78" s="24"/>
      <c r="K78" s="24" t="str">
        <f>IFERROR(VLOOKUP(Rapid_Componente[[#This Row],[Código]],Importação!P:R,3,FALSE),"")</f>
        <v/>
      </c>
      <c r="L78" s="24">
        <f>IFERROR(VLOOKUP(Rapid_Componente[[#This Row],[Código]],Saldo[],3,FALSE),0)</f>
        <v>30</v>
      </c>
      <c r="M78" s="24">
        <f>SUM(Rapid_Componente[[#This Row],[Produção]:[Estoque]])</f>
        <v>30</v>
      </c>
      <c r="N78" s="24" t="str">
        <f>IFERROR(Rapid_Componente[[#This Row],[Estoque+Importação]]/Rapid_Componente[[#This Row],[Proj. de V. No prox. mes]],"Sem Projeção")</f>
        <v>Sem Projeção</v>
      </c>
      <c r="O7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</v>
      </c>
      <c r="Q78" s="75">
        <f>VLOOKUP(Rapid_Componente[[#This Row],[Código]],Projeção[#All],15,FALSE)</f>
        <v>0</v>
      </c>
      <c r="R78" s="39">
        <f>VLOOKUP(Rapid_Componente[[#This Row],[Código]],Projeção[#All],14,FALSE)</f>
        <v>0</v>
      </c>
      <c r="S78" s="39">
        <f>IFERROR(VLOOKUP(Rapid_Componente[[#This Row],[Código]],Venda_mes[],2,FALSE),0)</f>
        <v>0</v>
      </c>
      <c r="T78" s="44" t="str">
        <f>IFERROR(Rapid_Componente[[#This Row],[V. No mes]]/Rapid_Componente[[#This Row],[Proj. de V. No mes]],"")</f>
        <v/>
      </c>
      <c r="U7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8" s="39">
        <f>IFERROR(VLOOKUP(Rapid_Componente[[#This Row],[Código]],Venda_3meses[],2,FALSE),0)</f>
        <v>0</v>
      </c>
      <c r="W78" s="44" t="str">
        <f>IFERROR(Rapid_Componente[[#This Row],[V. 3 meses]]/Rapid_Componente[[#This Row],[Proj. de V. 3 meses]],"")</f>
        <v/>
      </c>
      <c r="X7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8" s="39">
        <f>IFERROR(VLOOKUP(Rapid_Componente[[#This Row],[Código]],Venda_12meses[],2,FALSE),0)</f>
        <v>0</v>
      </c>
      <c r="Z78" s="44" t="str">
        <f>IFERROR(Rapid_Componente[[#This Row],[V. 12 meses]]/Rapid_Componente[[#This Row],[Proj. de V. 12 meses]],"")</f>
        <v/>
      </c>
      <c r="AA78" s="22">
        <v>141382</v>
      </c>
    </row>
    <row r="79" spans="1:27" x14ac:dyDescent="0.25">
      <c r="A79" s="22" t="str">
        <f>VLOOKUP(Rapid_Componente[[#This Row],[Código]],BD_Produto[#All],7,FALSE)</f>
        <v>Componente</v>
      </c>
      <c r="B7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79" s="23">
        <v>33060454037</v>
      </c>
      <c r="D79" s="22" t="s">
        <v>281</v>
      </c>
      <c r="E79" s="22" t="str">
        <f>VLOOKUP(Rapid_Componente[[#This Row],[Código]],BD_Produto[],3,FALSE)</f>
        <v>Componentes</v>
      </c>
      <c r="F79" s="22" t="str">
        <f>VLOOKUP(Rapid_Componente[[#This Row],[Código]],BD_Produto[],4,FALSE)</f>
        <v>Grampeador Eletrico</v>
      </c>
      <c r="G79" s="24"/>
      <c r="H79" s="25"/>
      <c r="I79" s="22"/>
      <c r="J79" s="24"/>
      <c r="K79" s="24" t="str">
        <f>IFERROR(VLOOKUP(Rapid_Componente[[#This Row],[Código]],Importação!P:R,3,FALSE),"")</f>
        <v/>
      </c>
      <c r="L79" s="24">
        <f>IFERROR(VLOOKUP(Rapid_Componente[[#This Row],[Código]],Saldo[],3,FALSE),0)</f>
        <v>30</v>
      </c>
      <c r="M79" s="24">
        <f>SUM(Rapid_Componente[[#This Row],[Produção]:[Estoque]])</f>
        <v>30</v>
      </c>
      <c r="N79" s="24" t="str">
        <f>IFERROR(Rapid_Componente[[#This Row],[Estoque+Importação]]/Rapid_Componente[[#This Row],[Proj. de V. No prox. mes]],"Sem Projeção")</f>
        <v>Sem Projeção</v>
      </c>
      <c r="O7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7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</v>
      </c>
      <c r="Q79" s="75">
        <f>VLOOKUP(Rapid_Componente[[#This Row],[Código]],Projeção[#All],15,FALSE)</f>
        <v>0</v>
      </c>
      <c r="R79" s="39">
        <f>VLOOKUP(Rapid_Componente[[#This Row],[Código]],Projeção[#All],14,FALSE)</f>
        <v>0</v>
      </c>
      <c r="S79" s="39">
        <f>IFERROR(VLOOKUP(Rapid_Componente[[#This Row],[Código]],Venda_mes[],2,FALSE),0)</f>
        <v>0</v>
      </c>
      <c r="T79" s="44" t="str">
        <f>IFERROR(Rapid_Componente[[#This Row],[V. No mes]]/Rapid_Componente[[#This Row],[Proj. de V. No mes]],"")</f>
        <v/>
      </c>
      <c r="U7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79" s="39">
        <f>IFERROR(VLOOKUP(Rapid_Componente[[#This Row],[Código]],Venda_3meses[],2,FALSE),0)</f>
        <v>0</v>
      </c>
      <c r="W79" s="44" t="str">
        <f>IFERROR(Rapid_Componente[[#This Row],[V. 3 meses]]/Rapid_Componente[[#This Row],[Proj. de V. 3 meses]],"")</f>
        <v/>
      </c>
      <c r="X7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79" s="39">
        <f>IFERROR(VLOOKUP(Rapid_Componente[[#This Row],[Código]],Venda_12meses[],2,FALSE),0)</f>
        <v>0</v>
      </c>
      <c r="Z79" s="44" t="str">
        <f>IFERROR(Rapid_Componente[[#This Row],[V. 12 meses]]/Rapid_Componente[[#This Row],[Proj. de V. 12 meses]],"")</f>
        <v/>
      </c>
      <c r="AA79" s="22">
        <v>141408</v>
      </c>
    </row>
    <row r="80" spans="1:27" x14ac:dyDescent="0.25">
      <c r="A80" s="22" t="str">
        <f>VLOOKUP(Rapid_Componente[[#This Row],[Código]],BD_Produto[#All],7,FALSE)</f>
        <v>Componente</v>
      </c>
      <c r="B8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0" s="23">
        <v>33060454035</v>
      </c>
      <c r="D80" s="22" t="s">
        <v>279</v>
      </c>
      <c r="E80" s="22" t="str">
        <f>VLOOKUP(Rapid_Componente[[#This Row],[Código]],BD_Produto[],3,FALSE)</f>
        <v>Componentes</v>
      </c>
      <c r="F80" s="22" t="str">
        <f>VLOOKUP(Rapid_Componente[[#This Row],[Código]],BD_Produto[],4,FALSE)</f>
        <v>Grampeador Eletrico</v>
      </c>
      <c r="G80" s="24"/>
      <c r="H80" s="25"/>
      <c r="I80" s="22"/>
      <c r="J80" s="24"/>
      <c r="K80" s="24" t="str">
        <f>IFERROR(VLOOKUP(Rapid_Componente[[#This Row],[Código]],Importação!P:R,3,FALSE),"")</f>
        <v/>
      </c>
      <c r="L80" s="24">
        <f>IFERROR(VLOOKUP(Rapid_Componente[[#This Row],[Código]],Saldo[],3,FALSE),0)</f>
        <v>30</v>
      </c>
      <c r="M80" s="24">
        <f>SUM(Rapid_Componente[[#This Row],[Produção]:[Estoque]])</f>
        <v>30</v>
      </c>
      <c r="N80" s="24" t="str">
        <f>IFERROR(Rapid_Componente[[#This Row],[Estoque+Importação]]/Rapid_Componente[[#This Row],[Proj. de V. No prox. mes]],"Sem Projeção")</f>
        <v>Sem Projeção</v>
      </c>
      <c r="O8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-30</v>
      </c>
      <c r="Q80" s="75">
        <f>VLOOKUP(Rapid_Componente[[#This Row],[Código]],Projeção[#All],15,FALSE)</f>
        <v>0</v>
      </c>
      <c r="R80" s="39">
        <f>VLOOKUP(Rapid_Componente[[#This Row],[Código]],Projeção[#All],14,FALSE)</f>
        <v>0</v>
      </c>
      <c r="S80" s="39">
        <f>IFERROR(VLOOKUP(Rapid_Componente[[#This Row],[Código]],Venda_mes[],2,FALSE),0)</f>
        <v>0</v>
      </c>
      <c r="T80" s="44" t="str">
        <f>IFERROR(Rapid_Componente[[#This Row],[V. No mes]]/Rapid_Componente[[#This Row],[Proj. de V. No mes]],"")</f>
        <v/>
      </c>
      <c r="U8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0" s="39">
        <f>IFERROR(VLOOKUP(Rapid_Componente[[#This Row],[Código]],Venda_3meses[],2,FALSE),0)</f>
        <v>0</v>
      </c>
      <c r="W80" s="44" t="str">
        <f>IFERROR(Rapid_Componente[[#This Row],[V. 3 meses]]/Rapid_Componente[[#This Row],[Proj. de V. 3 meses]],"")</f>
        <v/>
      </c>
      <c r="X8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0" s="39">
        <f>IFERROR(VLOOKUP(Rapid_Componente[[#This Row],[Código]],Venda_12meses[],2,FALSE),0)</f>
        <v>0</v>
      </c>
      <c r="Z80" s="44" t="str">
        <f>IFERROR(Rapid_Componente[[#This Row],[V. 12 meses]]/Rapid_Componente[[#This Row],[Proj. de V. 12 meses]],"")</f>
        <v/>
      </c>
      <c r="AA80" s="22">
        <v>141341</v>
      </c>
    </row>
    <row r="81" spans="1:27" x14ac:dyDescent="0.25">
      <c r="A81" s="22" t="str">
        <f>VLOOKUP(Rapid_Componente[[#This Row],[Código]],BD_Produto[#All],7,FALSE)</f>
        <v>Componente</v>
      </c>
      <c r="B8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1" s="23">
        <v>33060414617</v>
      </c>
      <c r="D81" s="22" t="s">
        <v>226</v>
      </c>
      <c r="E81" s="22" t="str">
        <f>VLOOKUP(Rapid_Componente[[#This Row],[Código]],BD_Produto[],3,FALSE)</f>
        <v>Componentes</v>
      </c>
      <c r="F81" s="22" t="str">
        <f>VLOOKUP(Rapid_Componente[[#This Row],[Código]],BD_Produto[],4,FALSE)</f>
        <v>Grampeador Eletrico</v>
      </c>
      <c r="G81" s="24"/>
      <c r="H81" s="25"/>
      <c r="I81" s="22"/>
      <c r="J81" s="24"/>
      <c r="K81" s="24" t="str">
        <f>IFERROR(VLOOKUP(Rapid_Componente[[#This Row],[Código]],Importação!P:R,3,FALSE),"")</f>
        <v/>
      </c>
      <c r="L81" s="24">
        <f>IFERROR(VLOOKUP(Rapid_Componente[[#This Row],[Código]],Saldo[],3,FALSE),0)</f>
        <v>26</v>
      </c>
      <c r="M81" s="24">
        <f>SUM(Rapid_Componente[[#This Row],[Produção]:[Estoque]])</f>
        <v>26</v>
      </c>
      <c r="N81" s="24" t="str">
        <f>IFERROR(Rapid_Componente[[#This Row],[Estoque+Importação]]/Rapid_Componente[[#This Row],[Proj. de V. No prox. mes]],"Sem Projeção")</f>
        <v>Sem Projeção</v>
      </c>
      <c r="O8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-26</v>
      </c>
      <c r="Q81" s="75">
        <f>VLOOKUP(Rapid_Componente[[#This Row],[Código]],Projeção[#All],15,FALSE)</f>
        <v>0</v>
      </c>
      <c r="R81" s="39">
        <f>VLOOKUP(Rapid_Componente[[#This Row],[Código]],Projeção[#All],14,FALSE)</f>
        <v>0</v>
      </c>
      <c r="S81" s="39">
        <f>IFERROR(VLOOKUP(Rapid_Componente[[#This Row],[Código]],Venda_mes[],2,FALSE),0)</f>
        <v>0</v>
      </c>
      <c r="T81" s="44" t="str">
        <f>IFERROR(Rapid_Componente[[#This Row],[V. No mes]]/Rapid_Componente[[#This Row],[Proj. de V. No mes]],"")</f>
        <v/>
      </c>
      <c r="U8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1" s="39">
        <f>IFERROR(VLOOKUP(Rapid_Componente[[#This Row],[Código]],Venda_3meses[],2,FALSE),0)</f>
        <v>0</v>
      </c>
      <c r="W81" s="44" t="str">
        <f>IFERROR(Rapid_Componente[[#This Row],[V. 3 meses]]/Rapid_Componente[[#This Row],[Proj. de V. 3 meses]],"")</f>
        <v/>
      </c>
      <c r="X8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1" s="39">
        <f>IFERROR(VLOOKUP(Rapid_Componente[[#This Row],[Código]],Venda_12meses[],2,FALSE),0)</f>
        <v>0</v>
      </c>
      <c r="Z81" s="44" t="str">
        <f>IFERROR(Rapid_Componente[[#This Row],[V. 12 meses]]/Rapid_Componente[[#This Row],[Proj. de V. 12 meses]],"")</f>
        <v/>
      </c>
      <c r="AA81" s="22"/>
    </row>
    <row r="82" spans="1:27" x14ac:dyDescent="0.25">
      <c r="A82" s="22" t="str">
        <f>VLOOKUP(Rapid_Componente[[#This Row],[Código]],BD_Produto[#All],7,FALSE)</f>
        <v>Componente</v>
      </c>
      <c r="B8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2" s="23">
        <v>33070460772</v>
      </c>
      <c r="D82" s="22" t="s">
        <v>544</v>
      </c>
      <c r="E82" s="22" t="str">
        <f>VLOOKUP(Rapid_Componente[[#This Row],[Código]],BD_Produto[],3,FALSE)</f>
        <v>Componentes</v>
      </c>
      <c r="F82" s="22" t="str">
        <f>VLOOKUP(Rapid_Componente[[#This Row],[Código]],BD_Produto[],4,FALSE)</f>
        <v>Grampeador Alicate</v>
      </c>
      <c r="G82" s="24"/>
      <c r="H82" s="25"/>
      <c r="I82" s="22"/>
      <c r="J82" s="24"/>
      <c r="K82" s="24" t="str">
        <f>IFERROR(VLOOKUP(Rapid_Componente[[#This Row],[Código]],Importação!P:R,3,FALSE),"")</f>
        <v/>
      </c>
      <c r="L82" s="24">
        <f>IFERROR(VLOOKUP(Rapid_Componente[[#This Row],[Código]],Saldo[],3,FALSE),0)</f>
        <v>28</v>
      </c>
      <c r="M82" s="24">
        <f>SUM(Rapid_Componente[[#This Row],[Produção]:[Estoque]])</f>
        <v>28</v>
      </c>
      <c r="N82" s="24" t="str">
        <f>IFERROR(Rapid_Componente[[#This Row],[Estoque+Importação]]/Rapid_Componente[[#This Row],[Proj. de V. No prox. mes]],"Sem Projeção")</f>
        <v>Sem Projeção</v>
      </c>
      <c r="O8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-28</v>
      </c>
      <c r="Q82" s="75">
        <f>VLOOKUP(Rapid_Componente[[#This Row],[Código]],Projeção[#All],15,FALSE)</f>
        <v>0</v>
      </c>
      <c r="R82" s="39">
        <f>VLOOKUP(Rapid_Componente[[#This Row],[Código]],Projeção[#All],14,FALSE)</f>
        <v>0</v>
      </c>
      <c r="S82" s="39">
        <f>IFERROR(VLOOKUP(Rapid_Componente[[#This Row],[Código]],Venda_mes[],2,FALSE),0)</f>
        <v>0</v>
      </c>
      <c r="T82" s="44" t="str">
        <f>IFERROR(Rapid_Componente[[#This Row],[V. No mes]]/Rapid_Componente[[#This Row],[Proj. de V. No mes]],"")</f>
        <v/>
      </c>
      <c r="U8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2" s="39">
        <f>IFERROR(VLOOKUP(Rapid_Componente[[#This Row],[Código]],Venda_3meses[],2,FALSE),0)</f>
        <v>0</v>
      </c>
      <c r="W82" s="44" t="str">
        <f>IFERROR(Rapid_Componente[[#This Row],[V. 3 meses]]/Rapid_Componente[[#This Row],[Proj. de V. 3 meses]],"")</f>
        <v/>
      </c>
      <c r="X8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2" s="39">
        <f>IFERROR(VLOOKUP(Rapid_Componente[[#This Row],[Código]],Venda_12meses[],2,FALSE),0)</f>
        <v>0</v>
      </c>
      <c r="Z82" s="44" t="str">
        <f>IFERROR(Rapid_Componente[[#This Row],[V. 12 meses]]/Rapid_Componente[[#This Row],[Proj. de V. 12 meses]],"")</f>
        <v/>
      </c>
      <c r="AA82" s="22"/>
    </row>
    <row r="83" spans="1:27" x14ac:dyDescent="0.25">
      <c r="A83" s="22" t="str">
        <f>VLOOKUP(Rapid_Componente[[#This Row],[Código]],BD_Produto[#All],7,FALSE)</f>
        <v>Componente</v>
      </c>
      <c r="B8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3" s="23">
        <v>33070424533</v>
      </c>
      <c r="D83" s="22" t="s">
        <v>539</v>
      </c>
      <c r="E83" s="22" t="str">
        <f>VLOOKUP(Rapid_Componente[[#This Row],[Código]],BD_Produto[],3,FALSE)</f>
        <v>Componentes</v>
      </c>
      <c r="F83" s="22" t="str">
        <f>VLOOKUP(Rapid_Componente[[#This Row],[Código]],BD_Produto[],4,FALSE)</f>
        <v>Grampeador Alicate</v>
      </c>
      <c r="G83" s="24"/>
      <c r="H83" s="25"/>
      <c r="I83" s="22"/>
      <c r="J83" s="24"/>
      <c r="K83" s="24" t="str">
        <f>IFERROR(VLOOKUP(Rapid_Componente[[#This Row],[Código]],Importação!P:R,3,FALSE),"")</f>
        <v/>
      </c>
      <c r="L83" s="24">
        <f>IFERROR(VLOOKUP(Rapid_Componente[[#This Row],[Código]],Saldo[],3,FALSE),0)</f>
        <v>28</v>
      </c>
      <c r="M83" s="24">
        <f>SUM(Rapid_Componente[[#This Row],[Produção]:[Estoque]])</f>
        <v>28</v>
      </c>
      <c r="N83" s="24" t="str">
        <f>IFERROR(Rapid_Componente[[#This Row],[Estoque+Importação]]/Rapid_Componente[[#This Row],[Proj. de V. No prox. mes]],"Sem Projeção")</f>
        <v>Sem Projeção</v>
      </c>
      <c r="O8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-28</v>
      </c>
      <c r="Q83" s="75">
        <f>VLOOKUP(Rapid_Componente[[#This Row],[Código]],Projeção[#All],15,FALSE)</f>
        <v>0</v>
      </c>
      <c r="R83" s="39">
        <f>VLOOKUP(Rapid_Componente[[#This Row],[Código]],Projeção[#All],14,FALSE)</f>
        <v>0</v>
      </c>
      <c r="S83" s="39">
        <f>IFERROR(VLOOKUP(Rapid_Componente[[#This Row],[Código]],Venda_mes[],2,FALSE),0)</f>
        <v>0</v>
      </c>
      <c r="T83" s="44" t="str">
        <f>IFERROR(Rapid_Componente[[#This Row],[V. No mes]]/Rapid_Componente[[#This Row],[Proj. de V. No mes]],"")</f>
        <v/>
      </c>
      <c r="U8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3" s="39">
        <f>IFERROR(VLOOKUP(Rapid_Componente[[#This Row],[Código]],Venda_3meses[],2,FALSE),0)</f>
        <v>0</v>
      </c>
      <c r="W83" s="44" t="str">
        <f>IFERROR(Rapid_Componente[[#This Row],[V. 3 meses]]/Rapid_Componente[[#This Row],[Proj. de V. 3 meses]],"")</f>
        <v/>
      </c>
      <c r="X8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3" s="39">
        <f>IFERROR(VLOOKUP(Rapid_Componente[[#This Row],[Código]],Venda_12meses[],2,FALSE),0)</f>
        <v>0</v>
      </c>
      <c r="Z83" s="44" t="str">
        <f>IFERROR(Rapid_Componente[[#This Row],[V. 12 meses]]/Rapid_Componente[[#This Row],[Proj. de V. 12 meses]],"")</f>
        <v/>
      </c>
      <c r="AA83" s="22"/>
    </row>
    <row r="84" spans="1:27" x14ac:dyDescent="0.25">
      <c r="A84" s="22" t="str">
        <f>VLOOKUP(Rapid_Componente[[#This Row],[Código]],BD_Produto[#All],7,FALSE)</f>
        <v>Componente</v>
      </c>
      <c r="B8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4" s="23">
        <v>33060414885</v>
      </c>
      <c r="D84" s="22" t="s">
        <v>243</v>
      </c>
      <c r="E84" s="22" t="str">
        <f>VLOOKUP(Rapid_Componente[[#This Row],[Código]],BD_Produto[],3,FALSE)</f>
        <v>Componentes</v>
      </c>
      <c r="F84" s="22" t="str">
        <f>VLOOKUP(Rapid_Componente[[#This Row],[Código]],BD_Produto[],4,FALSE)</f>
        <v>Grampeador Eletrico</v>
      </c>
      <c r="G84" s="24"/>
      <c r="H84" s="25"/>
      <c r="I84" s="22"/>
      <c r="J84" s="24"/>
      <c r="K84" s="24" t="str">
        <f>IFERROR(VLOOKUP(Rapid_Componente[[#This Row],[Código]],Importação!P:R,3,FALSE),"")</f>
        <v/>
      </c>
      <c r="L84" s="24">
        <f>IFERROR(VLOOKUP(Rapid_Componente[[#This Row],[Código]],Saldo[],3,FALSE),0)</f>
        <v>26</v>
      </c>
      <c r="M84" s="24">
        <f>SUM(Rapid_Componente[[#This Row],[Produção]:[Estoque]])</f>
        <v>26</v>
      </c>
      <c r="N84" s="24" t="str">
        <f>IFERROR(Rapid_Componente[[#This Row],[Estoque+Importação]]/Rapid_Componente[[#This Row],[Proj. de V. No prox. mes]],"Sem Projeção")</f>
        <v>Sem Projeção</v>
      </c>
      <c r="O8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-26</v>
      </c>
      <c r="Q84" s="75">
        <f>VLOOKUP(Rapid_Componente[[#This Row],[Código]],Projeção[#All],15,FALSE)</f>
        <v>0</v>
      </c>
      <c r="R84" s="39">
        <f>VLOOKUP(Rapid_Componente[[#This Row],[Código]],Projeção[#All],14,FALSE)</f>
        <v>0</v>
      </c>
      <c r="S84" s="39">
        <f>IFERROR(VLOOKUP(Rapid_Componente[[#This Row],[Código]],Venda_mes[],2,FALSE),0)</f>
        <v>0</v>
      </c>
      <c r="T84" s="44" t="str">
        <f>IFERROR(Rapid_Componente[[#This Row],[V. No mes]]/Rapid_Componente[[#This Row],[Proj. de V. No mes]],"")</f>
        <v/>
      </c>
      <c r="U8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4" s="39">
        <f>IFERROR(VLOOKUP(Rapid_Componente[[#This Row],[Código]],Venda_3meses[],2,FALSE),0)</f>
        <v>0</v>
      </c>
      <c r="W84" s="44" t="str">
        <f>IFERROR(Rapid_Componente[[#This Row],[V. 3 meses]]/Rapid_Componente[[#This Row],[Proj. de V. 3 meses]],"")</f>
        <v/>
      </c>
      <c r="X8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4" s="39">
        <f>IFERROR(VLOOKUP(Rapid_Componente[[#This Row],[Código]],Venda_12meses[],2,FALSE),0)</f>
        <v>0</v>
      </c>
      <c r="Z84" s="44" t="str">
        <f>IFERROR(Rapid_Componente[[#This Row],[V. 12 meses]]/Rapid_Componente[[#This Row],[Proj. de V. 12 meses]],"")</f>
        <v/>
      </c>
      <c r="AA84" s="22"/>
    </row>
    <row r="85" spans="1:27" x14ac:dyDescent="0.25">
      <c r="A85" s="22" t="str">
        <f>VLOOKUP(Rapid_Componente[[#This Row],[Código]],BD_Produto[#All],7,FALSE)</f>
        <v>Componente</v>
      </c>
      <c r="B8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5" s="23">
        <v>33060464910</v>
      </c>
      <c r="D85" s="22" t="s">
        <v>1398</v>
      </c>
      <c r="E85" s="22" t="str">
        <f>VLOOKUP(Rapid_Componente[[#This Row],[Código]],BD_Produto[],3,FALSE)</f>
        <v>Componentes</v>
      </c>
      <c r="F85" s="22" t="str">
        <f>VLOOKUP(Rapid_Componente[[#This Row],[Código]],BD_Produto[],4,FALSE)</f>
        <v>Grampeador Eletrico</v>
      </c>
      <c r="G85" s="24"/>
      <c r="H85" s="25"/>
      <c r="I85" s="22"/>
      <c r="J85" s="24"/>
      <c r="K85" s="24" t="str">
        <f>IFERROR(VLOOKUP(Rapid_Componente[[#This Row],[Código]],Importação!P:R,3,FALSE),"")</f>
        <v/>
      </c>
      <c r="L85" s="24">
        <f>IFERROR(VLOOKUP(Rapid_Componente[[#This Row],[Código]],Saldo[],3,FALSE),0)</f>
        <v>25</v>
      </c>
      <c r="M85" s="24">
        <f>SUM(Rapid_Componente[[#This Row],[Produção]:[Estoque]])</f>
        <v>25</v>
      </c>
      <c r="N85" s="24" t="str">
        <f>IFERROR(Rapid_Componente[[#This Row],[Estoque+Importação]]/Rapid_Componente[[#This Row],[Proj. de V. No prox. mes]],"Sem Projeção")</f>
        <v>Sem Projeção</v>
      </c>
      <c r="O8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-25</v>
      </c>
      <c r="Q85" s="75">
        <f>VLOOKUP(Rapid_Componente[[#This Row],[Código]],Projeção[#All],15,FALSE)</f>
        <v>0</v>
      </c>
      <c r="R85" s="39">
        <f>VLOOKUP(Rapid_Componente[[#This Row],[Código]],Projeção[#All],14,FALSE)</f>
        <v>0</v>
      </c>
      <c r="S85" s="39">
        <f>IFERROR(VLOOKUP(Rapid_Componente[[#This Row],[Código]],Venda_mes[],2,FALSE),0)</f>
        <v>0</v>
      </c>
      <c r="T85" s="44" t="str">
        <f>IFERROR(Rapid_Componente[[#This Row],[V. No mes]]/Rapid_Componente[[#This Row],[Proj. de V. No mes]],"")</f>
        <v/>
      </c>
      <c r="U8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5" s="39">
        <f>IFERROR(VLOOKUP(Rapid_Componente[[#This Row],[Código]],Venda_3meses[],2,FALSE),0)</f>
        <v>0</v>
      </c>
      <c r="W85" s="44" t="str">
        <f>IFERROR(Rapid_Componente[[#This Row],[V. 3 meses]]/Rapid_Componente[[#This Row],[Proj. de V. 3 meses]],"")</f>
        <v/>
      </c>
      <c r="X8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5" s="39">
        <f>IFERROR(VLOOKUP(Rapid_Componente[[#This Row],[Código]],Venda_12meses[],2,FALSE),0)</f>
        <v>0</v>
      </c>
      <c r="Z85" s="44" t="str">
        <f>IFERROR(Rapid_Componente[[#This Row],[V. 12 meses]]/Rapid_Componente[[#This Row],[Proj. de V. 12 meses]],"")</f>
        <v/>
      </c>
      <c r="AA85" s="22"/>
    </row>
    <row r="86" spans="1:27" x14ac:dyDescent="0.25">
      <c r="A86" s="22" t="str">
        <f>VLOOKUP(Rapid_Componente[[#This Row],[Código]],BD_Produto[#All],7,FALSE)</f>
        <v>Componente</v>
      </c>
      <c r="B8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6" s="23">
        <v>33060464909</v>
      </c>
      <c r="D86" s="22" t="s">
        <v>1397</v>
      </c>
      <c r="E86" s="22" t="str">
        <f>VLOOKUP(Rapid_Componente[[#This Row],[Código]],BD_Produto[],3,FALSE)</f>
        <v>Componentes</v>
      </c>
      <c r="F86" s="22" t="str">
        <f>VLOOKUP(Rapid_Componente[[#This Row],[Código]],BD_Produto[],4,FALSE)</f>
        <v>Grampeador Eletrico</v>
      </c>
      <c r="G86" s="24"/>
      <c r="H86" s="25"/>
      <c r="I86" s="22"/>
      <c r="J86" s="24"/>
      <c r="K86" s="24" t="str">
        <f>IFERROR(VLOOKUP(Rapid_Componente[[#This Row],[Código]],Importação!P:R,3,FALSE),"")</f>
        <v/>
      </c>
      <c r="L86" s="24">
        <f>IFERROR(VLOOKUP(Rapid_Componente[[#This Row],[Código]],Saldo[],3,FALSE),0)</f>
        <v>25</v>
      </c>
      <c r="M86" s="24">
        <f>SUM(Rapid_Componente[[#This Row],[Produção]:[Estoque]])</f>
        <v>25</v>
      </c>
      <c r="N86" s="24" t="str">
        <f>IFERROR(Rapid_Componente[[#This Row],[Estoque+Importação]]/Rapid_Componente[[#This Row],[Proj. de V. No prox. mes]],"Sem Projeção")</f>
        <v>Sem Projeção</v>
      </c>
      <c r="O8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-25</v>
      </c>
      <c r="Q86" s="75">
        <f>VLOOKUP(Rapid_Componente[[#This Row],[Código]],Projeção[#All],15,FALSE)</f>
        <v>0</v>
      </c>
      <c r="R86" s="39">
        <f>VLOOKUP(Rapid_Componente[[#This Row],[Código]],Projeção[#All],14,FALSE)</f>
        <v>0</v>
      </c>
      <c r="S86" s="39">
        <f>IFERROR(VLOOKUP(Rapid_Componente[[#This Row],[Código]],Venda_mes[],2,FALSE),0)</f>
        <v>0</v>
      </c>
      <c r="T86" s="44" t="str">
        <f>IFERROR(Rapid_Componente[[#This Row],[V. No mes]]/Rapid_Componente[[#This Row],[Proj. de V. No mes]],"")</f>
        <v/>
      </c>
      <c r="U8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6" s="39">
        <f>IFERROR(VLOOKUP(Rapid_Componente[[#This Row],[Código]],Venda_3meses[],2,FALSE),0)</f>
        <v>0</v>
      </c>
      <c r="W86" s="44" t="str">
        <f>IFERROR(Rapid_Componente[[#This Row],[V. 3 meses]]/Rapid_Componente[[#This Row],[Proj. de V. 3 meses]],"")</f>
        <v/>
      </c>
      <c r="X8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6" s="39">
        <f>IFERROR(VLOOKUP(Rapid_Componente[[#This Row],[Código]],Venda_12meses[],2,FALSE),0)</f>
        <v>0</v>
      </c>
      <c r="Z86" s="44" t="str">
        <f>IFERROR(Rapid_Componente[[#This Row],[V. 12 meses]]/Rapid_Componente[[#This Row],[Proj. de V. 12 meses]],"")</f>
        <v/>
      </c>
      <c r="AA86" s="22"/>
    </row>
    <row r="87" spans="1:27" x14ac:dyDescent="0.25">
      <c r="A87" s="22" t="str">
        <f>VLOOKUP(Rapid_Componente[[#This Row],[Código]],BD_Produto[#All],7,FALSE)</f>
        <v>Componente</v>
      </c>
      <c r="B8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7" s="23">
        <v>33060424577</v>
      </c>
      <c r="D87" s="22" t="s">
        <v>267</v>
      </c>
      <c r="E87" s="22" t="str">
        <f>VLOOKUP(Rapid_Componente[[#This Row],[Código]],BD_Produto[],3,FALSE)</f>
        <v>Componentes</v>
      </c>
      <c r="F87" s="22" t="str">
        <f>VLOOKUP(Rapid_Componente[[#This Row],[Código]],BD_Produto[],4,FALSE)</f>
        <v>Grampeador Heavy Duty</v>
      </c>
      <c r="G87" s="24"/>
      <c r="H87" s="25"/>
      <c r="I87" s="22"/>
      <c r="J87" s="24"/>
      <c r="K87" s="24" t="str">
        <f>IFERROR(VLOOKUP(Rapid_Componente[[#This Row],[Código]],Importação!P:R,3,FALSE),"")</f>
        <v/>
      </c>
      <c r="L87" s="24">
        <f>IFERROR(VLOOKUP(Rapid_Componente[[#This Row],[Código]],Saldo[],3,FALSE),0)</f>
        <v>41</v>
      </c>
      <c r="M87" s="24">
        <f>SUM(Rapid_Componente[[#This Row],[Produção]:[Estoque]])</f>
        <v>41</v>
      </c>
      <c r="N87" s="24" t="str">
        <f>IFERROR(Rapid_Componente[[#This Row],[Estoque+Importação]]/Rapid_Componente[[#This Row],[Proj. de V. No prox. mes]],"Sem Projeção")</f>
        <v>Sem Projeção</v>
      </c>
      <c r="O8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-41</v>
      </c>
      <c r="Q87" s="75">
        <f>VLOOKUP(Rapid_Componente[[#This Row],[Código]],Projeção[#All],15,FALSE)</f>
        <v>0</v>
      </c>
      <c r="R87" s="39">
        <f>VLOOKUP(Rapid_Componente[[#This Row],[Código]],Projeção[#All],14,FALSE)</f>
        <v>0</v>
      </c>
      <c r="S87" s="39">
        <f>IFERROR(VLOOKUP(Rapid_Componente[[#This Row],[Código]],Venda_mes[],2,FALSE),0)</f>
        <v>0</v>
      </c>
      <c r="T87" s="44" t="str">
        <f>IFERROR(Rapid_Componente[[#This Row],[V. No mes]]/Rapid_Componente[[#This Row],[Proj. de V. No mes]],"")</f>
        <v/>
      </c>
      <c r="U8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7" s="39">
        <f>IFERROR(VLOOKUP(Rapid_Componente[[#This Row],[Código]],Venda_3meses[],2,FALSE),0)</f>
        <v>0</v>
      </c>
      <c r="W87" s="44" t="str">
        <f>IFERROR(Rapid_Componente[[#This Row],[V. 3 meses]]/Rapid_Componente[[#This Row],[Proj. de V. 3 meses]],"")</f>
        <v/>
      </c>
      <c r="X8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7" s="39">
        <f>IFERROR(VLOOKUP(Rapid_Componente[[#This Row],[Código]],Venda_12meses[],2,FALSE),0)</f>
        <v>0</v>
      </c>
      <c r="Z87" s="44" t="str">
        <f>IFERROR(Rapid_Componente[[#This Row],[V. 12 meses]]/Rapid_Componente[[#This Row],[Proj. de V. 12 meses]],"")</f>
        <v/>
      </c>
      <c r="AA87" s="22">
        <v>155234</v>
      </c>
    </row>
    <row r="88" spans="1:27" x14ac:dyDescent="0.25">
      <c r="A88" s="22" t="str">
        <f>VLOOKUP(Rapid_Componente[[#This Row],[Código]],BD_Produto[#All],7,FALSE)</f>
        <v>Componente</v>
      </c>
      <c r="B8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8" s="23">
        <v>33060414801</v>
      </c>
      <c r="D88" s="22" t="s">
        <v>1394</v>
      </c>
      <c r="E88" s="22" t="str">
        <f>VLOOKUP(Rapid_Componente[[#This Row],[Código]],BD_Produto[],3,FALSE)</f>
        <v>Componentes</v>
      </c>
      <c r="F88" s="22" t="str">
        <f>VLOOKUP(Rapid_Componente[[#This Row],[Código]],BD_Produto[],4,FALSE)</f>
        <v>Grampeador Eletrico</v>
      </c>
      <c r="G88" s="24"/>
      <c r="H88" s="25"/>
      <c r="I88" s="22"/>
      <c r="J88" s="24"/>
      <c r="K88" s="24" t="str">
        <f>IFERROR(VLOOKUP(Rapid_Componente[[#This Row],[Código]],Importação!P:R,3,FALSE),"")</f>
        <v/>
      </c>
      <c r="L88" s="24">
        <f>IFERROR(VLOOKUP(Rapid_Componente[[#This Row],[Código]],Saldo[],3,FALSE),0)</f>
        <v>20</v>
      </c>
      <c r="M88" s="24">
        <f>SUM(Rapid_Componente[[#This Row],[Produção]:[Estoque]])</f>
        <v>20</v>
      </c>
      <c r="N88" s="24" t="str">
        <f>IFERROR(Rapid_Componente[[#This Row],[Estoque+Importação]]/Rapid_Componente[[#This Row],[Proj. de V. No prox. mes]],"Sem Projeção")</f>
        <v>Sem Projeção</v>
      </c>
      <c r="O8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</v>
      </c>
      <c r="Q88" s="75">
        <f>VLOOKUP(Rapid_Componente[[#This Row],[Código]],Projeção[#All],15,FALSE)</f>
        <v>0</v>
      </c>
      <c r="R88" s="39">
        <f>VLOOKUP(Rapid_Componente[[#This Row],[Código]],Projeção[#All],14,FALSE)</f>
        <v>0</v>
      </c>
      <c r="S88" s="39">
        <f>IFERROR(VLOOKUP(Rapid_Componente[[#This Row],[Código]],Venda_mes[],2,FALSE),0)</f>
        <v>0</v>
      </c>
      <c r="T88" s="44" t="str">
        <f>IFERROR(Rapid_Componente[[#This Row],[V. No mes]]/Rapid_Componente[[#This Row],[Proj. de V. No mes]],"")</f>
        <v/>
      </c>
      <c r="U8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8" s="39">
        <f>IFERROR(VLOOKUP(Rapid_Componente[[#This Row],[Código]],Venda_3meses[],2,FALSE),0)</f>
        <v>0</v>
      </c>
      <c r="W88" s="44" t="str">
        <f>IFERROR(Rapid_Componente[[#This Row],[V. 3 meses]]/Rapid_Componente[[#This Row],[Proj. de V. 3 meses]],"")</f>
        <v/>
      </c>
      <c r="X8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8" s="39">
        <f>IFERROR(VLOOKUP(Rapid_Componente[[#This Row],[Código]],Venda_12meses[],2,FALSE),0)</f>
        <v>0</v>
      </c>
      <c r="Z88" s="44" t="str">
        <f>IFERROR(Rapid_Componente[[#This Row],[V. 12 meses]]/Rapid_Componente[[#This Row],[Proj. de V. 12 meses]],"")</f>
        <v/>
      </c>
      <c r="AA88" s="22">
        <v>184038</v>
      </c>
    </row>
    <row r="89" spans="1:27" x14ac:dyDescent="0.25">
      <c r="A89" s="22" t="str">
        <f>VLOOKUP(Rapid_Componente[[#This Row],[Código]],BD_Produto[#All],7,FALSE)</f>
        <v>Componente</v>
      </c>
      <c r="B8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89" s="23">
        <v>33060414798</v>
      </c>
      <c r="D89" s="22" t="s">
        <v>1393</v>
      </c>
      <c r="E89" s="22" t="str">
        <f>VLOOKUP(Rapid_Componente[[#This Row],[Código]],BD_Produto[],3,FALSE)</f>
        <v>Componentes</v>
      </c>
      <c r="F89" s="22" t="str">
        <f>VLOOKUP(Rapid_Componente[[#This Row],[Código]],BD_Produto[],4,FALSE)</f>
        <v>Grampeador Eletrico</v>
      </c>
      <c r="G89" s="24"/>
      <c r="H89" s="25"/>
      <c r="I89" s="22"/>
      <c r="J89" s="24"/>
      <c r="K89" s="24" t="str">
        <f>IFERROR(VLOOKUP(Rapid_Componente[[#This Row],[Código]],Importação!P:R,3,FALSE),"")</f>
        <v/>
      </c>
      <c r="L89" s="24">
        <f>IFERROR(VLOOKUP(Rapid_Componente[[#This Row],[Código]],Saldo[],3,FALSE),0)</f>
        <v>20</v>
      </c>
      <c r="M89" s="24">
        <f>SUM(Rapid_Componente[[#This Row],[Produção]:[Estoque]])</f>
        <v>20</v>
      </c>
      <c r="N89" s="24" t="str">
        <f>IFERROR(Rapid_Componente[[#This Row],[Estoque+Importação]]/Rapid_Componente[[#This Row],[Proj. de V. No prox. mes]],"Sem Projeção")</f>
        <v>Sem Projeção</v>
      </c>
      <c r="O8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8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</v>
      </c>
      <c r="Q89" s="75">
        <f>VLOOKUP(Rapid_Componente[[#This Row],[Código]],Projeção[#All],15,FALSE)</f>
        <v>0</v>
      </c>
      <c r="R89" s="39">
        <f>VLOOKUP(Rapid_Componente[[#This Row],[Código]],Projeção[#All],14,FALSE)</f>
        <v>0</v>
      </c>
      <c r="S89" s="39">
        <f>IFERROR(VLOOKUP(Rapid_Componente[[#This Row],[Código]],Venda_mes[],2,FALSE),0)</f>
        <v>0</v>
      </c>
      <c r="T89" s="44" t="str">
        <f>IFERROR(Rapid_Componente[[#This Row],[V. No mes]]/Rapid_Componente[[#This Row],[Proj. de V. No mes]],"")</f>
        <v/>
      </c>
      <c r="U8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89" s="39">
        <f>IFERROR(VLOOKUP(Rapid_Componente[[#This Row],[Código]],Venda_3meses[],2,FALSE),0)</f>
        <v>0</v>
      </c>
      <c r="W89" s="44" t="str">
        <f>IFERROR(Rapid_Componente[[#This Row],[V. 3 meses]]/Rapid_Componente[[#This Row],[Proj. de V. 3 meses]],"")</f>
        <v/>
      </c>
      <c r="X8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89" s="39">
        <f>IFERROR(VLOOKUP(Rapid_Componente[[#This Row],[Código]],Venda_12meses[],2,FALSE),0)</f>
        <v>0</v>
      </c>
      <c r="Z89" s="44" t="str">
        <f>IFERROR(Rapid_Componente[[#This Row],[V. 12 meses]]/Rapid_Componente[[#This Row],[Proj. de V. 12 meses]],"")</f>
        <v/>
      </c>
      <c r="AA89" s="22">
        <v>1840681</v>
      </c>
    </row>
    <row r="90" spans="1:27" x14ac:dyDescent="0.25">
      <c r="A90" s="22" t="str">
        <f>VLOOKUP(Rapid_Componente[[#This Row],[Código]],BD_Produto[#All],7,FALSE)</f>
        <v>Componente</v>
      </c>
      <c r="B9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0" s="23">
        <v>33060424362</v>
      </c>
      <c r="D90" s="22" t="s">
        <v>1395</v>
      </c>
      <c r="E90" s="22" t="str">
        <f>VLOOKUP(Rapid_Componente[[#This Row],[Código]],BD_Produto[],3,FALSE)</f>
        <v>Componentes</v>
      </c>
      <c r="F90" s="22" t="str">
        <f>VLOOKUP(Rapid_Componente[[#This Row],[Código]],BD_Produto[],4,FALSE)</f>
        <v>Grampeador Heavy Duty</v>
      </c>
      <c r="G90" s="24"/>
      <c r="H90" s="25"/>
      <c r="I90" s="22"/>
      <c r="J90" s="24"/>
      <c r="K90" s="24" t="str">
        <f>IFERROR(VLOOKUP(Rapid_Componente[[#This Row],[Código]],Importação!P:R,3,FALSE),"")</f>
        <v/>
      </c>
      <c r="L90" s="24">
        <f>IFERROR(VLOOKUP(Rapid_Componente[[#This Row],[Código]],Saldo[],3,FALSE),0)</f>
        <v>20</v>
      </c>
      <c r="M90" s="24">
        <f>SUM(Rapid_Componente[[#This Row],[Produção]:[Estoque]])</f>
        <v>20</v>
      </c>
      <c r="N90" s="24" t="str">
        <f>IFERROR(Rapid_Componente[[#This Row],[Estoque+Importação]]/Rapid_Componente[[#This Row],[Proj. de V. No prox. mes]],"Sem Projeção")</f>
        <v>Sem Projeção</v>
      </c>
      <c r="O9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</v>
      </c>
      <c r="Q90" s="75">
        <f>VLOOKUP(Rapid_Componente[[#This Row],[Código]],Projeção[#All],15,FALSE)</f>
        <v>0</v>
      </c>
      <c r="R90" s="39">
        <f>VLOOKUP(Rapid_Componente[[#This Row],[Código]],Projeção[#All],14,FALSE)</f>
        <v>0</v>
      </c>
      <c r="S90" s="39">
        <f>IFERROR(VLOOKUP(Rapid_Componente[[#This Row],[Código]],Venda_mes[],2,FALSE),0)</f>
        <v>0</v>
      </c>
      <c r="T90" s="44" t="str">
        <f>IFERROR(Rapid_Componente[[#This Row],[V. No mes]]/Rapid_Componente[[#This Row],[Proj. de V. No mes]],"")</f>
        <v/>
      </c>
      <c r="U9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0" s="39">
        <f>IFERROR(VLOOKUP(Rapid_Componente[[#This Row],[Código]],Venda_3meses[],2,FALSE),0)</f>
        <v>0</v>
      </c>
      <c r="W90" s="44" t="str">
        <f>IFERROR(Rapid_Componente[[#This Row],[V. 3 meses]]/Rapid_Componente[[#This Row],[Proj. de V. 3 meses]],"")</f>
        <v/>
      </c>
      <c r="X9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0" s="39">
        <f>IFERROR(VLOOKUP(Rapid_Componente[[#This Row],[Código]],Venda_12meses[],2,FALSE),0)</f>
        <v>0</v>
      </c>
      <c r="Z90" s="44" t="str">
        <f>IFERROR(Rapid_Componente[[#This Row],[V. 12 meses]]/Rapid_Componente[[#This Row],[Proj. de V. 12 meses]],"")</f>
        <v/>
      </c>
      <c r="AA90" s="22"/>
    </row>
    <row r="91" spans="1:27" x14ac:dyDescent="0.25">
      <c r="A91" s="22" t="str">
        <f>VLOOKUP(Rapid_Componente[[#This Row],[Código]],BD_Produto[#All],7,FALSE)</f>
        <v>Componente</v>
      </c>
      <c r="B9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1" s="23">
        <v>33060424363</v>
      </c>
      <c r="D91" s="22" t="s">
        <v>255</v>
      </c>
      <c r="E91" s="22" t="str">
        <f>VLOOKUP(Rapid_Componente[[#This Row],[Código]],BD_Produto[],3,FALSE)</f>
        <v>Componentes</v>
      </c>
      <c r="F91" s="22" t="str">
        <f>VLOOKUP(Rapid_Componente[[#This Row],[Código]],BD_Produto[],4,FALSE)</f>
        <v>Grampeador Heavy Duty</v>
      </c>
      <c r="G91" s="24"/>
      <c r="H91" s="25"/>
      <c r="I91" s="22"/>
      <c r="J91" s="24"/>
      <c r="K91" s="24" t="str">
        <f>IFERROR(VLOOKUP(Rapid_Componente[[#This Row],[Código]],Importação!P:R,3,FALSE),"")</f>
        <v/>
      </c>
      <c r="L91" s="24">
        <f>IFERROR(VLOOKUP(Rapid_Componente[[#This Row],[Código]],Saldo[],3,FALSE),0)</f>
        <v>20</v>
      </c>
      <c r="M91" s="24">
        <f>SUM(Rapid_Componente[[#This Row],[Produção]:[Estoque]])</f>
        <v>20</v>
      </c>
      <c r="N91" s="24" t="str">
        <f>IFERROR(Rapid_Componente[[#This Row],[Estoque+Importação]]/Rapid_Componente[[#This Row],[Proj. de V. No prox. mes]],"Sem Projeção")</f>
        <v>Sem Projeção</v>
      </c>
      <c r="O9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</v>
      </c>
      <c r="Q91" s="75">
        <f>VLOOKUP(Rapid_Componente[[#This Row],[Código]],Projeção[#All],15,FALSE)</f>
        <v>0</v>
      </c>
      <c r="R91" s="39">
        <f>VLOOKUP(Rapid_Componente[[#This Row],[Código]],Projeção[#All],14,FALSE)</f>
        <v>0</v>
      </c>
      <c r="S91" s="39">
        <f>IFERROR(VLOOKUP(Rapid_Componente[[#This Row],[Código]],Venda_mes[],2,FALSE),0)</f>
        <v>0</v>
      </c>
      <c r="T91" s="44" t="str">
        <f>IFERROR(Rapid_Componente[[#This Row],[V. No mes]]/Rapid_Componente[[#This Row],[Proj. de V. No mes]],"")</f>
        <v/>
      </c>
      <c r="U9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1" s="39">
        <f>IFERROR(VLOOKUP(Rapid_Componente[[#This Row],[Código]],Venda_3meses[],2,FALSE),0)</f>
        <v>0</v>
      </c>
      <c r="W91" s="44" t="str">
        <f>IFERROR(Rapid_Componente[[#This Row],[V. 3 meses]]/Rapid_Componente[[#This Row],[Proj. de V. 3 meses]],"")</f>
        <v/>
      </c>
      <c r="X9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1" s="39">
        <f>IFERROR(VLOOKUP(Rapid_Componente[[#This Row],[Código]],Venda_12meses[],2,FALSE),0)</f>
        <v>0</v>
      </c>
      <c r="Z91" s="44" t="str">
        <f>IFERROR(Rapid_Componente[[#This Row],[V. 12 meses]]/Rapid_Componente[[#This Row],[Proj. de V. 12 meses]],"")</f>
        <v/>
      </c>
      <c r="AA91" s="22"/>
    </row>
    <row r="92" spans="1:27" x14ac:dyDescent="0.25">
      <c r="A92" s="22" t="str">
        <f>VLOOKUP(Rapid_Componente[[#This Row],[Código]],BD_Produto[#All],7,FALSE)</f>
        <v>Componente</v>
      </c>
      <c r="B9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2" s="23">
        <v>33060464982</v>
      </c>
      <c r="D92" s="22" t="s">
        <v>1396</v>
      </c>
      <c r="E92" s="22" t="str">
        <f>VLOOKUP(Rapid_Componente[[#This Row],[Código]],BD_Produto[],3,FALSE)</f>
        <v>Componentes</v>
      </c>
      <c r="F92" s="22" t="str">
        <f>VLOOKUP(Rapid_Componente[[#This Row],[Código]],BD_Produto[],4,FALSE)</f>
        <v>Grampeador Eletrico</v>
      </c>
      <c r="G92" s="24"/>
      <c r="H92" s="25"/>
      <c r="I92" s="22"/>
      <c r="J92" s="24"/>
      <c r="K92" s="24" t="str">
        <f>IFERROR(VLOOKUP(Rapid_Componente[[#This Row],[Código]],Importação!P:R,3,FALSE),"")</f>
        <v/>
      </c>
      <c r="L92" s="24">
        <f>IFERROR(VLOOKUP(Rapid_Componente[[#This Row],[Código]],Saldo[],3,FALSE),0)</f>
        <v>20</v>
      </c>
      <c r="M92" s="24">
        <f>SUM(Rapid_Componente[[#This Row],[Produção]:[Estoque]])</f>
        <v>20</v>
      </c>
      <c r="N92" s="24" t="str">
        <f>IFERROR(Rapid_Componente[[#This Row],[Estoque+Importação]]/Rapid_Componente[[#This Row],[Proj. de V. No prox. mes]],"Sem Projeção")</f>
        <v>Sem Projeção</v>
      </c>
      <c r="O9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-20</v>
      </c>
      <c r="Q92" s="75">
        <f>VLOOKUP(Rapid_Componente[[#This Row],[Código]],Projeção[#All],15,FALSE)</f>
        <v>0</v>
      </c>
      <c r="R92" s="39">
        <f>VLOOKUP(Rapid_Componente[[#This Row],[Código]],Projeção[#All],14,FALSE)</f>
        <v>0</v>
      </c>
      <c r="S92" s="39">
        <f>IFERROR(VLOOKUP(Rapid_Componente[[#This Row],[Código]],Venda_mes[],2,FALSE),0)</f>
        <v>0</v>
      </c>
      <c r="T92" s="44" t="str">
        <f>IFERROR(Rapid_Componente[[#This Row],[V. No mes]]/Rapid_Componente[[#This Row],[Proj. de V. No mes]],"")</f>
        <v/>
      </c>
      <c r="U9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2" s="39">
        <f>IFERROR(VLOOKUP(Rapid_Componente[[#This Row],[Código]],Venda_3meses[],2,FALSE),0)</f>
        <v>0</v>
      </c>
      <c r="W92" s="44" t="str">
        <f>IFERROR(Rapid_Componente[[#This Row],[V. 3 meses]]/Rapid_Componente[[#This Row],[Proj. de V. 3 meses]],"")</f>
        <v/>
      </c>
      <c r="X9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2" s="39">
        <f>IFERROR(VLOOKUP(Rapid_Componente[[#This Row],[Código]],Venda_12meses[],2,FALSE),0)</f>
        <v>0</v>
      </c>
      <c r="Z92" s="44" t="str">
        <f>IFERROR(Rapid_Componente[[#This Row],[V. 12 meses]]/Rapid_Componente[[#This Row],[Proj. de V. 12 meses]],"")</f>
        <v/>
      </c>
      <c r="AA92" s="22"/>
    </row>
    <row r="93" spans="1:27" x14ac:dyDescent="0.25">
      <c r="A93" s="22" t="str">
        <f>VLOOKUP(Rapid_Componente[[#This Row],[Código]],BD_Produto[#All],7,FALSE)</f>
        <v>Componente</v>
      </c>
      <c r="B9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3" s="23">
        <v>33060414663</v>
      </c>
      <c r="D93" s="22" t="s">
        <v>229</v>
      </c>
      <c r="E93" s="22" t="str">
        <f>VLOOKUP(Rapid_Componente[[#This Row],[Código]],BD_Produto[],3,FALSE)</f>
        <v>Componentes</v>
      </c>
      <c r="F93" s="22" t="str">
        <f>VLOOKUP(Rapid_Componente[[#This Row],[Código]],BD_Produto[],4,FALSE)</f>
        <v>Grampeador Alicate</v>
      </c>
      <c r="G93" s="24"/>
      <c r="H93" s="25"/>
      <c r="I93" s="22"/>
      <c r="J93" s="24"/>
      <c r="K93" s="24" t="str">
        <f>IFERROR(VLOOKUP(Rapid_Componente[[#This Row],[Código]],Importação!P:R,3,FALSE),"")</f>
        <v/>
      </c>
      <c r="L93" s="24">
        <f>IFERROR(VLOOKUP(Rapid_Componente[[#This Row],[Código]],Saldo[],3,FALSE),0)</f>
        <v>16</v>
      </c>
      <c r="M93" s="24">
        <f>SUM(Rapid_Componente[[#This Row],[Produção]:[Estoque]])</f>
        <v>16</v>
      </c>
      <c r="N93" s="24" t="str">
        <f>IFERROR(Rapid_Componente[[#This Row],[Estoque+Importação]]/Rapid_Componente[[#This Row],[Proj. de V. No prox. mes]],"Sem Projeção")</f>
        <v>Sem Projeção</v>
      </c>
      <c r="O9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-16</v>
      </c>
      <c r="Q93" s="75">
        <f>VLOOKUP(Rapid_Componente[[#This Row],[Código]],Projeção[#All],15,FALSE)</f>
        <v>0</v>
      </c>
      <c r="R93" s="39">
        <f>VLOOKUP(Rapid_Componente[[#This Row],[Código]],Projeção[#All],14,FALSE)</f>
        <v>0</v>
      </c>
      <c r="S93" s="39">
        <f>IFERROR(VLOOKUP(Rapid_Componente[[#This Row],[Código]],Venda_mes[],2,FALSE),0)</f>
        <v>0</v>
      </c>
      <c r="T93" s="44" t="str">
        <f>IFERROR(Rapid_Componente[[#This Row],[V. No mes]]/Rapid_Componente[[#This Row],[Proj. de V. No mes]],"")</f>
        <v/>
      </c>
      <c r="U9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3" s="39">
        <f>IFERROR(VLOOKUP(Rapid_Componente[[#This Row],[Código]],Venda_3meses[],2,FALSE),0)</f>
        <v>0</v>
      </c>
      <c r="W93" s="44" t="str">
        <f>IFERROR(Rapid_Componente[[#This Row],[V. 3 meses]]/Rapid_Componente[[#This Row],[Proj. de V. 3 meses]],"")</f>
        <v/>
      </c>
      <c r="X9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3" s="39">
        <f>IFERROR(VLOOKUP(Rapid_Componente[[#This Row],[Código]],Venda_12meses[],2,FALSE),0)</f>
        <v>0</v>
      </c>
      <c r="Z93" s="44" t="str">
        <f>IFERROR(Rapid_Componente[[#This Row],[V. 12 meses]]/Rapid_Componente[[#This Row],[Proj. de V. 12 meses]],"")</f>
        <v/>
      </c>
      <c r="AA93" s="22"/>
    </row>
    <row r="94" spans="1:27" x14ac:dyDescent="0.25">
      <c r="A94" s="22" t="str">
        <f>VLOOKUP(Rapid_Componente[[#This Row],[Código]],BD_Produto[#All],7,FALSE)</f>
        <v>Componente</v>
      </c>
      <c r="B9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4" s="23">
        <v>33060424359</v>
      </c>
      <c r="D94" s="22" t="s">
        <v>252</v>
      </c>
      <c r="E94" s="22" t="str">
        <f>VLOOKUP(Rapid_Componente[[#This Row],[Código]],BD_Produto[],3,FALSE)</f>
        <v>Componentes</v>
      </c>
      <c r="F94" s="22" t="str">
        <f>VLOOKUP(Rapid_Componente[[#This Row],[Código]],BD_Produto[],4,FALSE)</f>
        <v>Grampeador Heavy Duty</v>
      </c>
      <c r="G94" s="24"/>
      <c r="H94" s="25"/>
      <c r="I94" s="22"/>
      <c r="J94" s="24"/>
      <c r="K94" s="24" t="str">
        <f>IFERROR(VLOOKUP(Rapid_Componente[[#This Row],[Código]],Importação!P:R,3,FALSE),"")</f>
        <v/>
      </c>
      <c r="L94" s="24">
        <f>IFERROR(VLOOKUP(Rapid_Componente[[#This Row],[Código]],Saldo[],3,FALSE),0)</f>
        <v>15</v>
      </c>
      <c r="M94" s="24">
        <f>SUM(Rapid_Componente[[#This Row],[Produção]:[Estoque]])</f>
        <v>15</v>
      </c>
      <c r="N94" s="24" t="str">
        <f>IFERROR(Rapid_Componente[[#This Row],[Estoque+Importação]]/Rapid_Componente[[#This Row],[Proj. de V. No prox. mes]],"Sem Projeção")</f>
        <v>Sem Projeção</v>
      </c>
      <c r="O9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-15</v>
      </c>
      <c r="Q94" s="75">
        <f>VLOOKUP(Rapid_Componente[[#This Row],[Código]],Projeção[#All],15,FALSE)</f>
        <v>0</v>
      </c>
      <c r="R94" s="39">
        <f>VLOOKUP(Rapid_Componente[[#This Row],[Código]],Projeção[#All],14,FALSE)</f>
        <v>0</v>
      </c>
      <c r="S94" s="39">
        <f>IFERROR(VLOOKUP(Rapid_Componente[[#This Row],[Código]],Venda_mes[],2,FALSE),0)</f>
        <v>0</v>
      </c>
      <c r="T94" s="44" t="str">
        <f>IFERROR(Rapid_Componente[[#This Row],[V. No mes]]/Rapid_Componente[[#This Row],[Proj. de V. No mes]],"")</f>
        <v/>
      </c>
      <c r="U9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4" s="39">
        <f>IFERROR(VLOOKUP(Rapid_Componente[[#This Row],[Código]],Venda_3meses[],2,FALSE),0)</f>
        <v>0</v>
      </c>
      <c r="W94" s="44" t="str">
        <f>IFERROR(Rapid_Componente[[#This Row],[V. 3 meses]]/Rapid_Componente[[#This Row],[Proj. de V. 3 meses]],"")</f>
        <v/>
      </c>
      <c r="X9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4" s="39">
        <f>IFERROR(VLOOKUP(Rapid_Componente[[#This Row],[Código]],Venda_12meses[],2,FALSE),0)</f>
        <v>0</v>
      </c>
      <c r="Z94" s="44" t="str">
        <f>IFERROR(Rapid_Componente[[#This Row],[V. 12 meses]]/Rapid_Componente[[#This Row],[Proj. de V. 12 meses]],"")</f>
        <v/>
      </c>
      <c r="AA94" s="22"/>
    </row>
    <row r="95" spans="1:27" x14ac:dyDescent="0.25">
      <c r="A95" s="22" t="str">
        <f>VLOOKUP(Rapid_Componente[[#This Row],[Código]],BD_Produto[#All],7,FALSE)</f>
        <v>Componente</v>
      </c>
      <c r="B9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5" s="23">
        <v>33060414883</v>
      </c>
      <c r="D95" s="22" t="s">
        <v>241</v>
      </c>
      <c r="E95" s="22" t="str">
        <f>VLOOKUP(Rapid_Componente[[#This Row],[Código]],BD_Produto[],3,FALSE)</f>
        <v>Componentes</v>
      </c>
      <c r="F95" s="22" t="str">
        <f>VLOOKUP(Rapid_Componente[[#This Row],[Código]],BD_Produto[],4,FALSE)</f>
        <v>Grampeador Eletrico</v>
      </c>
      <c r="G95" s="24"/>
      <c r="H95" s="25"/>
      <c r="I95" s="22"/>
      <c r="J95" s="24"/>
      <c r="K95" s="24" t="str">
        <f>IFERROR(VLOOKUP(Rapid_Componente[[#This Row],[Código]],Importação!P:R,3,FALSE),"")</f>
        <v/>
      </c>
      <c r="L95" s="24">
        <f>IFERROR(VLOOKUP(Rapid_Componente[[#This Row],[Código]],Saldo[],3,FALSE),0)</f>
        <v>11</v>
      </c>
      <c r="M95" s="24">
        <f>SUM(Rapid_Componente[[#This Row],[Produção]:[Estoque]])</f>
        <v>11</v>
      </c>
      <c r="N95" s="24" t="str">
        <f>IFERROR(Rapid_Componente[[#This Row],[Estoque+Importação]]/Rapid_Componente[[#This Row],[Proj. de V. No prox. mes]],"Sem Projeção")</f>
        <v>Sem Projeção</v>
      </c>
      <c r="O9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-11</v>
      </c>
      <c r="Q95" s="75">
        <f>VLOOKUP(Rapid_Componente[[#This Row],[Código]],Projeção[#All],15,FALSE)</f>
        <v>0</v>
      </c>
      <c r="R95" s="39">
        <f>VLOOKUP(Rapid_Componente[[#This Row],[Código]],Projeção[#All],14,FALSE)</f>
        <v>0</v>
      </c>
      <c r="S95" s="39">
        <f>IFERROR(VLOOKUP(Rapid_Componente[[#This Row],[Código]],Venda_mes[],2,FALSE),0)</f>
        <v>0</v>
      </c>
      <c r="T95" s="44" t="str">
        <f>IFERROR(Rapid_Componente[[#This Row],[V. No mes]]/Rapid_Componente[[#This Row],[Proj. de V. No mes]],"")</f>
        <v/>
      </c>
      <c r="U9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5" s="39">
        <f>IFERROR(VLOOKUP(Rapid_Componente[[#This Row],[Código]],Venda_3meses[],2,FALSE),0)</f>
        <v>0</v>
      </c>
      <c r="W95" s="44" t="str">
        <f>IFERROR(Rapid_Componente[[#This Row],[V. 3 meses]]/Rapid_Componente[[#This Row],[Proj. de V. 3 meses]],"")</f>
        <v/>
      </c>
      <c r="X9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5" s="39">
        <f>IFERROR(VLOOKUP(Rapid_Componente[[#This Row],[Código]],Venda_12meses[],2,FALSE),0)</f>
        <v>0</v>
      </c>
      <c r="Z95" s="44" t="str">
        <f>IFERROR(Rapid_Componente[[#This Row],[V. 12 meses]]/Rapid_Componente[[#This Row],[Proj. de V. 12 meses]],"")</f>
        <v/>
      </c>
      <c r="AA95" s="22"/>
    </row>
    <row r="96" spans="1:27" x14ac:dyDescent="0.25">
      <c r="A96" s="22" t="str">
        <f>VLOOKUP(Rapid_Componente[[#This Row],[Código]],BD_Produto[#All],7,FALSE)</f>
        <v>Componente</v>
      </c>
      <c r="B9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6" s="23">
        <v>33060414616</v>
      </c>
      <c r="D96" s="22" t="s">
        <v>225</v>
      </c>
      <c r="E96" s="22" t="str">
        <f>VLOOKUP(Rapid_Componente[[#This Row],[Código]],BD_Produto[],3,FALSE)</f>
        <v>Componentes</v>
      </c>
      <c r="F96" s="22" t="str">
        <f>VLOOKUP(Rapid_Componente[[#This Row],[Código]],BD_Produto[],4,FALSE)</f>
        <v>Grampeador Eletrico</v>
      </c>
      <c r="G96" s="24"/>
      <c r="H96" s="25"/>
      <c r="I96" s="22"/>
      <c r="J96" s="24"/>
      <c r="K96" s="24" t="str">
        <f>IFERROR(VLOOKUP(Rapid_Componente[[#This Row],[Código]],Importação!P:R,3,FALSE),"")</f>
        <v/>
      </c>
      <c r="L96" s="24">
        <f>IFERROR(VLOOKUP(Rapid_Componente[[#This Row],[Código]],Saldo[],3,FALSE),0)</f>
        <v>8</v>
      </c>
      <c r="M96" s="24">
        <f>SUM(Rapid_Componente[[#This Row],[Produção]:[Estoque]])</f>
        <v>8</v>
      </c>
      <c r="N96" s="24" t="str">
        <f>IFERROR(Rapid_Componente[[#This Row],[Estoque+Importação]]/Rapid_Componente[[#This Row],[Proj. de V. No prox. mes]],"Sem Projeção")</f>
        <v>Sem Projeção</v>
      </c>
      <c r="O9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-8</v>
      </c>
      <c r="Q96" s="75">
        <f>VLOOKUP(Rapid_Componente[[#This Row],[Código]],Projeção[#All],15,FALSE)</f>
        <v>0</v>
      </c>
      <c r="R96" s="39">
        <f>VLOOKUP(Rapid_Componente[[#This Row],[Código]],Projeção[#All],14,FALSE)</f>
        <v>0</v>
      </c>
      <c r="S96" s="39">
        <f>IFERROR(VLOOKUP(Rapid_Componente[[#This Row],[Código]],Venda_mes[],2,FALSE),0)</f>
        <v>0</v>
      </c>
      <c r="T96" s="44" t="str">
        <f>IFERROR(Rapid_Componente[[#This Row],[V. No mes]]/Rapid_Componente[[#This Row],[Proj. de V. No mes]],"")</f>
        <v/>
      </c>
      <c r="U9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6" s="39">
        <f>IFERROR(VLOOKUP(Rapid_Componente[[#This Row],[Código]],Venda_3meses[],2,FALSE),0)</f>
        <v>0</v>
      </c>
      <c r="W96" s="44" t="str">
        <f>IFERROR(Rapid_Componente[[#This Row],[V. 3 meses]]/Rapid_Componente[[#This Row],[Proj. de V. 3 meses]],"")</f>
        <v/>
      </c>
      <c r="X9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6" s="39">
        <f>IFERROR(VLOOKUP(Rapid_Componente[[#This Row],[Código]],Venda_12meses[],2,FALSE),0)</f>
        <v>0</v>
      </c>
      <c r="Z96" s="44" t="str">
        <f>IFERROR(Rapid_Componente[[#This Row],[V. 12 meses]]/Rapid_Componente[[#This Row],[Proj. de V. 12 meses]],"")</f>
        <v/>
      </c>
      <c r="AA96" s="22"/>
    </row>
    <row r="97" spans="1:27" x14ac:dyDescent="0.25">
      <c r="A97" s="22" t="str">
        <f>VLOOKUP(Rapid_Componente[[#This Row],[Código]],BD_Produto[#All],7,FALSE)</f>
        <v>Componente</v>
      </c>
      <c r="B9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7" s="23">
        <v>33060414664</v>
      </c>
      <c r="D97" s="22" t="s">
        <v>1391</v>
      </c>
      <c r="E97" s="22" t="str">
        <f>VLOOKUP(Rapid_Componente[[#This Row],[Código]],BD_Produto[],3,FALSE)</f>
        <v>Componentes</v>
      </c>
      <c r="F97" s="22" t="str">
        <f>VLOOKUP(Rapid_Componente[[#This Row],[Código]],BD_Produto[],4,FALSE)</f>
        <v>Grampeador Alicate</v>
      </c>
      <c r="G97" s="24"/>
      <c r="H97" s="25"/>
      <c r="I97" s="22"/>
      <c r="J97" s="24"/>
      <c r="K97" s="24" t="str">
        <f>IFERROR(VLOOKUP(Rapid_Componente[[#This Row],[Código]],Importação!P:R,3,FALSE),"")</f>
        <v/>
      </c>
      <c r="L97" s="24">
        <f>IFERROR(VLOOKUP(Rapid_Componente[[#This Row],[Código]],Saldo[],3,FALSE),0)</f>
        <v>5</v>
      </c>
      <c r="M97" s="24">
        <f>SUM(Rapid_Componente[[#This Row],[Produção]:[Estoque]])</f>
        <v>5</v>
      </c>
      <c r="N97" s="24" t="str">
        <f>IFERROR(Rapid_Componente[[#This Row],[Estoque+Importação]]/Rapid_Componente[[#This Row],[Proj. de V. No prox. mes]],"Sem Projeção")</f>
        <v>Sem Projeção</v>
      </c>
      <c r="O97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7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-5</v>
      </c>
      <c r="Q97" s="75">
        <f>VLOOKUP(Rapid_Componente[[#This Row],[Código]],Projeção[#All],15,FALSE)</f>
        <v>0</v>
      </c>
      <c r="R97" s="39">
        <f>VLOOKUP(Rapid_Componente[[#This Row],[Código]],Projeção[#All],14,FALSE)</f>
        <v>0</v>
      </c>
      <c r="S97" s="39">
        <f>IFERROR(VLOOKUP(Rapid_Componente[[#This Row],[Código]],Venda_mes[],2,FALSE),0)</f>
        <v>0</v>
      </c>
      <c r="T97" s="44" t="str">
        <f>IFERROR(Rapid_Componente[[#This Row],[V. No mes]]/Rapid_Componente[[#This Row],[Proj. de V. No mes]],"")</f>
        <v/>
      </c>
      <c r="U9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7" s="39">
        <f>IFERROR(VLOOKUP(Rapid_Componente[[#This Row],[Código]],Venda_3meses[],2,FALSE),0)</f>
        <v>0</v>
      </c>
      <c r="W97" s="44" t="str">
        <f>IFERROR(Rapid_Componente[[#This Row],[V. 3 meses]]/Rapid_Componente[[#This Row],[Proj. de V. 3 meses]],"")</f>
        <v/>
      </c>
      <c r="X9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7" s="39">
        <f>IFERROR(VLOOKUP(Rapid_Componente[[#This Row],[Código]],Venda_12meses[],2,FALSE),0)</f>
        <v>0</v>
      </c>
      <c r="Z97" s="44" t="str">
        <f>IFERROR(Rapid_Componente[[#This Row],[V. 12 meses]]/Rapid_Componente[[#This Row],[Proj. de V. 12 meses]],"")</f>
        <v/>
      </c>
      <c r="AA97" s="22"/>
    </row>
    <row r="98" spans="1:27" x14ac:dyDescent="0.25">
      <c r="A98" s="22" t="str">
        <f>VLOOKUP(Rapid_Componente[[#This Row],[Código]],BD_Produto[#All],7,FALSE)</f>
        <v>Componente</v>
      </c>
      <c r="B9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8" s="23">
        <v>33060414610</v>
      </c>
      <c r="D98" s="22" t="s">
        <v>224</v>
      </c>
      <c r="E98" s="22" t="str">
        <f>VLOOKUP(Rapid_Componente[[#This Row],[Código]],BD_Produto[],3,FALSE)</f>
        <v>Componentes</v>
      </c>
      <c r="F98" s="22" t="str">
        <f>VLOOKUP(Rapid_Componente[[#This Row],[Código]],BD_Produto[],4,FALSE)</f>
        <v>Grampeador Eletrico</v>
      </c>
      <c r="G98" s="24"/>
      <c r="H98" s="25"/>
      <c r="I98" s="22"/>
      <c r="J98" s="24"/>
      <c r="K98" s="24" t="str">
        <f>IFERROR(VLOOKUP(Rapid_Componente[[#This Row],[Código]],Importação!P:R,3,FALSE),"")</f>
        <v/>
      </c>
      <c r="L98" s="24">
        <f>IFERROR(VLOOKUP(Rapid_Componente[[#This Row],[Código]],Saldo[],3,FALSE),0)</f>
        <v>4</v>
      </c>
      <c r="M98" s="24">
        <f>SUM(Rapid_Componente[[#This Row],[Produção]:[Estoque]])</f>
        <v>4</v>
      </c>
      <c r="N98" s="24" t="str">
        <f>IFERROR(Rapid_Componente[[#This Row],[Estoque+Importação]]/Rapid_Componente[[#This Row],[Proj. de V. No prox. mes]],"Sem Projeção")</f>
        <v>Sem Projeção</v>
      </c>
      <c r="O98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8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</v>
      </c>
      <c r="Q98" s="75">
        <f>VLOOKUP(Rapid_Componente[[#This Row],[Código]],Projeção[#All],15,FALSE)</f>
        <v>0</v>
      </c>
      <c r="R98" s="39">
        <f>VLOOKUP(Rapid_Componente[[#This Row],[Código]],Projeção[#All],14,FALSE)</f>
        <v>0</v>
      </c>
      <c r="S98" s="39">
        <f>IFERROR(VLOOKUP(Rapid_Componente[[#This Row],[Código]],Venda_mes[],2,FALSE),0)</f>
        <v>0</v>
      </c>
      <c r="T98" s="44" t="str">
        <f>IFERROR(Rapid_Componente[[#This Row],[V. No mes]]/Rapid_Componente[[#This Row],[Proj. de V. No mes]],"")</f>
        <v/>
      </c>
      <c r="U9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8" s="39">
        <f>IFERROR(VLOOKUP(Rapid_Componente[[#This Row],[Código]],Venda_3meses[],2,FALSE),0)</f>
        <v>0</v>
      </c>
      <c r="W98" s="44" t="str">
        <f>IFERROR(Rapid_Componente[[#This Row],[V. 3 meses]]/Rapid_Componente[[#This Row],[Proj. de V. 3 meses]],"")</f>
        <v/>
      </c>
      <c r="X9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8" s="39">
        <f>IFERROR(VLOOKUP(Rapid_Componente[[#This Row],[Código]],Venda_12meses[],2,FALSE),0)</f>
        <v>0</v>
      </c>
      <c r="Z98" s="44" t="str">
        <f>IFERROR(Rapid_Componente[[#This Row],[V. 12 meses]]/Rapid_Componente[[#This Row],[Proj. de V. 12 meses]],"")</f>
        <v/>
      </c>
      <c r="AA98" s="22"/>
    </row>
    <row r="99" spans="1:27" x14ac:dyDescent="0.25">
      <c r="A99" s="22" t="str">
        <f>VLOOKUP(Rapid_Componente[[#This Row],[Código]],BD_Produto[#All],7,FALSE)</f>
        <v>Componente</v>
      </c>
      <c r="B9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99" s="23">
        <v>33060460534</v>
      </c>
      <c r="D99" s="22" t="s">
        <v>1386</v>
      </c>
      <c r="E99" s="22" t="str">
        <f>VLOOKUP(Rapid_Componente[[#This Row],[Código]],BD_Produto[],3,FALSE)</f>
        <v>Componentes</v>
      </c>
      <c r="F99" s="22" t="str">
        <f>VLOOKUP(Rapid_Componente[[#This Row],[Código]],BD_Produto[],4,FALSE)</f>
        <v>Grampeador Eletrico</v>
      </c>
      <c r="G99" s="24"/>
      <c r="H99" s="25"/>
      <c r="I99" s="22"/>
      <c r="J99" s="24"/>
      <c r="K99" s="24" t="str">
        <f>IFERROR(VLOOKUP(Rapid_Componente[[#This Row],[Código]],Importação!P:R,3,FALSE),"")</f>
        <v/>
      </c>
      <c r="L99" s="24">
        <f>IFERROR(VLOOKUP(Rapid_Componente[[#This Row],[Código]],Saldo[],3,FALSE),0)</f>
        <v>4</v>
      </c>
      <c r="M99" s="24">
        <f>SUM(Rapid_Componente[[#This Row],[Produção]:[Estoque]])</f>
        <v>4</v>
      </c>
      <c r="N99" s="24" t="str">
        <f>IFERROR(Rapid_Componente[[#This Row],[Estoque+Importação]]/Rapid_Componente[[#This Row],[Proj. de V. No prox. mes]],"Sem Projeção")</f>
        <v>Sem Projeção</v>
      </c>
      <c r="O99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99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-4</v>
      </c>
      <c r="Q99" s="75">
        <f>VLOOKUP(Rapid_Componente[[#This Row],[Código]],Projeção[#All],15,FALSE)</f>
        <v>0</v>
      </c>
      <c r="R99" s="39">
        <f>VLOOKUP(Rapid_Componente[[#This Row],[Código]],Projeção[#All],14,FALSE)</f>
        <v>0</v>
      </c>
      <c r="S99" s="39">
        <f>IFERROR(VLOOKUP(Rapid_Componente[[#This Row],[Código]],Venda_mes[],2,FALSE),0)</f>
        <v>0</v>
      </c>
      <c r="T99" s="44" t="str">
        <f>IFERROR(Rapid_Componente[[#This Row],[V. No mes]]/Rapid_Componente[[#This Row],[Proj. de V. No mes]],"")</f>
        <v/>
      </c>
      <c r="U9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99" s="39">
        <f>IFERROR(VLOOKUP(Rapid_Componente[[#This Row],[Código]],Venda_3meses[],2,FALSE),0)</f>
        <v>0</v>
      </c>
      <c r="W99" s="44" t="str">
        <f>IFERROR(Rapid_Componente[[#This Row],[V. 3 meses]]/Rapid_Componente[[#This Row],[Proj. de V. 3 meses]],"")</f>
        <v/>
      </c>
      <c r="X9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99" s="39">
        <f>IFERROR(VLOOKUP(Rapid_Componente[[#This Row],[Código]],Venda_12meses[],2,FALSE),0)</f>
        <v>0</v>
      </c>
      <c r="Z99" s="44" t="str">
        <f>IFERROR(Rapid_Componente[[#This Row],[V. 12 meses]]/Rapid_Componente[[#This Row],[Proj. de V. 12 meses]],"")</f>
        <v/>
      </c>
      <c r="AA99" s="22" t="s">
        <v>1705</v>
      </c>
    </row>
    <row r="100" spans="1:27" x14ac:dyDescent="0.25">
      <c r="A100" s="22" t="str">
        <f>VLOOKUP(Rapid_Componente[[#This Row],[Código]],BD_Produto[#All],7,FALSE)</f>
        <v>Componente</v>
      </c>
      <c r="B10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0" s="23">
        <v>33060414884</v>
      </c>
      <c r="D100" s="22" t="s">
        <v>1385</v>
      </c>
      <c r="E100" s="22" t="str">
        <f>VLOOKUP(Rapid_Componente[[#This Row],[Código]],BD_Produto[],3,FALSE)</f>
        <v>Componentes</v>
      </c>
      <c r="F100" s="22" t="str">
        <f>VLOOKUP(Rapid_Componente[[#This Row],[Código]],BD_Produto[],4,FALSE)</f>
        <v>Grampeador Eletrico</v>
      </c>
      <c r="G100" s="24"/>
      <c r="H100" s="25"/>
      <c r="I100" s="22"/>
      <c r="J100" s="24"/>
      <c r="K100" s="24" t="str">
        <f>IFERROR(VLOOKUP(Rapid_Componente[[#This Row],[Código]],Importação!P:R,3,FALSE),"")</f>
        <v/>
      </c>
      <c r="L100" s="24">
        <f>IFERROR(VLOOKUP(Rapid_Componente[[#This Row],[Código]],Saldo[],3,FALSE),0)</f>
        <v>3</v>
      </c>
      <c r="M100" s="24">
        <f>SUM(Rapid_Componente[[#This Row],[Produção]:[Estoque]])</f>
        <v>3</v>
      </c>
      <c r="N100" s="24" t="str">
        <f>IFERROR(Rapid_Componente[[#This Row],[Estoque+Importação]]/Rapid_Componente[[#This Row],[Proj. de V. No prox. mes]],"Sem Projeção")</f>
        <v>Sem Projeção</v>
      </c>
      <c r="O100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0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-3</v>
      </c>
      <c r="Q100" s="75">
        <f>VLOOKUP(Rapid_Componente[[#This Row],[Código]],Projeção[#All],15,FALSE)</f>
        <v>0</v>
      </c>
      <c r="R100" s="39">
        <f>VLOOKUP(Rapid_Componente[[#This Row],[Código]],Projeção[#All],14,FALSE)</f>
        <v>0</v>
      </c>
      <c r="S100" s="39">
        <f>IFERROR(VLOOKUP(Rapid_Componente[[#This Row],[Código]],Venda_mes[],2,FALSE),0)</f>
        <v>0</v>
      </c>
      <c r="T100" s="44" t="str">
        <f>IFERROR(Rapid_Componente[[#This Row],[V. No mes]]/Rapid_Componente[[#This Row],[Proj. de V. No mes]],"")</f>
        <v/>
      </c>
      <c r="U10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0" s="39">
        <f>IFERROR(VLOOKUP(Rapid_Componente[[#This Row],[Código]],Venda_3meses[],2,FALSE),0)</f>
        <v>0</v>
      </c>
      <c r="W100" s="44" t="str">
        <f>IFERROR(Rapid_Componente[[#This Row],[V. 3 meses]]/Rapid_Componente[[#This Row],[Proj. de V. 3 meses]],"")</f>
        <v/>
      </c>
      <c r="X10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0" s="39">
        <f>IFERROR(VLOOKUP(Rapid_Componente[[#This Row],[Código]],Venda_12meses[],2,FALSE),0)</f>
        <v>0</v>
      </c>
      <c r="Z100" s="44" t="str">
        <f>IFERROR(Rapid_Componente[[#This Row],[V. 12 meses]]/Rapid_Componente[[#This Row],[Proj. de V. 12 meses]],"")</f>
        <v/>
      </c>
      <c r="AA100" s="22"/>
    </row>
    <row r="101" spans="1:27" x14ac:dyDescent="0.25">
      <c r="A101" s="22" t="str">
        <f>VLOOKUP(Rapid_Componente[[#This Row],[Código]],BD_Produto[#All],7,FALSE)</f>
        <v>Componente</v>
      </c>
      <c r="B101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1" s="23">
        <v>33060463716</v>
      </c>
      <c r="D101" s="22" t="s">
        <v>1383</v>
      </c>
      <c r="E101" s="22" t="str">
        <f>VLOOKUP(Rapid_Componente[[#This Row],[Código]],BD_Produto[],3,FALSE)</f>
        <v>Componentes</v>
      </c>
      <c r="F101" s="22" t="str">
        <f>VLOOKUP(Rapid_Componente[[#This Row],[Código]],BD_Produto[],4,FALSE)</f>
        <v>Grampeador Eletrico</v>
      </c>
      <c r="G101" s="24"/>
      <c r="H101" s="25"/>
      <c r="I101" s="22"/>
      <c r="J101" s="24"/>
      <c r="K101" s="24" t="str">
        <f>IFERROR(VLOOKUP(Rapid_Componente[[#This Row],[Código]],Importação!P:R,3,FALSE),"")</f>
        <v/>
      </c>
      <c r="L101" s="24">
        <f>IFERROR(VLOOKUP(Rapid_Componente[[#This Row],[Código]],Saldo[],3,FALSE),0)</f>
        <v>2</v>
      </c>
      <c r="M101" s="24">
        <f>SUM(Rapid_Componente[[#This Row],[Produção]:[Estoque]])</f>
        <v>2</v>
      </c>
      <c r="N101" s="24" t="str">
        <f>IFERROR(Rapid_Componente[[#This Row],[Estoque+Importação]]/Rapid_Componente[[#This Row],[Proj. de V. No prox. mes]],"Sem Projeção")</f>
        <v>Sem Projeção</v>
      </c>
      <c r="O101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1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-2</v>
      </c>
      <c r="Q101" s="75">
        <f>VLOOKUP(Rapid_Componente[[#This Row],[Código]],Projeção[#All],15,FALSE)</f>
        <v>0</v>
      </c>
      <c r="R101" s="39">
        <f>VLOOKUP(Rapid_Componente[[#This Row],[Código]],Projeção[#All],14,FALSE)</f>
        <v>0</v>
      </c>
      <c r="S101" s="39">
        <f>IFERROR(VLOOKUP(Rapid_Componente[[#This Row],[Código]],Venda_mes[],2,FALSE),0)</f>
        <v>0</v>
      </c>
      <c r="T101" s="44" t="str">
        <f>IFERROR(Rapid_Componente[[#This Row],[V. No mes]]/Rapid_Componente[[#This Row],[Proj. de V. No mes]],"")</f>
        <v/>
      </c>
      <c r="U101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1" s="39">
        <f>IFERROR(VLOOKUP(Rapid_Componente[[#This Row],[Código]],Venda_3meses[],2,FALSE),0)</f>
        <v>0</v>
      </c>
      <c r="W101" s="44" t="str">
        <f>IFERROR(Rapid_Componente[[#This Row],[V. 3 meses]]/Rapid_Componente[[#This Row],[Proj. de V. 3 meses]],"")</f>
        <v/>
      </c>
      <c r="X101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1" s="39">
        <f>IFERROR(VLOOKUP(Rapid_Componente[[#This Row],[Código]],Venda_12meses[],2,FALSE),0)</f>
        <v>0</v>
      </c>
      <c r="Z101" s="44" t="str">
        <f>IFERROR(Rapid_Componente[[#This Row],[V. 12 meses]]/Rapid_Componente[[#This Row],[Proj. de V. 12 meses]],"")</f>
        <v/>
      </c>
      <c r="AA101" s="22"/>
    </row>
    <row r="102" spans="1:27" x14ac:dyDescent="0.25">
      <c r="A102" s="22" t="str">
        <f>VLOOKUP(Rapid_Componente[[#This Row],[Código]],BD_Produto[#All],7,FALSE)</f>
        <v>Componente</v>
      </c>
      <c r="B102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2" s="23">
        <v>33060414882</v>
      </c>
      <c r="D102" s="22" t="s">
        <v>1520</v>
      </c>
      <c r="E102" s="22" t="str">
        <f>VLOOKUP(Rapid_Componente[[#This Row],[Código]],BD_Produto[],3,FALSE)</f>
        <v>Componentes</v>
      </c>
      <c r="F102" s="22" t="str">
        <f>VLOOKUP(Rapid_Componente[[#This Row],[Código]],BD_Produto[],4,FALSE)</f>
        <v>Grampeador Eletrico</v>
      </c>
      <c r="G102" s="24"/>
      <c r="H102" s="25"/>
      <c r="I102" s="22"/>
      <c r="J102" s="24"/>
      <c r="K102" s="24" t="str">
        <f>IFERROR(VLOOKUP(Rapid_Componente[[#This Row],[Código]],Importação!P:R,3,FALSE),"")</f>
        <v/>
      </c>
      <c r="L102" s="24">
        <f>IFERROR(VLOOKUP(Rapid_Componente[[#This Row],[Código]],Saldo[],3,FALSE),0)</f>
        <v>0</v>
      </c>
      <c r="M102" s="24">
        <f>SUM(Rapid_Componente[[#This Row],[Produção]:[Estoque]])</f>
        <v>0</v>
      </c>
      <c r="N102" s="24" t="str">
        <f>IFERROR(Rapid_Componente[[#This Row],[Estoque+Importação]]/Rapid_Componente[[#This Row],[Proj. de V. No prox. mes]],"Sem Projeção")</f>
        <v>Sem Projeção</v>
      </c>
      <c r="O102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2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2" s="75">
        <f>VLOOKUP(Rapid_Componente[[#This Row],[Código]],Projeção[#All],15,FALSE)</f>
        <v>0</v>
      </c>
      <c r="R102" s="39">
        <f>VLOOKUP(Rapid_Componente[[#This Row],[Código]],Projeção[#All],14,FALSE)</f>
        <v>0</v>
      </c>
      <c r="S102" s="39">
        <f>IFERROR(VLOOKUP(Rapid_Componente[[#This Row],[Código]],Venda_mes[],2,FALSE),0)</f>
        <v>0</v>
      </c>
      <c r="T102" s="44" t="str">
        <f>IFERROR(Rapid_Componente[[#This Row],[V. No mes]]/Rapid_Componente[[#This Row],[Proj. de V. No mes]],"")</f>
        <v/>
      </c>
      <c r="U102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2" s="39">
        <f>IFERROR(VLOOKUP(Rapid_Componente[[#This Row],[Código]],Venda_3meses[],2,FALSE),0)</f>
        <v>0</v>
      </c>
      <c r="W102" s="44" t="str">
        <f>IFERROR(Rapid_Componente[[#This Row],[V. 3 meses]]/Rapid_Componente[[#This Row],[Proj. de V. 3 meses]],"")</f>
        <v/>
      </c>
      <c r="X102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2" s="39">
        <f>IFERROR(VLOOKUP(Rapid_Componente[[#This Row],[Código]],Venda_12meses[],2,FALSE),0)</f>
        <v>0</v>
      </c>
      <c r="Z102" s="44" t="str">
        <f>IFERROR(Rapid_Componente[[#This Row],[V. 12 meses]]/Rapid_Componente[[#This Row],[Proj. de V. 12 meses]],"")</f>
        <v/>
      </c>
      <c r="AA102" s="22"/>
    </row>
    <row r="103" spans="1:27" x14ac:dyDescent="0.25">
      <c r="A103" s="22" t="str">
        <f>VLOOKUP(Rapid_Componente[[#This Row],[Código]],BD_Produto[#All],7,FALSE)</f>
        <v>Componente</v>
      </c>
      <c r="B103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3" s="23">
        <v>33070424535</v>
      </c>
      <c r="D103" s="22" t="s">
        <v>1521</v>
      </c>
      <c r="E103" s="22" t="str">
        <f>VLOOKUP(Rapid_Componente[[#This Row],[Código]],BD_Produto[],3,FALSE)</f>
        <v>Componentes</v>
      </c>
      <c r="F103" s="22" t="str">
        <f>VLOOKUP(Rapid_Componente[[#This Row],[Código]],BD_Produto[],4,FALSE)</f>
        <v>Grampeador Martelo</v>
      </c>
      <c r="G103" s="24"/>
      <c r="H103" s="25"/>
      <c r="I103" s="22"/>
      <c r="J103" s="24"/>
      <c r="K103" s="24" t="str">
        <f>IFERROR(VLOOKUP(Rapid_Componente[[#This Row],[Código]],Importação!P:R,3,FALSE),"")</f>
        <v/>
      </c>
      <c r="L103" s="24">
        <f>IFERROR(VLOOKUP(Rapid_Componente[[#This Row],[Código]],Saldo[],3,FALSE),0)</f>
        <v>0</v>
      </c>
      <c r="M103" s="24">
        <f>SUM(Rapid_Componente[[#This Row],[Produção]:[Estoque]])</f>
        <v>0</v>
      </c>
      <c r="N103" s="24" t="str">
        <f>IFERROR(Rapid_Componente[[#This Row],[Estoque+Importação]]/Rapid_Componente[[#This Row],[Proj. de V. No prox. mes]],"Sem Projeção")</f>
        <v>Sem Projeção</v>
      </c>
      <c r="O103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3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3" s="75">
        <f>VLOOKUP(Rapid_Componente[[#This Row],[Código]],Projeção[#All],15,FALSE)</f>
        <v>0</v>
      </c>
      <c r="R103" s="39">
        <f>VLOOKUP(Rapid_Componente[[#This Row],[Código]],Projeção[#All],14,FALSE)</f>
        <v>0</v>
      </c>
      <c r="S103" s="39">
        <f>IFERROR(VLOOKUP(Rapid_Componente[[#This Row],[Código]],Venda_mes[],2,FALSE),0)</f>
        <v>0</v>
      </c>
      <c r="T103" s="44" t="str">
        <f>IFERROR(Rapid_Componente[[#This Row],[V. No mes]]/Rapid_Componente[[#This Row],[Proj. de V. No mes]],"")</f>
        <v/>
      </c>
      <c r="U103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3" s="39">
        <f>IFERROR(VLOOKUP(Rapid_Componente[[#This Row],[Código]],Venda_3meses[],2,FALSE),0)</f>
        <v>0</v>
      </c>
      <c r="W103" s="44" t="str">
        <f>IFERROR(Rapid_Componente[[#This Row],[V. 3 meses]]/Rapid_Componente[[#This Row],[Proj. de V. 3 meses]],"")</f>
        <v/>
      </c>
      <c r="X103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3" s="39">
        <f>IFERROR(VLOOKUP(Rapid_Componente[[#This Row],[Código]],Venda_12meses[],2,FALSE),0)</f>
        <v>0</v>
      </c>
      <c r="Z103" s="44" t="str">
        <f>IFERROR(Rapid_Componente[[#This Row],[V. 12 meses]]/Rapid_Componente[[#This Row],[Proj. de V. 12 meses]],"")</f>
        <v/>
      </c>
      <c r="AA103" s="22"/>
    </row>
    <row r="104" spans="1:27" x14ac:dyDescent="0.25">
      <c r="A104" s="22" t="str">
        <f>VLOOKUP(Rapid_Componente[[#This Row],[Código]],BD_Produto[#All],7,FALSE)</f>
        <v>Componente</v>
      </c>
      <c r="B104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4" s="23">
        <v>33070460771</v>
      </c>
      <c r="D104" s="22" t="s">
        <v>540</v>
      </c>
      <c r="E104" s="22" t="str">
        <f>VLOOKUP(Rapid_Componente[[#This Row],[Código]],BD_Produto[],3,FALSE)</f>
        <v>Componentes</v>
      </c>
      <c r="F104" s="22" t="str">
        <f>VLOOKUP(Rapid_Componente[[#This Row],[Código]],BD_Produto[],4,FALSE)</f>
        <v>Grampeador Pistola</v>
      </c>
      <c r="G104" s="24"/>
      <c r="H104" s="25"/>
      <c r="I104" s="22"/>
      <c r="J104" s="24"/>
      <c r="K104" s="24" t="str">
        <f>IFERROR(VLOOKUP(Rapid_Componente[[#This Row],[Código]],Importação!P:R,3,FALSE),"")</f>
        <v/>
      </c>
      <c r="L104" s="24">
        <f>IFERROR(VLOOKUP(Rapid_Componente[[#This Row],[Código]],Saldo[],3,FALSE),0)</f>
        <v>0</v>
      </c>
      <c r="M104" s="24">
        <f>SUM(Rapid_Componente[[#This Row],[Produção]:[Estoque]])</f>
        <v>0</v>
      </c>
      <c r="N104" s="24" t="str">
        <f>IFERROR(Rapid_Componente[[#This Row],[Estoque+Importação]]/Rapid_Componente[[#This Row],[Proj. de V. No prox. mes]],"Sem Projeção")</f>
        <v>Sem Projeção</v>
      </c>
      <c r="O104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4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4" s="75">
        <f>VLOOKUP(Rapid_Componente[[#This Row],[Código]],Projeção[#All],15,FALSE)</f>
        <v>0</v>
      </c>
      <c r="R104" s="39">
        <f>VLOOKUP(Rapid_Componente[[#This Row],[Código]],Projeção[#All],14,FALSE)</f>
        <v>0</v>
      </c>
      <c r="S104" s="39">
        <f>IFERROR(VLOOKUP(Rapid_Componente[[#This Row],[Código]],Venda_mes[],2,FALSE),0)</f>
        <v>0</v>
      </c>
      <c r="T104" s="44" t="str">
        <f>IFERROR(Rapid_Componente[[#This Row],[V. No mes]]/Rapid_Componente[[#This Row],[Proj. de V. No mes]],"")</f>
        <v/>
      </c>
      <c r="U104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4" s="39">
        <f>IFERROR(VLOOKUP(Rapid_Componente[[#This Row],[Código]],Venda_3meses[],2,FALSE),0)</f>
        <v>0</v>
      </c>
      <c r="W104" s="44" t="str">
        <f>IFERROR(Rapid_Componente[[#This Row],[V. 3 meses]]/Rapid_Componente[[#This Row],[Proj. de V. 3 meses]],"")</f>
        <v/>
      </c>
      <c r="X104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4" s="39">
        <f>IFERROR(VLOOKUP(Rapid_Componente[[#This Row],[Código]],Venda_12meses[],2,FALSE),0)</f>
        <v>0</v>
      </c>
      <c r="Z104" s="44" t="str">
        <f>IFERROR(Rapid_Componente[[#This Row],[V. 12 meses]]/Rapid_Componente[[#This Row],[Proj. de V. 12 meses]],"")</f>
        <v/>
      </c>
      <c r="AA104" s="22" t="s">
        <v>1706</v>
      </c>
    </row>
    <row r="105" spans="1:27" x14ac:dyDescent="0.25">
      <c r="A105" s="22" t="str">
        <f>VLOOKUP(Rapid_Componente[[#This Row],[Código]],BD_Produto[#All],7,FALSE)</f>
        <v>Componente</v>
      </c>
      <c r="B105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5" s="23">
        <v>33060414819</v>
      </c>
      <c r="D105" s="22" t="s">
        <v>239</v>
      </c>
      <c r="E105" s="22" t="str">
        <f>VLOOKUP(Rapid_Componente[[#This Row],[Código]],BD_Produto[],3,FALSE)</f>
        <v>Componentes</v>
      </c>
      <c r="F105" s="22" t="str">
        <f>VLOOKUP(Rapid_Componente[[#This Row],[Código]],BD_Produto[],4,FALSE)</f>
        <v>Grampeador Eletrico</v>
      </c>
      <c r="G105" s="24"/>
      <c r="H105" s="25"/>
      <c r="I105" s="22"/>
      <c r="J105" s="24"/>
      <c r="K105" s="24" t="str">
        <f>IFERROR(VLOOKUP(Rapid_Componente[[#This Row],[Código]],Importação!P:R,3,FALSE),"")</f>
        <v/>
      </c>
      <c r="L105" s="24">
        <f>IFERROR(VLOOKUP(Rapid_Componente[[#This Row],[Código]],Saldo[],3,FALSE),0)</f>
        <v>0</v>
      </c>
      <c r="M105" s="24">
        <f>SUM(Rapid_Componente[[#This Row],[Produção]:[Estoque]])</f>
        <v>0</v>
      </c>
      <c r="N105" s="24" t="str">
        <f>IFERROR(Rapid_Componente[[#This Row],[Estoque+Importação]]/Rapid_Componente[[#This Row],[Proj. de V. No prox. mes]],"Sem Projeção")</f>
        <v>Sem Projeção</v>
      </c>
      <c r="O105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5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5" s="75">
        <f>VLOOKUP(Rapid_Componente[[#This Row],[Código]],Projeção[#All],15,FALSE)</f>
        <v>0</v>
      </c>
      <c r="R105" s="39">
        <f>VLOOKUP(Rapid_Componente[[#This Row],[Código]],Projeção[#All],14,FALSE)</f>
        <v>0</v>
      </c>
      <c r="S105" s="39">
        <f>IFERROR(VLOOKUP(Rapid_Componente[[#This Row],[Código]],Venda_mes[],2,FALSE),0)</f>
        <v>0</v>
      </c>
      <c r="T105" s="44" t="str">
        <f>IFERROR(Rapid_Componente[[#This Row],[V. No mes]]/Rapid_Componente[[#This Row],[Proj. de V. No mes]],"")</f>
        <v/>
      </c>
      <c r="U105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5" s="39">
        <f>IFERROR(VLOOKUP(Rapid_Componente[[#This Row],[Código]],Venda_3meses[],2,FALSE),0)</f>
        <v>0</v>
      </c>
      <c r="W105" s="44" t="str">
        <f>IFERROR(Rapid_Componente[[#This Row],[V. 3 meses]]/Rapid_Componente[[#This Row],[Proj. de V. 3 meses]],"")</f>
        <v/>
      </c>
      <c r="X105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5" s="39">
        <f>IFERROR(VLOOKUP(Rapid_Componente[[#This Row],[Código]],Venda_12meses[],2,FALSE),0)</f>
        <v>0</v>
      </c>
      <c r="Z105" s="44" t="str">
        <f>IFERROR(Rapid_Componente[[#This Row],[V. 12 meses]]/Rapid_Componente[[#This Row],[Proj. de V. 12 meses]],"")</f>
        <v/>
      </c>
      <c r="AA105" s="22" t="s">
        <v>1706</v>
      </c>
    </row>
    <row r="106" spans="1:27" x14ac:dyDescent="0.25">
      <c r="A106" s="22" t="str">
        <f>VLOOKUP(Rapid_Componente[[#This Row],[Código]],BD_Produto[#All],7,FALSE)</f>
        <v>Componente</v>
      </c>
      <c r="B106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ok</v>
      </c>
      <c r="C106" s="23">
        <v>33070460774</v>
      </c>
      <c r="D106" s="22" t="s">
        <v>294</v>
      </c>
      <c r="E106" s="22" t="str">
        <f>VLOOKUP(Rapid_Componente[[#This Row],[Código]],BD_Produto[],3,FALSE)</f>
        <v>Componentes</v>
      </c>
      <c r="F106" s="22" t="str">
        <f>VLOOKUP(Rapid_Componente[[#This Row],[Código]],BD_Produto[],4,FALSE)</f>
        <v>Grampeador Eletrico</v>
      </c>
      <c r="G106" s="24"/>
      <c r="H106" s="25"/>
      <c r="I106" s="22"/>
      <c r="J106" s="24"/>
      <c r="K106" s="24" t="str">
        <f>IFERROR(VLOOKUP(Rapid_Componente[[#This Row],[Código]],Importação!P:R,3,FALSE),"")</f>
        <v/>
      </c>
      <c r="L106" s="24">
        <f>IFERROR(VLOOKUP(Rapid_Componente[[#This Row],[Código]],Saldo[],3,FALSE),0)</f>
        <v>0</v>
      </c>
      <c r="M106" s="24">
        <f>SUM(Rapid_Componente[[#This Row],[Produção]:[Estoque]])</f>
        <v>0</v>
      </c>
      <c r="N106" s="24" t="str">
        <f>IFERROR(Rapid_Componente[[#This Row],[Estoque+Importação]]/Rapid_Componente[[#This Row],[Proj. de V. No prox. mes]],"Sem Projeção")</f>
        <v>Sem Projeção</v>
      </c>
      <c r="O106" s="24">
        <f>IF(OR(Rapid_Componente[[#This Row],[Status]]="Em Linha",Rapid_Componente[[#This Row],[Status]]="Componente",Rapid_Componente[[#This Row],[Status]]="Materia Prima"),Rapid_Componente[[#This Row],[Proj. de V. No prox. mes]]*10,"-")</f>
        <v>0</v>
      </c>
      <c r="P106" s="3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6" s="75">
        <f>VLOOKUP(Rapid_Componente[[#This Row],[Código]],Projeção[#All],15,FALSE)</f>
        <v>0</v>
      </c>
      <c r="R106" s="39">
        <f>VLOOKUP(Rapid_Componente[[#This Row],[Código]],Projeção[#All],14,FALSE)</f>
        <v>0</v>
      </c>
      <c r="S106" s="39">
        <f>IFERROR(VLOOKUP(Rapid_Componente[[#This Row],[Código]],Venda_mes[],2,FALSE),0)</f>
        <v>0</v>
      </c>
      <c r="T106" s="44" t="str">
        <f>IFERROR(Rapid_Componente[[#This Row],[V. No mes]]/Rapid_Componente[[#This Row],[Proj. de V. No mes]],"")</f>
        <v/>
      </c>
      <c r="U106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6" s="39">
        <f>IFERROR(VLOOKUP(Rapid_Componente[[#This Row],[Código]],Venda_3meses[],2,FALSE),0)</f>
        <v>0</v>
      </c>
      <c r="W106" s="44" t="str">
        <f>IFERROR(Rapid_Componente[[#This Row],[V. 3 meses]]/Rapid_Componente[[#This Row],[Proj. de V. 3 meses]],"")</f>
        <v/>
      </c>
      <c r="X106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6" s="39">
        <f>IFERROR(VLOOKUP(Rapid_Componente[[#This Row],[Código]],Venda_12meses[],2,FALSE),0)</f>
        <v>0</v>
      </c>
      <c r="Z106" s="44" t="str">
        <f>IFERROR(Rapid_Componente[[#This Row],[V. 12 meses]]/Rapid_Componente[[#This Row],[Proj. de V. 12 meses]],"")</f>
        <v/>
      </c>
      <c r="AA106" s="22" t="s">
        <v>1706</v>
      </c>
    </row>
    <row r="107" spans="1:27" x14ac:dyDescent="0.25">
      <c r="A107" s="22" t="str">
        <f>VLOOKUP(Rapid_Componente[[#This Row],[Código]],BD_Produto[#All],7,FALSE)</f>
        <v>Fora de linha</v>
      </c>
      <c r="B107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Tirar</v>
      </c>
      <c r="C107" s="23">
        <v>33060414679</v>
      </c>
      <c r="D107" s="22" t="s">
        <v>1516</v>
      </c>
      <c r="E107" s="22" t="str">
        <f>VLOOKUP(Rapid_Componente[[#This Row],[Código]],BD_Produto[],3,FALSE)</f>
        <v>Componentes</v>
      </c>
      <c r="F107" s="22" t="str">
        <f>VLOOKUP(Rapid_Componente[[#This Row],[Código]],BD_Produto[],4,FALSE)</f>
        <v>Grampeador Eletrico</v>
      </c>
      <c r="G107" s="24"/>
      <c r="H107" s="25"/>
      <c r="I107" s="22"/>
      <c r="J107" s="24"/>
      <c r="K107" s="24" t="str">
        <f>IFERROR(VLOOKUP(Rapid_Componente[[#This Row],[Código]],Importação!P:R,3,FALSE),"")</f>
        <v/>
      </c>
      <c r="L107" s="24">
        <f>IFERROR(VLOOKUP(Rapid_Componente[[#This Row],[Código]],Saldo[],3,FALSE),0)</f>
        <v>0</v>
      </c>
      <c r="M107" s="24">
        <f>SUM(Rapid_Componente[[#This Row],[Produção]:[Estoque]])</f>
        <v>0</v>
      </c>
      <c r="N107" s="24" t="str">
        <f>IFERROR(Rapid_Componente[[#This Row],[Estoque+Importação]]/Rapid_Componente[[#This Row],[Proj. de V. No prox. mes]],"Sem Projeção")</f>
        <v>Sem Projeção</v>
      </c>
      <c r="O107" s="24" t="str">
        <f>IF(OR(Rapid_Componente[[#This Row],[Status]]="Em Linha",Rapid_Componente[[#This Row],[Status]]="Componente",Rapid_Componente[[#This Row],[Status]]="Materia Prima"),Rapid_Componente[[#This Row],[Proj. de V. No prox. mes]]*10,"-")</f>
        <v>-</v>
      </c>
      <c r="P107" s="2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7" s="100">
        <f>VLOOKUP(Rapid_Componente[[#This Row],[Código]],Projeção[#All],15,FALSE)</f>
        <v>0</v>
      </c>
      <c r="R107" s="39">
        <f>VLOOKUP(Rapid_Componente[[#This Row],[Código]],Projeção[#All],14,FALSE)</f>
        <v>0</v>
      </c>
      <c r="S107" s="39">
        <f>IFERROR(VLOOKUP(Rapid_Componente[[#This Row],[Código]],Venda_mes[],2,FALSE),0)</f>
        <v>0</v>
      </c>
      <c r="T107" s="44" t="str">
        <f>IFERROR(Rapid_Componente[[#This Row],[V. No mes]]/Rapid_Componente[[#This Row],[Proj. de V. No mes]],"")</f>
        <v/>
      </c>
      <c r="U107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7" s="39">
        <f>IFERROR(VLOOKUP(Rapid_Componente[[#This Row],[Código]],Venda_3meses[],2,FALSE),0)</f>
        <v>0</v>
      </c>
      <c r="W107" s="44" t="str">
        <f>IFERROR(Rapid_Componente[[#This Row],[V. 3 meses]]/Rapid_Componente[[#This Row],[Proj. de V. 3 meses]],"")</f>
        <v/>
      </c>
      <c r="X107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7" s="39">
        <f>IFERROR(VLOOKUP(Rapid_Componente[[#This Row],[Código]],Venda_12meses[],2,FALSE),0)</f>
        <v>0</v>
      </c>
      <c r="Z107" s="44" t="str">
        <f>IFERROR(Rapid_Componente[[#This Row],[V. 12 meses]]/Rapid_Componente[[#This Row],[Proj. de V. 12 meses]],"")</f>
        <v/>
      </c>
      <c r="AA107" s="22"/>
    </row>
    <row r="108" spans="1:27" x14ac:dyDescent="0.25">
      <c r="A108" s="22" t="str">
        <f>VLOOKUP(Rapid_Componente[[#This Row],[Código]],BD_Produto[#All],7,FALSE)</f>
        <v>Fora de linha</v>
      </c>
      <c r="B108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Tirar</v>
      </c>
      <c r="C108" s="23">
        <v>33060454026</v>
      </c>
      <c r="D108" s="22" t="s">
        <v>1517</v>
      </c>
      <c r="E108" s="22" t="str">
        <f>VLOOKUP(Rapid_Componente[[#This Row],[Código]],BD_Produto[],3,FALSE)</f>
        <v>Componentes</v>
      </c>
      <c r="F108" s="22" t="str">
        <f>VLOOKUP(Rapid_Componente[[#This Row],[Código]],BD_Produto[],4,FALSE)</f>
        <v>Grampeador Heavy Duty</v>
      </c>
      <c r="G108" s="24"/>
      <c r="H108" s="25"/>
      <c r="I108" s="22"/>
      <c r="J108" s="24"/>
      <c r="K108" s="24" t="str">
        <f>IFERROR(VLOOKUP(Rapid_Componente[[#This Row],[Código]],Importação!P:R,3,FALSE),"")</f>
        <v/>
      </c>
      <c r="L108" s="24">
        <f>IFERROR(VLOOKUP(Rapid_Componente[[#This Row],[Código]],Saldo[],3,FALSE),0)</f>
        <v>0</v>
      </c>
      <c r="M108" s="24">
        <f>SUM(Rapid_Componente[[#This Row],[Produção]:[Estoque]])</f>
        <v>0</v>
      </c>
      <c r="N108" s="24" t="str">
        <f>IFERROR(Rapid_Componente[[#This Row],[Estoque+Importação]]/Rapid_Componente[[#This Row],[Proj. de V. No prox. mes]],"Sem Projeção")</f>
        <v>Sem Projeção</v>
      </c>
      <c r="O108" s="24" t="str">
        <f>IF(OR(Rapid_Componente[[#This Row],[Status]]="Em Linha",Rapid_Componente[[#This Row],[Status]]="Componente",Rapid_Componente[[#This Row],[Status]]="Materia Prima"),Rapid_Componente[[#This Row],[Proj. de V. No prox. mes]]*10,"-")</f>
        <v>-</v>
      </c>
      <c r="P108" s="2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8" s="100">
        <f>VLOOKUP(Rapid_Componente[[#This Row],[Código]],Projeção[#All],15,FALSE)</f>
        <v>0</v>
      </c>
      <c r="R108" s="39">
        <f>VLOOKUP(Rapid_Componente[[#This Row],[Código]],Projeção[#All],14,FALSE)</f>
        <v>0</v>
      </c>
      <c r="S108" s="39">
        <f>IFERROR(VLOOKUP(Rapid_Componente[[#This Row],[Código]],Venda_mes[],2,FALSE),0)</f>
        <v>0</v>
      </c>
      <c r="T108" s="44" t="str">
        <f>IFERROR(Rapid_Componente[[#This Row],[V. No mes]]/Rapid_Componente[[#This Row],[Proj. de V. No mes]],"")</f>
        <v/>
      </c>
      <c r="U108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8" s="39">
        <f>IFERROR(VLOOKUP(Rapid_Componente[[#This Row],[Código]],Venda_3meses[],2,FALSE),0)</f>
        <v>0</v>
      </c>
      <c r="W108" s="44" t="str">
        <f>IFERROR(Rapid_Componente[[#This Row],[V. 3 meses]]/Rapid_Componente[[#This Row],[Proj. de V. 3 meses]],"")</f>
        <v/>
      </c>
      <c r="X108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8" s="39">
        <f>IFERROR(VLOOKUP(Rapid_Componente[[#This Row],[Código]],Venda_12meses[],2,FALSE),0)</f>
        <v>0</v>
      </c>
      <c r="Z108" s="44" t="str">
        <f>IFERROR(Rapid_Componente[[#This Row],[V. 12 meses]]/Rapid_Componente[[#This Row],[Proj. de V. 12 meses]],"")</f>
        <v/>
      </c>
      <c r="AA108" s="22">
        <v>174288</v>
      </c>
    </row>
    <row r="109" spans="1:27" x14ac:dyDescent="0.25">
      <c r="A109" s="22" t="str">
        <f>VLOOKUP(Rapid_Componente[[#This Row],[Código]],BD_Produto[#All],7,FALSE)</f>
        <v>Fora de linha</v>
      </c>
      <c r="B109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Tirar</v>
      </c>
      <c r="C109" s="23">
        <v>33060461839</v>
      </c>
      <c r="D109" s="22" t="s">
        <v>1518</v>
      </c>
      <c r="E109" s="22" t="str">
        <f>VLOOKUP(Rapid_Componente[[#This Row],[Código]],BD_Produto[],3,FALSE)</f>
        <v>Insumo</v>
      </c>
      <c r="F109" s="22" t="str">
        <f>VLOOKUP(Rapid_Componente[[#This Row],[Código]],BD_Produto[],4,FALSE)</f>
        <v>Perfurador</v>
      </c>
      <c r="G109" s="24"/>
      <c r="H109" s="25"/>
      <c r="I109" s="22"/>
      <c r="J109" s="24"/>
      <c r="K109" s="24" t="str">
        <f>IFERROR(VLOOKUP(Rapid_Componente[[#This Row],[Código]],Importação!P:R,3,FALSE),"")</f>
        <v/>
      </c>
      <c r="L109" s="24">
        <f>IFERROR(VLOOKUP(Rapid_Componente[[#This Row],[Código]],Saldo[],3,FALSE),0)</f>
        <v>0</v>
      </c>
      <c r="M109" s="24">
        <f>SUM(Rapid_Componente[[#This Row],[Produção]:[Estoque]])</f>
        <v>0</v>
      </c>
      <c r="N109" s="24" t="str">
        <f>IFERROR(Rapid_Componente[[#This Row],[Estoque+Importação]]/Rapid_Componente[[#This Row],[Proj. de V. No prox. mes]],"Sem Projeção")</f>
        <v>Sem Projeção</v>
      </c>
      <c r="O109" s="24" t="str">
        <f>IF(OR(Rapid_Componente[[#This Row],[Status]]="Em Linha",Rapid_Componente[[#This Row],[Status]]="Componente",Rapid_Componente[[#This Row],[Status]]="Materia Prima"),Rapid_Componente[[#This Row],[Proj. de V. No prox. mes]]*10,"-")</f>
        <v>-</v>
      </c>
      <c r="P109" s="2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09" s="100">
        <f>VLOOKUP(Rapid_Componente[[#This Row],[Código]],Projeção[#All],15,FALSE)</f>
        <v>0</v>
      </c>
      <c r="R109" s="39">
        <f>VLOOKUP(Rapid_Componente[[#This Row],[Código]],Projeção[#All],14,FALSE)</f>
        <v>0</v>
      </c>
      <c r="S109" s="39">
        <f>IFERROR(VLOOKUP(Rapid_Componente[[#This Row],[Código]],Venda_mes[],2,FALSE),0)</f>
        <v>0</v>
      </c>
      <c r="T109" s="44" t="str">
        <f>IFERROR(Rapid_Componente[[#This Row],[V. No mes]]/Rapid_Componente[[#This Row],[Proj. de V. No mes]],"")</f>
        <v/>
      </c>
      <c r="U109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09" s="39">
        <f>IFERROR(VLOOKUP(Rapid_Componente[[#This Row],[Código]],Venda_3meses[],2,FALSE),0)</f>
        <v>0</v>
      </c>
      <c r="W109" s="44" t="str">
        <f>IFERROR(Rapid_Componente[[#This Row],[V. 3 meses]]/Rapid_Componente[[#This Row],[Proj. de V. 3 meses]],"")</f>
        <v/>
      </c>
      <c r="X109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09" s="39">
        <f>IFERROR(VLOOKUP(Rapid_Componente[[#This Row],[Código]],Venda_12meses[],2,FALSE),0)</f>
        <v>0</v>
      </c>
      <c r="Z109" s="44" t="str">
        <f>IFERROR(Rapid_Componente[[#This Row],[V. 12 meses]]/Rapid_Componente[[#This Row],[Proj. de V. 12 meses]],"")</f>
        <v/>
      </c>
      <c r="AA109" s="22"/>
    </row>
    <row r="110" spans="1:27" x14ac:dyDescent="0.25">
      <c r="A110" s="22" t="str">
        <f>VLOOKUP(Rapid_Componente[[#This Row],[Código]],BD_Produto[#All],7,FALSE)</f>
        <v>Fora de linha</v>
      </c>
      <c r="B110" s="22" t="str">
        <f>IF(OR(Rapid_Componente[[#This Row],[Status]]="Em linha",Rapid_Componente[[#This Row],[Status]]="Materia Prima",Rapid_Componente[[#This Row],[Status]]="Componente"),"ok",IF(Rapid_Componente[[#This Row],[Estoque+Importação]]&lt;1,"Tirar","ok"))</f>
        <v>Tirar</v>
      </c>
      <c r="C110" s="23">
        <v>33070424534</v>
      </c>
      <c r="D110" s="22" t="s">
        <v>1519</v>
      </c>
      <c r="E110" s="22" t="str">
        <f>VLOOKUP(Rapid_Componente[[#This Row],[Código]],BD_Produto[],3,FALSE)</f>
        <v>Componentes</v>
      </c>
      <c r="F110" s="22" t="str">
        <f>VLOOKUP(Rapid_Componente[[#This Row],[Código]],BD_Produto[],4,FALSE)</f>
        <v>Grampeador Martelo</v>
      </c>
      <c r="G110" s="24"/>
      <c r="H110" s="25"/>
      <c r="I110" s="22"/>
      <c r="J110" s="24"/>
      <c r="K110" s="24" t="str">
        <f>IFERROR(VLOOKUP(Rapid_Componente[[#This Row],[Código]],Importação!P:R,3,FALSE),"")</f>
        <v/>
      </c>
      <c r="L110" s="24">
        <f>IFERROR(VLOOKUP(Rapid_Componente[[#This Row],[Código]],Saldo[],3,FALSE),0)</f>
        <v>0</v>
      </c>
      <c r="M110" s="24">
        <f>SUM(Rapid_Componente[[#This Row],[Produção]:[Estoque]])</f>
        <v>0</v>
      </c>
      <c r="N110" s="24" t="str">
        <f>IFERROR(Rapid_Componente[[#This Row],[Estoque+Importação]]/Rapid_Componente[[#This Row],[Proj. de V. No prox. mes]],"Sem Projeção")</f>
        <v>Sem Projeção</v>
      </c>
      <c r="O110" s="24" t="str">
        <f>IF(OR(Rapid_Componente[[#This Row],[Status]]="Em Linha",Rapid_Componente[[#This Row],[Status]]="Componente",Rapid_Componente[[#This Row],[Status]]="Materia Prima"),Rapid_Componente[[#This Row],[Proj. de V. No prox. mes]]*10,"-")</f>
        <v>-</v>
      </c>
      <c r="P110" s="24">
        <f>IF(OR(Rapid_Componente[[#This Row],[Status]]="Em Linha",Rapid_Componente[[#This Row],[Status]]="Componente",Rapid_Componente[[#This Row],[Status]]="Materia Prima"),Rapid_Componente[[#This Row],[estoque 10 meses]]-Rapid_Componente[[#This Row],[Estoque+Importação]],0)</f>
        <v>0</v>
      </c>
      <c r="Q110" s="100">
        <f>VLOOKUP(Rapid_Componente[[#This Row],[Código]],Projeção[#All],15,FALSE)</f>
        <v>0</v>
      </c>
      <c r="R110" s="39">
        <f>VLOOKUP(Rapid_Componente[[#This Row],[Código]],Projeção[#All],14,FALSE)</f>
        <v>0</v>
      </c>
      <c r="S110" s="39">
        <f>IFERROR(VLOOKUP(Rapid_Componente[[#This Row],[Código]],Venda_mes[],2,FALSE),0)</f>
        <v>0</v>
      </c>
      <c r="T110" s="44" t="str">
        <f>IFERROR(Rapid_Componente[[#This Row],[V. No mes]]/Rapid_Componente[[#This Row],[Proj. de V. No mes]],"")</f>
        <v/>
      </c>
      <c r="U110" s="43">
        <f>VLOOKUP(Rapid_Componente[[#This Row],[Código]],Projeção[#All],14,FALSE)+VLOOKUP(Rapid_Componente[[#This Row],[Código]],Projeção[#All],13,FALSE)+VLOOKUP(Rapid_Componente[[#This Row],[Código]],Projeção[#All],12,FALSE)</f>
        <v>0</v>
      </c>
      <c r="V110" s="39">
        <f>IFERROR(VLOOKUP(Rapid_Componente[[#This Row],[Código]],Venda_3meses[],2,FALSE),0)</f>
        <v>0</v>
      </c>
      <c r="W110" s="44" t="str">
        <f>IFERROR(Rapid_Componente[[#This Row],[V. 3 meses]]/Rapid_Componente[[#This Row],[Proj. de V. 3 meses]],"")</f>
        <v/>
      </c>
      <c r="X110" s="43">
        <f>VLOOKUP(Rapid_Componente[[#This Row],[Código]],Projeção[#All],14,FALSE)+VLOOKUP(Rapid_Componente[[#This Row],[Código]],Projeção[#All],13,FALSE)+VLOOKUP(Rapid_Componente[[#This Row],[Código]],Projeção[#All],12,FALSE)+VLOOKUP(Rapid_Componente[[#This Row],[Código]],Projeção[#All],11,FALSE)+VLOOKUP(Rapid_Componente[[#This Row],[Código]],Projeção[#All],10,FALSE)+VLOOKUP(Rapid_Componente[[#This Row],[Código]],Projeção[#All],9,FALSE)+VLOOKUP(Rapid_Componente[[#This Row],[Código]],Projeção[#All],8,FALSE)+VLOOKUP(Rapid_Componente[[#This Row],[Código]],Projeção[#All],7,FALSE)+VLOOKUP(Rapid_Componente[[#This Row],[Código]],Projeção[#All],6,FALSE)+VLOOKUP(Rapid_Componente[[#This Row],[Código]],Projeção[#All],5,FALSE)+VLOOKUP(Rapid_Componente[[#This Row],[Código]],Projeção[#All],4,FALSE)+VLOOKUP(Rapid_Componente[[#This Row],[Código]],Projeção[#All],3,FALSE)</f>
        <v>0</v>
      </c>
      <c r="Y110" s="39">
        <f>IFERROR(VLOOKUP(Rapid_Componente[[#This Row],[Código]],Venda_12meses[],2,FALSE),0)</f>
        <v>0</v>
      </c>
      <c r="Z110" s="44" t="str">
        <f>IFERROR(Rapid_Componente[[#This Row],[V. 12 meses]]/Rapid_Componente[[#This Row],[Proj. de V. 12 meses]],"")</f>
        <v/>
      </c>
      <c r="AA110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2:T2"/>
    <mergeCell ref="R3:R5"/>
    <mergeCell ref="S3:S5"/>
    <mergeCell ref="T3:T5"/>
    <mergeCell ref="Z3:Z5"/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4FC8D53-667A-42DF-BC12-8CAD20BBFFC1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T7:T110 W7:W110 Z7:Z110</xm:sqref>
        </x14:conditionalFormatting>
        <x14:conditionalFormatting xmlns:xm="http://schemas.microsoft.com/office/excel/2006/main">
          <x14:cfRule type="iconSet" priority="1" id="{F4CC7810-0A80-4D03-A1D3-5C6C838D79A5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P11:P110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2929"/>
  </sheetPr>
  <dimension ref="A1:AA211"/>
  <sheetViews>
    <sheetView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E8" sqref="E8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15.42578125" bestFit="1" customWidth="1"/>
    <col min="4" max="4" width="98.140625" bestFit="1" customWidth="1"/>
    <col min="5" max="5" width="15.7109375" bestFit="1" customWidth="1"/>
    <col min="6" max="6" width="16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6" width="9.7109375" customWidth="1"/>
    <col min="27" max="27" width="66.85546875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s="22" customFormat="1" x14ac:dyDescent="0.25">
      <c r="A7" s="22" t="str">
        <f>VLOOKUP(Esselte[[#This Row],[Código]],BD_Produto[#All],7,FALSE)</f>
        <v>Fora de Linha</v>
      </c>
      <c r="B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" s="23">
        <v>33063063515</v>
      </c>
      <c r="D7" s="22" t="s">
        <v>461</v>
      </c>
      <c r="E7" s="22" t="str">
        <f>VLOOKUP(Esselte[[#This Row],[Código]],BD_Produto[],3,FALSE)</f>
        <v>Pasta Box</v>
      </c>
      <c r="F7" s="22" t="str">
        <f>VLOOKUP(Esselte[[#This Row],[Código]],BD_Produto[],4,FALSE)</f>
        <v>Pasta Box</v>
      </c>
      <c r="G7" s="24">
        <v>5</v>
      </c>
      <c r="H7" s="25"/>
      <c r="J7" s="24"/>
      <c r="K7" s="24" t="str">
        <f>IFERROR(VLOOKUP(Esselte[[#This Row],[Código]],Importação!P:R,3,FALSE),"")</f>
        <v/>
      </c>
      <c r="L7" s="24">
        <f>IFERROR(VLOOKUP(Esselte[[#This Row],[Código]],Saldo[],3,FALSE),0)</f>
        <v>1</v>
      </c>
      <c r="M7" s="24">
        <f>SUM(Esselte[[#This Row],[Produção]:[Estoque]])</f>
        <v>1</v>
      </c>
      <c r="N7" s="24">
        <f>IFERROR(Esselte[[#This Row],[Estoque+Importação]]/Esselte[[#This Row],[Proj. de V. No prox. mes]],"Sem Projeção")</f>
        <v>0.10344827586206898</v>
      </c>
      <c r="O7" s="24" t="str">
        <f>IF(OR(Esselte[[#This Row],[Status]]="Em Linha",Esselte[[#This Row],[Status]]="Componente",Esselte[[#This Row],[Status]]="Materia Prima"),Esselte[[#This Row],[Proj. de V. No prox. mes]]*10,"-")</f>
        <v>-</v>
      </c>
      <c r="P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" s="75">
        <f>VLOOKUP(Esselte[[#This Row],[Código]],Projeção[#All],15,FALSE)</f>
        <v>9.6666666666666661</v>
      </c>
      <c r="R7" s="39">
        <f>VLOOKUP(Esselte[[#This Row],[Código]],Projeção[#All],14,FALSE)</f>
        <v>3.5999999999999996</v>
      </c>
      <c r="S7" s="39">
        <f>IFERROR(VLOOKUP(Esselte[[#This Row],[Código]],Venda_mes[],2,FALSE),0)</f>
        <v>0</v>
      </c>
      <c r="T7" s="44">
        <f>IFERROR(Esselte[[#This Row],[V. No mes]]/Esselte[[#This Row],[Proj. de V. No mes]],"")</f>
        <v>0</v>
      </c>
      <c r="U7" s="43">
        <f>VLOOKUP(Esselte[[#This Row],[Código]],Projeção[#All],14,FALSE)+VLOOKUP(Esselte[[#This Row],[Código]],Projeção[#All],13,FALSE)+VLOOKUP(Esselte[[#This Row],[Código]],Projeção[#All],12,FALSE)</f>
        <v>3.9999999999999996</v>
      </c>
      <c r="V7" s="39">
        <f>IFERROR(VLOOKUP(Esselte[[#This Row],[Código]],Venda_3meses[],2,FALSE),0)</f>
        <v>0</v>
      </c>
      <c r="W7" s="44">
        <f>IFERROR(Esselte[[#This Row],[V. 3 meses]]/Esselte[[#This Row],[Proj. de V. 3 meses]],"")</f>
        <v>0</v>
      </c>
      <c r="X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8.9333333333333353</v>
      </c>
      <c r="Y7" s="39">
        <f>IFERROR(VLOOKUP(Esselte[[#This Row],[Código]],Venda_12meses[],2,FALSE),0)</f>
        <v>290</v>
      </c>
      <c r="Z7" s="44">
        <f>IFERROR(Esselte[[#This Row],[V. 12 meses]]/Esselte[[#This Row],[Proj. de V. 12 meses]],"")</f>
        <v>32.46268656716417</v>
      </c>
    </row>
    <row r="8" spans="1:27" x14ac:dyDescent="0.25">
      <c r="A8" s="22" t="str">
        <f>VLOOKUP(Esselte[[#This Row],[Código]],BD_Produto[#All],7,FALSE)</f>
        <v>Fora de Linha</v>
      </c>
      <c r="B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" s="23">
        <v>33063063518</v>
      </c>
      <c r="D8" s="22" t="s">
        <v>463</v>
      </c>
      <c r="E8" s="22" t="str">
        <f>VLOOKUP(Esselte[[#This Row],[Código]],BD_Produto[],3,FALSE)</f>
        <v>Pasta Box</v>
      </c>
      <c r="F8" s="22" t="str">
        <f>VLOOKUP(Esselte[[#This Row],[Código]],BD_Produto[],4,FALSE)</f>
        <v>Pasta Box</v>
      </c>
      <c r="G8" s="24">
        <v>5</v>
      </c>
      <c r="H8" s="25"/>
      <c r="I8" s="22"/>
      <c r="J8" s="24"/>
      <c r="K8" s="24" t="str">
        <f>IFERROR(VLOOKUP(Esselte[[#This Row],[Código]],Importação!P:R,3,FALSE),"")</f>
        <v/>
      </c>
      <c r="L8" s="24">
        <f>IFERROR(VLOOKUP(Esselte[[#This Row],[Código]],Saldo[],3,FALSE),0)</f>
        <v>1</v>
      </c>
      <c r="M8" s="24">
        <f>SUM(Esselte[[#This Row],[Produção]:[Estoque]])</f>
        <v>1</v>
      </c>
      <c r="N8" s="24">
        <f>IFERROR(Esselte[[#This Row],[Estoque+Importação]]/Esselte[[#This Row],[Proj. de V. No prox. mes]],"Sem Projeção")</f>
        <v>0.13636363636363638</v>
      </c>
      <c r="O8" s="24" t="str">
        <f>IF(OR(Esselte[[#This Row],[Status]]="Em Linha",Esselte[[#This Row],[Status]]="Componente",Esselte[[#This Row],[Status]]="Materia Prima"),Esselte[[#This Row],[Proj. de V. No prox. mes]]*10,"-")</f>
        <v>-</v>
      </c>
      <c r="P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" s="75">
        <f>VLOOKUP(Esselte[[#This Row],[Código]],Projeção[#All],15,FALSE)</f>
        <v>7.3333333333333321</v>
      </c>
      <c r="R8" s="39">
        <f>VLOOKUP(Esselte[[#This Row],[Código]],Projeção[#All],14,FALSE)</f>
        <v>4</v>
      </c>
      <c r="S8" s="39">
        <f>IFERROR(VLOOKUP(Esselte[[#This Row],[Código]],Venda_mes[],2,FALSE),0)</f>
        <v>0</v>
      </c>
      <c r="T8" s="44">
        <f>IFERROR(Esselte[[#This Row],[V. No mes]]/Esselte[[#This Row],[Proj. de V. No mes]],"")</f>
        <v>0</v>
      </c>
      <c r="U8" s="43">
        <f>VLOOKUP(Esselte[[#This Row],[Código]],Projeção[#All],14,FALSE)+VLOOKUP(Esselte[[#This Row],[Código]],Projeção[#All],13,FALSE)+VLOOKUP(Esselte[[#This Row],[Código]],Projeção[#All],12,FALSE)</f>
        <v>5.2</v>
      </c>
      <c r="V8" s="39">
        <f>IFERROR(VLOOKUP(Esselte[[#This Row],[Código]],Venda_3meses[],2,FALSE),0)</f>
        <v>0</v>
      </c>
      <c r="W8" s="44">
        <f>IFERROR(Esselte[[#This Row],[V. 3 meses]]/Esselte[[#This Row],[Proj. de V. 3 meses]],"")</f>
        <v>0</v>
      </c>
      <c r="X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40.999999999999993</v>
      </c>
      <c r="Y8" s="39">
        <f>IFERROR(VLOOKUP(Esselte[[#This Row],[Código]],Venda_12meses[],2,FALSE),0)</f>
        <v>220</v>
      </c>
      <c r="Z8" s="44">
        <f>IFERROR(Esselte[[#This Row],[V. 12 meses]]/Esselte[[#This Row],[Proj. de V. 12 meses]],"")</f>
        <v>5.3658536585365866</v>
      </c>
      <c r="AA8" s="22"/>
    </row>
    <row r="9" spans="1:27" x14ac:dyDescent="0.25">
      <c r="A9" s="22" t="str">
        <f>VLOOKUP(Esselte[[#This Row],[Código]],BD_Produto[#All],7,FALSE)</f>
        <v>Fora de Linha</v>
      </c>
      <c r="B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9" s="23">
        <v>33063063516</v>
      </c>
      <c r="D9" s="22" t="s">
        <v>1063</v>
      </c>
      <c r="E9" s="22" t="str">
        <f>VLOOKUP(Esselte[[#This Row],[Código]],BD_Produto[],3,FALSE)</f>
        <v>Pasta Box</v>
      </c>
      <c r="F9" s="22" t="str">
        <f>VLOOKUP(Esselte[[#This Row],[Código]],BD_Produto[],4,FALSE)</f>
        <v>Pasta Box</v>
      </c>
      <c r="G9" s="24">
        <v>5</v>
      </c>
      <c r="H9" s="25"/>
      <c r="I9" s="22"/>
      <c r="J9" s="24"/>
      <c r="K9" s="24" t="str">
        <f>IFERROR(VLOOKUP(Esselte[[#This Row],[Código]],Importação!P:R,3,FALSE),"")</f>
        <v/>
      </c>
      <c r="L9" s="24">
        <f>IFERROR(VLOOKUP(Esselte[[#This Row],[Código]],Saldo[],3,FALSE),0)</f>
        <v>0</v>
      </c>
      <c r="M9" s="24">
        <f>SUM(Esselte[[#This Row],[Produção]:[Estoque]])</f>
        <v>0</v>
      </c>
      <c r="N9" s="24">
        <f>IFERROR(Esselte[[#This Row],[Estoque+Importação]]/Esselte[[#This Row],[Proj. de V. No prox. mes]],"Sem Projeção")</f>
        <v>0</v>
      </c>
      <c r="O9" s="24" t="str">
        <f>IF(OR(Esselte[[#This Row],[Status]]="Em Linha",Esselte[[#This Row],[Status]]="Componente",Esselte[[#This Row],[Status]]="Materia Prima"),Esselte[[#This Row],[Proj. de V. No prox. mes]]*10,"-")</f>
        <v>-</v>
      </c>
      <c r="P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" s="75">
        <f>VLOOKUP(Esselte[[#This Row],[Código]],Projeção[#All],15,FALSE)</f>
        <v>10</v>
      </c>
      <c r="R9" s="39">
        <f>VLOOKUP(Esselte[[#This Row],[Código]],Projeção[#All],14,FALSE)</f>
        <v>3.5999999999999996</v>
      </c>
      <c r="S9" s="39">
        <f>IFERROR(VLOOKUP(Esselte[[#This Row],[Código]],Venda_mes[],2,FALSE),0)</f>
        <v>0</v>
      </c>
      <c r="T9" s="44">
        <f>IFERROR(Esselte[[#This Row],[V. No mes]]/Esselte[[#This Row],[Proj. de V. No mes]],"")</f>
        <v>0</v>
      </c>
      <c r="U9" s="43">
        <f>VLOOKUP(Esselte[[#This Row],[Código]],Projeção[#All],14,FALSE)+VLOOKUP(Esselte[[#This Row],[Código]],Projeção[#All],13,FALSE)+VLOOKUP(Esselte[[#This Row],[Código]],Projeção[#All],12,FALSE)</f>
        <v>3.9999999999999996</v>
      </c>
      <c r="V9" s="39">
        <f>IFERROR(VLOOKUP(Esselte[[#This Row],[Código]],Venda_3meses[],2,FALSE),0)</f>
        <v>0</v>
      </c>
      <c r="W9" s="44">
        <f>IFERROR(Esselte[[#This Row],[V. 3 meses]]/Esselte[[#This Row],[Proj. de V. 3 meses]],"")</f>
        <v>0</v>
      </c>
      <c r="X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8.5333333333333332</v>
      </c>
      <c r="Y9" s="39">
        <f>IFERROR(VLOOKUP(Esselte[[#This Row],[Código]],Venda_12meses[],2,FALSE),0)</f>
        <v>300</v>
      </c>
      <c r="Z9" s="44">
        <f>IFERROR(Esselte[[#This Row],[V. 12 meses]]/Esselte[[#This Row],[Proj. de V. 12 meses]],"")</f>
        <v>35.15625</v>
      </c>
      <c r="AA9" s="22"/>
    </row>
    <row r="10" spans="1:27" x14ac:dyDescent="0.25">
      <c r="A10" s="22" t="str">
        <f>VLOOKUP(Esselte[[#This Row],[Código]],BD_Produto[#All],7,FALSE)</f>
        <v>Fora de Linha</v>
      </c>
      <c r="B1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" s="23">
        <v>33063063517</v>
      </c>
      <c r="D10" s="22" t="s">
        <v>462</v>
      </c>
      <c r="E10" s="22" t="str">
        <f>VLOOKUP(Esselte[[#This Row],[Código]],BD_Produto[],3,FALSE)</f>
        <v>Pasta Box</v>
      </c>
      <c r="F10" s="22" t="str">
        <f>VLOOKUP(Esselte[[#This Row],[Código]],BD_Produto[],4,FALSE)</f>
        <v>Pasta Box</v>
      </c>
      <c r="G10" s="24">
        <v>5</v>
      </c>
      <c r="H10" s="25"/>
      <c r="I10" s="22"/>
      <c r="J10" s="24"/>
      <c r="K10" s="24" t="str">
        <f>IFERROR(VLOOKUP(Esselte[[#This Row],[Código]],Importação!P:R,3,FALSE),"")</f>
        <v/>
      </c>
      <c r="L10" s="24">
        <f>IFERROR(VLOOKUP(Esselte[[#This Row],[Código]],Saldo[],3,FALSE),0)</f>
        <v>0</v>
      </c>
      <c r="M10" s="24">
        <f>SUM(Esselte[[#This Row],[Produção]:[Estoque]])</f>
        <v>0</v>
      </c>
      <c r="N10" s="24">
        <f>IFERROR(Esselte[[#This Row],[Estoque+Importação]]/Esselte[[#This Row],[Proj. de V. No prox. mes]],"Sem Projeção")</f>
        <v>0</v>
      </c>
      <c r="O10" s="24" t="str">
        <f>IF(OR(Esselte[[#This Row],[Status]]="Em Linha",Esselte[[#This Row],[Status]]="Componente",Esselte[[#This Row],[Status]]="Materia Prima"),Esselte[[#This Row],[Proj. de V. No prox. mes]]*10,"-")</f>
        <v>-</v>
      </c>
      <c r="P1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" s="75">
        <f>VLOOKUP(Esselte[[#This Row],[Código]],Projeção[#All],15,FALSE)</f>
        <v>8.1666666666666679</v>
      </c>
      <c r="R10" s="39">
        <f>VLOOKUP(Esselte[[#This Row],[Código]],Projeção[#All],14,FALSE)</f>
        <v>3.7666666666666666</v>
      </c>
      <c r="S10" s="39">
        <f>IFERROR(VLOOKUP(Esselte[[#This Row],[Código]],Venda_mes[],2,FALSE),0)</f>
        <v>0</v>
      </c>
      <c r="T10" s="44">
        <f>IFERROR(Esselte[[#This Row],[V. No mes]]/Esselte[[#This Row],[Proj. de V. No mes]],"")</f>
        <v>0</v>
      </c>
      <c r="U10" s="43">
        <f>VLOOKUP(Esselte[[#This Row],[Código]],Projeção[#All],14,FALSE)+VLOOKUP(Esselte[[#This Row],[Código]],Projeção[#All],13,FALSE)+VLOOKUP(Esselte[[#This Row],[Código]],Projeção[#All],12,FALSE)</f>
        <v>4.5</v>
      </c>
      <c r="V10" s="39">
        <f>IFERROR(VLOOKUP(Esselte[[#This Row],[Código]],Venda_3meses[],2,FALSE),0)</f>
        <v>0</v>
      </c>
      <c r="W10" s="44">
        <f>IFERROR(Esselte[[#This Row],[V. 3 meses]]/Esselte[[#This Row],[Proj. de V. 3 meses]],"")</f>
        <v>0</v>
      </c>
      <c r="X1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14.533333333333333</v>
      </c>
      <c r="Y10" s="39">
        <f>IFERROR(VLOOKUP(Esselte[[#This Row],[Código]],Venda_12meses[],2,FALSE),0)</f>
        <v>245</v>
      </c>
      <c r="Z10" s="44">
        <f>IFERROR(Esselte[[#This Row],[V. 12 meses]]/Esselte[[#This Row],[Proj. de V. 12 meses]],"")</f>
        <v>16.857798165137616</v>
      </c>
      <c r="AA10" s="22"/>
    </row>
    <row r="11" spans="1:27" x14ac:dyDescent="0.25">
      <c r="A11" s="22" t="str">
        <f>VLOOKUP(Esselte[[#This Row],[Código]],BD_Produto[#All],7,FALSE)</f>
        <v>Fora de Linha</v>
      </c>
      <c r="B1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11" s="23">
        <v>33063063514</v>
      </c>
      <c r="D11" s="22" t="s">
        <v>1086</v>
      </c>
      <c r="E11" s="22" t="str">
        <f>VLOOKUP(Esselte[[#This Row],[Código]],BD_Produto[],3,FALSE)</f>
        <v>Pasta Box</v>
      </c>
      <c r="F11" s="22" t="str">
        <f>VLOOKUP(Esselte[[#This Row],[Código]],BD_Produto[],4,FALSE)</f>
        <v>Pasta Box</v>
      </c>
      <c r="G11" s="24">
        <v>5</v>
      </c>
      <c r="H11" s="25"/>
      <c r="I11" s="22"/>
      <c r="J11" s="24"/>
      <c r="K11" s="24" t="str">
        <f>IFERROR(VLOOKUP(Esselte[[#This Row],[Código]],Importação!P:R,3,FALSE),"")</f>
        <v/>
      </c>
      <c r="L11" s="24">
        <f>IFERROR(VLOOKUP(Esselte[[#This Row],[Código]],Saldo[],3,FALSE),0)</f>
        <v>6</v>
      </c>
      <c r="M11" s="24">
        <f>SUM(Esselte[[#This Row],[Produção]:[Estoque]])</f>
        <v>6</v>
      </c>
      <c r="N11" s="24">
        <f>IFERROR(Esselte[[#This Row],[Estoque+Importação]]/Esselte[[#This Row],[Proj. de V. No prox. mes]],"Sem Projeção")</f>
        <v>0.66666666666666663</v>
      </c>
      <c r="O11" s="24" t="str">
        <f>IF(OR(Esselte[[#This Row],[Status]]="Em Linha",Esselte[[#This Row],[Status]]="Componente",Esselte[[#This Row],[Status]]="Materia Prima"),Esselte[[#This Row],[Proj. de V. No prox. mes]]*10,"-")</f>
        <v>-</v>
      </c>
      <c r="P1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" s="75">
        <f>VLOOKUP(Esselte[[#This Row],[Código]],Projeção[#All],15,FALSE)</f>
        <v>9</v>
      </c>
      <c r="R11" s="39">
        <f>VLOOKUP(Esselte[[#This Row],[Código]],Projeção[#All],14,FALSE)</f>
        <v>4.0999999999999996</v>
      </c>
      <c r="S11" s="39">
        <f>IFERROR(VLOOKUP(Esselte[[#This Row],[Código]],Venda_mes[],2,FALSE),0)</f>
        <v>0</v>
      </c>
      <c r="T11" s="44">
        <f>IFERROR(Esselte[[#This Row],[V. No mes]]/Esselte[[#This Row],[Proj. de V. No mes]],"")</f>
        <v>0</v>
      </c>
      <c r="U11" s="43">
        <f>VLOOKUP(Esselte[[#This Row],[Código]],Projeção[#All],14,FALSE)+VLOOKUP(Esselte[[#This Row],[Código]],Projeção[#All],13,FALSE)+VLOOKUP(Esselte[[#This Row],[Código]],Projeção[#All],12,FALSE)</f>
        <v>5.4999999999999991</v>
      </c>
      <c r="V11" s="39">
        <f>IFERROR(VLOOKUP(Esselte[[#This Row],[Código]],Venda_3meses[],2,FALSE),0)</f>
        <v>0</v>
      </c>
      <c r="W11" s="44">
        <f>IFERROR(Esselte[[#This Row],[V. 3 meses]]/Esselte[[#This Row],[Proj. de V. 3 meses]],"")</f>
        <v>0</v>
      </c>
      <c r="X1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28.333333333333332</v>
      </c>
      <c r="Y11" s="39">
        <f>IFERROR(VLOOKUP(Esselte[[#This Row],[Código]],Venda_12meses[],2,FALSE),0)</f>
        <v>270</v>
      </c>
      <c r="Z11" s="44">
        <f>IFERROR(Esselte[[#This Row],[V. 12 meses]]/Esselte[[#This Row],[Proj. de V. 12 meses]],"")</f>
        <v>9.5294117647058822</v>
      </c>
      <c r="AA11" s="22"/>
    </row>
    <row r="12" spans="1:27" x14ac:dyDescent="0.25">
      <c r="A12" s="22" t="str">
        <f>VLOOKUP(Esselte[[#This Row],[Código]],BD_Produto[#All],7,FALSE)</f>
        <v>Fora de Linha</v>
      </c>
      <c r="B1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" s="23">
        <v>33063063934</v>
      </c>
      <c r="D12" s="22" t="s">
        <v>1203</v>
      </c>
      <c r="E12" s="22" t="str">
        <f>VLOOKUP(Esselte[[#This Row],[Código]],BD_Produto[],3,FALSE)</f>
        <v>Pasta Fichário</v>
      </c>
      <c r="F12" s="22" t="str">
        <f>VLOOKUP(Esselte[[#This Row],[Código]],BD_Produto[],4,FALSE)</f>
        <v>Pasta Fichário</v>
      </c>
      <c r="G12" s="24">
        <v>1</v>
      </c>
      <c r="H12" s="25"/>
      <c r="I12" s="22"/>
      <c r="J12" s="24"/>
      <c r="K12" s="24" t="str">
        <f>IFERROR(VLOOKUP(Esselte[[#This Row],[Código]],Importação!P:R,3,FALSE),"")</f>
        <v/>
      </c>
      <c r="L12" s="24">
        <f>IFERROR(VLOOKUP(Esselte[[#This Row],[Código]],Saldo[],3,FALSE),0)</f>
        <v>0</v>
      </c>
      <c r="M12" s="24">
        <f>SUM(Esselte[[#This Row],[Produção]:[Estoque]])</f>
        <v>0</v>
      </c>
      <c r="N12" s="24">
        <f>IFERROR(Esselte[[#This Row],[Estoque+Importação]]/Esselte[[#This Row],[Proj. de V. No prox. mes]],"Sem Projeção")</f>
        <v>0</v>
      </c>
      <c r="O12" s="24" t="str">
        <f>IF(OR(Esselte[[#This Row],[Status]]="Em Linha",Esselte[[#This Row],[Status]]="Componente",Esselte[[#This Row],[Status]]="Materia Prima"),Esselte[[#This Row],[Proj. de V. No prox. mes]]*10,"-")</f>
        <v>-</v>
      </c>
      <c r="P1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" s="75">
        <f>VLOOKUP(Esselte[[#This Row],[Código]],Projeção[#All],15,FALSE)</f>
        <v>2.2333333333333329</v>
      </c>
      <c r="R12" s="39">
        <f>VLOOKUP(Esselte[[#This Row],[Código]],Projeção[#All],14,FALSE)</f>
        <v>8.4333333333333336</v>
      </c>
      <c r="S12" s="39">
        <f>IFERROR(VLOOKUP(Esselte[[#This Row],[Código]],Venda_mes[],2,FALSE),0)</f>
        <v>0</v>
      </c>
      <c r="T12" s="44">
        <f>IFERROR(Esselte[[#This Row],[V. No mes]]/Esselte[[#This Row],[Proj. de V. No mes]],"")</f>
        <v>0</v>
      </c>
      <c r="U12" s="43">
        <f>VLOOKUP(Esselte[[#This Row],[Código]],Projeção[#All],14,FALSE)+VLOOKUP(Esselte[[#This Row],[Código]],Projeção[#All],13,FALSE)+VLOOKUP(Esselte[[#This Row],[Código]],Projeção[#All],12,FALSE)</f>
        <v>21.066666666666666</v>
      </c>
      <c r="V12" s="39">
        <f>IFERROR(VLOOKUP(Esselte[[#This Row],[Código]],Venda_3meses[],2,FALSE),0)</f>
        <v>0</v>
      </c>
      <c r="W12" s="44">
        <f>IFERROR(Esselte[[#This Row],[V. 3 meses]]/Esselte[[#This Row],[Proj. de V. 3 meses]],"")</f>
        <v>0</v>
      </c>
      <c r="X1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168.83333333333334</v>
      </c>
      <c r="Y12" s="39">
        <f>IFERROR(VLOOKUP(Esselte[[#This Row],[Código]],Venda_12meses[],2,FALSE),0)</f>
        <v>47</v>
      </c>
      <c r="Z12" s="44">
        <f>IFERROR(Esselte[[#This Row],[V. 12 meses]]/Esselte[[#This Row],[Proj. de V. 12 meses]],"")</f>
        <v>0.27838104639684103</v>
      </c>
      <c r="AA12" s="22">
        <v>33063063793</v>
      </c>
    </row>
    <row r="13" spans="1:27" x14ac:dyDescent="0.25">
      <c r="A13" s="22" t="str">
        <f>VLOOKUP(Esselte[[#This Row],[Código]],BD_Produto[#All],7,FALSE)</f>
        <v>Fora de Linha</v>
      </c>
      <c r="B1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" s="23">
        <v>33063063929</v>
      </c>
      <c r="D13" s="22" t="s">
        <v>1163</v>
      </c>
      <c r="E13" s="22" t="str">
        <f>VLOOKUP(Esselte[[#This Row],[Código]],BD_Produto[],3,FALSE)</f>
        <v>Pasta Fichário</v>
      </c>
      <c r="F13" s="22" t="str">
        <f>VLOOKUP(Esselte[[#This Row],[Código]],BD_Produto[],4,FALSE)</f>
        <v>Pasta Fichário</v>
      </c>
      <c r="G13" s="24">
        <v>1</v>
      </c>
      <c r="H13" s="25"/>
      <c r="I13" s="22"/>
      <c r="J13" s="24"/>
      <c r="K13" s="24" t="str">
        <f>IFERROR(VLOOKUP(Esselte[[#This Row],[Código]],Importação!P:R,3,FALSE),"")</f>
        <v/>
      </c>
      <c r="L13" s="24">
        <f>IFERROR(VLOOKUP(Esselte[[#This Row],[Código]],Saldo[],3,FALSE),0)</f>
        <v>0</v>
      </c>
      <c r="M13" s="24">
        <f>SUM(Esselte[[#This Row],[Produção]:[Estoque]])</f>
        <v>0</v>
      </c>
      <c r="N13" s="24">
        <f>IFERROR(Esselte[[#This Row],[Estoque+Importação]]/Esselte[[#This Row],[Proj. de V. No prox. mes]],"Sem Projeção")</f>
        <v>0</v>
      </c>
      <c r="O13" s="24" t="str">
        <f>IF(OR(Esselte[[#This Row],[Status]]="Em Linha",Esselte[[#This Row],[Status]]="Componente",Esselte[[#This Row],[Status]]="Materia Prima"),Esselte[[#This Row],[Proj. de V. No prox. mes]]*10,"-")</f>
        <v>-</v>
      </c>
      <c r="P1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" s="75">
        <f>VLOOKUP(Esselte[[#This Row],[Código]],Projeção[#All],15,FALSE)</f>
        <v>2.9333333333333336</v>
      </c>
      <c r="R13" s="39">
        <f>VLOOKUP(Esselte[[#This Row],[Código]],Projeção[#All],14,FALSE)</f>
        <v>7.2666666666666675</v>
      </c>
      <c r="S13" s="39">
        <f>IFERROR(VLOOKUP(Esselte[[#This Row],[Código]],Venda_mes[],2,FALSE),0)</f>
        <v>0</v>
      </c>
      <c r="T13" s="44">
        <f>IFERROR(Esselte[[#This Row],[V. No mes]]/Esselte[[#This Row],[Proj. de V. No mes]],"")</f>
        <v>0</v>
      </c>
      <c r="U13" s="43">
        <f>VLOOKUP(Esselte[[#This Row],[Código]],Projeção[#All],14,FALSE)+VLOOKUP(Esselte[[#This Row],[Código]],Projeção[#All],13,FALSE)+VLOOKUP(Esselte[[#This Row],[Código]],Projeção[#All],12,FALSE)</f>
        <v>16.93333333333333</v>
      </c>
      <c r="V13" s="39">
        <f>IFERROR(VLOOKUP(Esselte[[#This Row],[Código]],Venda_3meses[],2,FALSE),0)</f>
        <v>0</v>
      </c>
      <c r="W13" s="44">
        <f>IFERROR(Esselte[[#This Row],[V. 3 meses]]/Esselte[[#This Row],[Proj. de V. 3 meses]],"")</f>
        <v>0</v>
      </c>
      <c r="X1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101.66666666666667</v>
      </c>
      <c r="Y13" s="39">
        <f>IFERROR(VLOOKUP(Esselte[[#This Row],[Código]],Venda_12meses[],2,FALSE),0)</f>
        <v>54</v>
      </c>
      <c r="Z13" s="44">
        <f>IFERROR(Esselte[[#This Row],[V. 12 meses]]/Esselte[[#This Row],[Proj. de V. 12 meses]],"")</f>
        <v>0.5311475409836065</v>
      </c>
      <c r="AA13" s="22">
        <v>33063063780</v>
      </c>
    </row>
    <row r="14" spans="1:27" x14ac:dyDescent="0.25">
      <c r="A14" s="22" t="str">
        <f>VLOOKUP(Esselte[[#This Row],[Código]],BD_Produto[#All],7,FALSE)</f>
        <v>Fora de Linha</v>
      </c>
      <c r="B1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" s="23">
        <v>33063063930</v>
      </c>
      <c r="D14" s="22" t="s">
        <v>1217</v>
      </c>
      <c r="E14" s="22" t="str">
        <f>VLOOKUP(Esselte[[#This Row],[Código]],BD_Produto[],3,FALSE)</f>
        <v>Pasta Fichário</v>
      </c>
      <c r="F14" s="22" t="str">
        <f>VLOOKUP(Esselte[[#This Row],[Código]],BD_Produto[],4,FALSE)</f>
        <v>Pasta Fichário</v>
      </c>
      <c r="G14" s="24">
        <v>1</v>
      </c>
      <c r="H14" s="25"/>
      <c r="I14" s="22"/>
      <c r="J14" s="24"/>
      <c r="K14" s="24" t="str">
        <f>IFERROR(VLOOKUP(Esselte[[#This Row],[Código]],Importação!P:R,3,FALSE),"")</f>
        <v/>
      </c>
      <c r="L14" s="24">
        <f>IFERROR(VLOOKUP(Esselte[[#This Row],[Código]],Saldo[],3,FALSE),0)</f>
        <v>0</v>
      </c>
      <c r="M14" s="24">
        <f>SUM(Esselte[[#This Row],[Produção]:[Estoque]])</f>
        <v>0</v>
      </c>
      <c r="N14" s="24">
        <f>IFERROR(Esselte[[#This Row],[Estoque+Importação]]/Esselte[[#This Row],[Proj. de V. No prox. mes]],"Sem Projeção")</f>
        <v>0</v>
      </c>
      <c r="O14" s="24" t="str">
        <f>IF(OR(Esselte[[#This Row],[Status]]="Em Linha",Esselte[[#This Row],[Status]]="Componente",Esselte[[#This Row],[Status]]="Materia Prima"),Esselte[[#This Row],[Proj. de V. No prox. mes]]*10,"-")</f>
        <v>-</v>
      </c>
      <c r="P1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" s="75">
        <f>VLOOKUP(Esselte[[#This Row],[Código]],Projeção[#All],15,FALSE)</f>
        <v>4.166666666666667</v>
      </c>
      <c r="R14" s="39">
        <f>VLOOKUP(Esselte[[#This Row],[Código]],Projeção[#All],14,FALSE)</f>
        <v>9.7333333333333325</v>
      </c>
      <c r="S14" s="39">
        <f>IFERROR(VLOOKUP(Esselte[[#This Row],[Código]],Venda_mes[],2,FALSE),0)</f>
        <v>0</v>
      </c>
      <c r="T14" s="44">
        <f>IFERROR(Esselte[[#This Row],[V. No mes]]/Esselte[[#This Row],[Proj. de V. No mes]],"")</f>
        <v>0</v>
      </c>
      <c r="U14" s="43">
        <f>VLOOKUP(Esselte[[#This Row],[Código]],Projeção[#All],14,FALSE)+VLOOKUP(Esselte[[#This Row],[Código]],Projeção[#All],13,FALSE)+VLOOKUP(Esselte[[#This Row],[Código]],Projeção[#All],12,FALSE)</f>
        <v>24.133333333333329</v>
      </c>
      <c r="V14" s="39">
        <f>IFERROR(VLOOKUP(Esselte[[#This Row],[Código]],Venda_3meses[],2,FALSE),0)</f>
        <v>0</v>
      </c>
      <c r="W14" s="44">
        <f>IFERROR(Esselte[[#This Row],[V. 3 meses]]/Esselte[[#This Row],[Proj. de V. 3 meses]],"")</f>
        <v>0</v>
      </c>
      <c r="X1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190.9</v>
      </c>
      <c r="Y14" s="39">
        <f>IFERROR(VLOOKUP(Esselte[[#This Row],[Código]],Venda_12meses[],2,FALSE),0)</f>
        <v>77</v>
      </c>
      <c r="Z14" s="44">
        <f>IFERROR(Esselte[[#This Row],[V. 12 meses]]/Esselte[[#This Row],[Proj. de V. 12 meses]],"")</f>
        <v>0.40335254059717129</v>
      </c>
      <c r="AA14" s="22">
        <v>33063063776</v>
      </c>
    </row>
    <row r="15" spans="1:27" x14ac:dyDescent="0.25">
      <c r="A15" s="22" t="str">
        <f>VLOOKUP(Esselte[[#This Row],[Código]],BD_Produto[#All],7,FALSE)</f>
        <v>Fora de Linha</v>
      </c>
      <c r="B1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15" s="23">
        <v>33063063490</v>
      </c>
      <c r="D15" s="22" t="s">
        <v>1140</v>
      </c>
      <c r="E15" s="22" t="str">
        <f>VLOOKUP(Esselte[[#This Row],[Código]],BD_Produto[],3,FALSE)</f>
        <v>Pasta com Elástico</v>
      </c>
      <c r="F15" s="22" t="str">
        <f>VLOOKUP(Esselte[[#This Row],[Código]],BD_Produto[],4,FALSE)</f>
        <v>Pasta com Elástico</v>
      </c>
      <c r="G15" s="24">
        <v>10</v>
      </c>
      <c r="H15" s="25"/>
      <c r="I15" s="22"/>
      <c r="J15" s="24"/>
      <c r="K15" s="24" t="str">
        <f>IFERROR(VLOOKUP(Esselte[[#This Row],[Código]],Importação!P:R,3,FALSE),"")</f>
        <v/>
      </c>
      <c r="L15" s="24">
        <f>IFERROR(VLOOKUP(Esselte[[#This Row],[Código]],Saldo[],3,FALSE),0)</f>
        <v>708</v>
      </c>
      <c r="M15" s="24">
        <f>SUM(Esselte[[#This Row],[Produção]:[Estoque]])</f>
        <v>708</v>
      </c>
      <c r="N15" s="24">
        <f>IFERROR(Esselte[[#This Row],[Estoque+Importação]]/Esselte[[#This Row],[Proj. de V. No prox. mes]],"Sem Projeção")</f>
        <v>25.017667844522972</v>
      </c>
      <c r="O15" s="24" t="str">
        <f>IF(OR(Esselte[[#This Row],[Status]]="Em Linha",Esselte[[#This Row],[Status]]="Componente",Esselte[[#This Row],[Status]]="Materia Prima"),Esselte[[#This Row],[Proj. de V. No prox. mes]]*10,"-")</f>
        <v>-</v>
      </c>
      <c r="P1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" s="75">
        <f>VLOOKUP(Esselte[[#This Row],[Código]],Projeção[#All],15,FALSE)</f>
        <v>28.299999999999997</v>
      </c>
      <c r="R15" s="39">
        <f>VLOOKUP(Esselte[[#This Row],[Código]],Projeção[#All],14,FALSE)</f>
        <v>6</v>
      </c>
      <c r="S15" s="39">
        <f>IFERROR(VLOOKUP(Esselte[[#This Row],[Código]],Venda_mes[],2,FALSE),0)</f>
        <v>40</v>
      </c>
      <c r="T15" s="44">
        <f>IFERROR(Esselte[[#This Row],[V. No mes]]/Esselte[[#This Row],[Proj. de V. No mes]],"")</f>
        <v>6.666666666666667</v>
      </c>
      <c r="U15" s="43">
        <f>VLOOKUP(Esselte[[#This Row],[Código]],Projeção[#All],14,FALSE)+VLOOKUP(Esselte[[#This Row],[Código]],Projeção[#All],13,FALSE)+VLOOKUP(Esselte[[#This Row],[Código]],Projeção[#All],12,FALSE)</f>
        <v>6.3333333333333339</v>
      </c>
      <c r="V15" s="39">
        <f>IFERROR(VLOOKUP(Esselte[[#This Row],[Código]],Venda_3meses[],2,FALSE),0)</f>
        <v>40</v>
      </c>
      <c r="W15" s="44">
        <f>IFERROR(Esselte[[#This Row],[V. 3 meses]]/Esselte[[#This Row],[Proj. de V. 3 meses]],"")</f>
        <v>6.3157894736842097</v>
      </c>
      <c r="X1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14.533333333333335</v>
      </c>
      <c r="Y15" s="39">
        <f>IFERROR(VLOOKUP(Esselte[[#This Row],[Código]],Venda_12meses[],2,FALSE),0)</f>
        <v>513</v>
      </c>
      <c r="Z15" s="44">
        <f>IFERROR(Esselte[[#This Row],[V. 12 meses]]/Esselte[[#This Row],[Proj. de V. 12 meses]],"")</f>
        <v>35.298165137614674</v>
      </c>
      <c r="AA15" s="22"/>
    </row>
    <row r="16" spans="1:27" x14ac:dyDescent="0.25">
      <c r="A16" s="22" t="str">
        <f>VLOOKUP(Esselte[[#This Row],[Código]],BD_Produto[#All],7,FALSE)</f>
        <v>Fora de Linha</v>
      </c>
      <c r="B1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16" s="23">
        <v>33063063491</v>
      </c>
      <c r="D16" s="22" t="s">
        <v>1136</v>
      </c>
      <c r="E16" s="22" t="str">
        <f>VLOOKUP(Esselte[[#This Row],[Código]],BD_Produto[],3,FALSE)</f>
        <v>Pasta com Elástico</v>
      </c>
      <c r="F16" s="22" t="str">
        <f>VLOOKUP(Esselte[[#This Row],[Código]],BD_Produto[],4,FALSE)</f>
        <v>Pasta com Elástico</v>
      </c>
      <c r="G16" s="24">
        <v>10</v>
      </c>
      <c r="H16" s="25"/>
      <c r="I16" s="22"/>
      <c r="J16" s="24"/>
      <c r="K16" s="24" t="str">
        <f>IFERROR(VLOOKUP(Esselte[[#This Row],[Código]],Importação!P:R,3,FALSE),"")</f>
        <v/>
      </c>
      <c r="L16" s="24">
        <f>IFERROR(VLOOKUP(Esselte[[#This Row],[Código]],Saldo[],3,FALSE),0)</f>
        <v>867</v>
      </c>
      <c r="M16" s="24">
        <f>SUM(Esselte[[#This Row],[Produção]:[Estoque]])</f>
        <v>867</v>
      </c>
      <c r="N16" s="24">
        <f>IFERROR(Esselte[[#This Row],[Estoque+Importação]]/Esselte[[#This Row],[Proj. de V. No prox. mes]],"Sem Projeção")</f>
        <v>45.711775043936733</v>
      </c>
      <c r="O16" s="24" t="str">
        <f>IF(OR(Esselte[[#This Row],[Status]]="Em Linha",Esselte[[#This Row],[Status]]="Componente",Esselte[[#This Row],[Status]]="Materia Prima"),Esselte[[#This Row],[Proj. de V. No prox. mes]]*10,"-")</f>
        <v>-</v>
      </c>
      <c r="P1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" s="75">
        <f>VLOOKUP(Esselte[[#This Row],[Código]],Projeção[#All],15,FALSE)</f>
        <v>18.966666666666665</v>
      </c>
      <c r="R16" s="39">
        <f>VLOOKUP(Esselte[[#This Row],[Código]],Projeção[#All],14,FALSE)</f>
        <v>6.4666666666666668</v>
      </c>
      <c r="S16" s="39">
        <f>IFERROR(VLOOKUP(Esselte[[#This Row],[Código]],Venda_mes[],2,FALSE),0)</f>
        <v>0</v>
      </c>
      <c r="T16" s="44">
        <f>IFERROR(Esselte[[#This Row],[V. No mes]]/Esselte[[#This Row],[Proj. de V. No mes]],"")</f>
        <v>0</v>
      </c>
      <c r="U16" s="43">
        <f>VLOOKUP(Esselte[[#This Row],[Código]],Projeção[#All],14,FALSE)+VLOOKUP(Esselte[[#This Row],[Código]],Projeção[#All],13,FALSE)+VLOOKUP(Esselte[[#This Row],[Código]],Projeção[#All],12,FALSE)</f>
        <v>7.8666666666666663</v>
      </c>
      <c r="V16" s="39">
        <f>IFERROR(VLOOKUP(Esselte[[#This Row],[Código]],Venda_3meses[],2,FALSE),0)</f>
        <v>0</v>
      </c>
      <c r="W16" s="44">
        <f>IFERROR(Esselte[[#This Row],[V. 3 meses]]/Esselte[[#This Row],[Proj. de V. 3 meses]],"")</f>
        <v>0</v>
      </c>
      <c r="X1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28.199999999999996</v>
      </c>
      <c r="Y16" s="39">
        <f>IFERROR(VLOOKUP(Esselte[[#This Row],[Código]],Venda_12meses[],2,FALSE),0)</f>
        <v>473</v>
      </c>
      <c r="Z16" s="44">
        <f>IFERROR(Esselte[[#This Row],[V. 12 meses]]/Esselte[[#This Row],[Proj. de V. 12 meses]],"")</f>
        <v>16.773049645390074</v>
      </c>
      <c r="AA16" s="22"/>
    </row>
    <row r="17" spans="1:27" x14ac:dyDescent="0.25">
      <c r="A17" s="22" t="str">
        <f>VLOOKUP(Esselte[[#This Row],[Código]],BD_Produto[#All],7,FALSE)</f>
        <v>Fora de Linha</v>
      </c>
      <c r="B1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17" s="23">
        <v>33063063487</v>
      </c>
      <c r="D17" s="22" t="s">
        <v>1134</v>
      </c>
      <c r="E17" s="22" t="str">
        <f>VLOOKUP(Esselte[[#This Row],[Código]],BD_Produto[],3,FALSE)</f>
        <v>Pasta com Elástico</v>
      </c>
      <c r="F17" s="22" t="str">
        <f>VLOOKUP(Esselte[[#This Row],[Código]],BD_Produto[],4,FALSE)</f>
        <v>Pasta com Elástico</v>
      </c>
      <c r="G17" s="24">
        <v>10</v>
      </c>
      <c r="H17" s="25"/>
      <c r="I17" s="22"/>
      <c r="J17" s="24"/>
      <c r="K17" s="24" t="str">
        <f>IFERROR(VLOOKUP(Esselte[[#This Row],[Código]],Importação!P:R,3,FALSE),"")</f>
        <v/>
      </c>
      <c r="L17" s="24">
        <f>IFERROR(VLOOKUP(Esselte[[#This Row],[Código]],Saldo[],3,FALSE),0)</f>
        <v>696</v>
      </c>
      <c r="M17" s="24">
        <f>SUM(Esselte[[#This Row],[Produção]:[Estoque]])</f>
        <v>696</v>
      </c>
      <c r="N17" s="24">
        <f>IFERROR(Esselte[[#This Row],[Estoque+Importação]]/Esselte[[#This Row],[Proj. de V. No prox. mes]],"Sem Projeção")</f>
        <v>42.439024390243908</v>
      </c>
      <c r="O17" s="24" t="str">
        <f>IF(OR(Esselte[[#This Row],[Status]]="Em Linha",Esselte[[#This Row],[Status]]="Componente",Esselte[[#This Row],[Status]]="Materia Prima"),Esselte[[#This Row],[Proj. de V. No prox. mes]]*10,"-")</f>
        <v>-</v>
      </c>
      <c r="P1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" s="75">
        <f>VLOOKUP(Esselte[[#This Row],[Código]],Projeção[#All],15,FALSE)</f>
        <v>16.399999999999999</v>
      </c>
      <c r="R17" s="39">
        <f>VLOOKUP(Esselte[[#This Row],[Código]],Projeção[#All],14,FALSE)</f>
        <v>4.8</v>
      </c>
      <c r="S17" s="39">
        <f>IFERROR(VLOOKUP(Esselte[[#This Row],[Código]],Venda_mes[],2,FALSE),0)</f>
        <v>0</v>
      </c>
      <c r="T17" s="44">
        <f>IFERROR(Esselte[[#This Row],[V. No mes]]/Esselte[[#This Row],[Proj. de V. No mes]],"")</f>
        <v>0</v>
      </c>
      <c r="U17" s="43">
        <f>VLOOKUP(Esselte[[#This Row],[Código]],Projeção[#All],14,FALSE)+VLOOKUP(Esselte[[#This Row],[Código]],Projeção[#All],13,FALSE)+VLOOKUP(Esselte[[#This Row],[Código]],Projeção[#All],12,FALSE)</f>
        <v>5.0666666666666673</v>
      </c>
      <c r="V17" s="39">
        <f>IFERROR(VLOOKUP(Esselte[[#This Row],[Código]],Venda_3meses[],2,FALSE),0)</f>
        <v>0</v>
      </c>
      <c r="W17" s="44">
        <f>IFERROR(Esselte[[#This Row],[V. 3 meses]]/Esselte[[#This Row],[Proj. de V. 3 meses]],"")</f>
        <v>0</v>
      </c>
      <c r="X1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12.7</v>
      </c>
      <c r="Y17" s="39">
        <f>IFERROR(VLOOKUP(Esselte[[#This Row],[Código]],Venda_12meses[],2,FALSE),0)</f>
        <v>444</v>
      </c>
      <c r="Z17" s="44">
        <f>IFERROR(Esselte[[#This Row],[V. 12 meses]]/Esselte[[#This Row],[Proj. de V. 12 meses]],"")</f>
        <v>34.960629921259844</v>
      </c>
      <c r="AA17" s="22"/>
    </row>
    <row r="18" spans="1:27" x14ac:dyDescent="0.25">
      <c r="A18" s="22" t="str">
        <f>VLOOKUP(Esselte[[#This Row],[Código]],BD_Produto[#All],7,FALSE)</f>
        <v>Fora de Linha</v>
      </c>
      <c r="B1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18" s="23">
        <v>33063063493</v>
      </c>
      <c r="D18" s="22" t="s">
        <v>1135</v>
      </c>
      <c r="E18" s="22" t="str">
        <f>VLOOKUP(Esselte[[#This Row],[Código]],BD_Produto[],3,FALSE)</f>
        <v>Pasta com Elástico</v>
      </c>
      <c r="F18" s="22" t="str">
        <f>VLOOKUP(Esselte[[#This Row],[Código]],BD_Produto[],4,FALSE)</f>
        <v>Pasta com Elástico</v>
      </c>
      <c r="G18" s="24">
        <v>10</v>
      </c>
      <c r="H18" s="25"/>
      <c r="I18" s="22"/>
      <c r="J18" s="24"/>
      <c r="K18" s="24" t="str">
        <f>IFERROR(VLOOKUP(Esselte[[#This Row],[Código]],Importação!P:R,3,FALSE),"")</f>
        <v/>
      </c>
      <c r="L18" s="24">
        <f>IFERROR(VLOOKUP(Esselte[[#This Row],[Código]],Saldo[],3,FALSE),0)</f>
        <v>891</v>
      </c>
      <c r="M18" s="24">
        <f>SUM(Esselte[[#This Row],[Produção]:[Estoque]])</f>
        <v>891</v>
      </c>
      <c r="N18" s="24">
        <f>IFERROR(Esselte[[#This Row],[Estoque+Importação]]/Esselte[[#This Row],[Proj. de V. No prox. mes]],"Sem Projeção")</f>
        <v>43.676470588235297</v>
      </c>
      <c r="O18" s="24" t="str">
        <f>IF(OR(Esselte[[#This Row],[Status]]="Em Linha",Esselte[[#This Row],[Status]]="Componente",Esselte[[#This Row],[Status]]="Materia Prima"),Esselte[[#This Row],[Proj. de V. No prox. mes]]*10,"-")</f>
        <v>-</v>
      </c>
      <c r="P1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" s="75">
        <f>VLOOKUP(Esselte[[#This Row],[Código]],Projeção[#All],15,FALSE)</f>
        <v>20.399999999999999</v>
      </c>
      <c r="R18" s="39">
        <f>VLOOKUP(Esselte[[#This Row],[Código]],Projeção[#All],14,FALSE)</f>
        <v>5.1666666666666661</v>
      </c>
      <c r="S18" s="39">
        <f>IFERROR(VLOOKUP(Esselte[[#This Row],[Código]],Venda_mes[],2,FALSE),0)</f>
        <v>0</v>
      </c>
      <c r="T18" s="44">
        <f>IFERROR(Esselte[[#This Row],[V. No mes]]/Esselte[[#This Row],[Proj. de V. No mes]],"")</f>
        <v>0</v>
      </c>
      <c r="U18" s="43">
        <f>VLOOKUP(Esselte[[#This Row],[Código]],Projeção[#All],14,FALSE)+VLOOKUP(Esselte[[#This Row],[Código]],Projeção[#All],13,FALSE)+VLOOKUP(Esselte[[#This Row],[Código]],Projeção[#All],12,FALSE)</f>
        <v>6.1666666666666661</v>
      </c>
      <c r="V18" s="39">
        <f>IFERROR(VLOOKUP(Esselte[[#This Row],[Código]],Venda_3meses[],2,FALSE),0)</f>
        <v>6</v>
      </c>
      <c r="W18" s="44">
        <f>IFERROR(Esselte[[#This Row],[V. 3 meses]]/Esselte[[#This Row],[Proj. de V. 3 meses]],"")</f>
        <v>0.97297297297297303</v>
      </c>
      <c r="X1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24.799999999999997</v>
      </c>
      <c r="Y18" s="39">
        <f>IFERROR(VLOOKUP(Esselte[[#This Row],[Código]],Venda_12meses[],2,FALSE),0)</f>
        <v>476</v>
      </c>
      <c r="Z18" s="44">
        <f>IFERROR(Esselte[[#This Row],[V. 12 meses]]/Esselte[[#This Row],[Proj. de V. 12 meses]],"")</f>
        <v>19.193548387096776</v>
      </c>
      <c r="AA18" s="22"/>
    </row>
    <row r="19" spans="1:27" x14ac:dyDescent="0.25">
      <c r="A19" s="22" t="str">
        <f>VLOOKUP(Esselte[[#This Row],[Código]],BD_Produto[#All],7,FALSE)</f>
        <v>Fora de Linha</v>
      </c>
      <c r="B1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19" s="23">
        <v>33063063498</v>
      </c>
      <c r="D19" s="22" t="s">
        <v>1037</v>
      </c>
      <c r="E19" s="22" t="str">
        <f>VLOOKUP(Esselte[[#This Row],[Código]],BD_Produto[],3,FALSE)</f>
        <v>Pasta Sanfonada</v>
      </c>
      <c r="F19" s="22" t="str">
        <f>VLOOKUP(Esselte[[#This Row],[Código]],BD_Produto[],4,FALSE)</f>
        <v>Pasta Sanfonada</v>
      </c>
      <c r="G19" s="24">
        <v>5</v>
      </c>
      <c r="H19" s="25"/>
      <c r="I19" s="22"/>
      <c r="J19" s="24"/>
      <c r="K19" s="24" t="str">
        <f>IFERROR(VLOOKUP(Esselte[[#This Row],[Código]],Importação!P:R,3,FALSE),"")</f>
        <v/>
      </c>
      <c r="L19" s="24">
        <f>IFERROR(VLOOKUP(Esselte[[#This Row],[Código]],Saldo[],3,FALSE),0)</f>
        <v>196</v>
      </c>
      <c r="M19" s="24">
        <f>SUM(Esselte[[#This Row],[Produção]:[Estoque]])</f>
        <v>196</v>
      </c>
      <c r="N19" s="24">
        <f>IFERROR(Esselte[[#This Row],[Estoque+Importação]]/Esselte[[#This Row],[Proj. de V. No prox. mes]],"Sem Projeção")</f>
        <v>20.27586206896552</v>
      </c>
      <c r="O19" s="24" t="str">
        <f>IF(OR(Esselte[[#This Row],[Status]]="Em Linha",Esselte[[#This Row],[Status]]="Componente",Esselte[[#This Row],[Status]]="Materia Prima"),Esselte[[#This Row],[Proj. de V. No prox. mes]]*10,"-")</f>
        <v>-</v>
      </c>
      <c r="P1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" s="75">
        <f>VLOOKUP(Esselte[[#This Row],[Código]],Projeção[#All],15,FALSE)</f>
        <v>9.6666666666666661</v>
      </c>
      <c r="R19" s="39">
        <f>VLOOKUP(Esselte[[#This Row],[Código]],Projeção[#All],14,FALSE)</f>
        <v>3.5666666666666673</v>
      </c>
      <c r="S19" s="39">
        <f>IFERROR(VLOOKUP(Esselte[[#This Row],[Código]],Venda_mes[],2,FALSE),0)</f>
        <v>30</v>
      </c>
      <c r="T19" s="44">
        <f>IFERROR(Esselte[[#This Row],[V. No mes]]/Esselte[[#This Row],[Proj. de V. No mes]],"")</f>
        <v>8.4112149532710259</v>
      </c>
      <c r="U19" s="43">
        <f>VLOOKUP(Esselte[[#This Row],[Código]],Projeção[#All],14,FALSE)+VLOOKUP(Esselte[[#This Row],[Código]],Projeção[#All],13,FALSE)+VLOOKUP(Esselte[[#This Row],[Código]],Projeção[#All],12,FALSE)</f>
        <v>8.3666666666666671</v>
      </c>
      <c r="V19" s="39">
        <f>IFERROR(VLOOKUP(Esselte[[#This Row],[Código]],Venda_3meses[],2,FALSE),0)</f>
        <v>30</v>
      </c>
      <c r="W19" s="44">
        <f>IFERROR(Esselte[[#This Row],[V. 3 meses]]/Esselte[[#This Row],[Proj. de V. 3 meses]],"")</f>
        <v>3.5856573705179282</v>
      </c>
      <c r="X1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19.166666666666671</v>
      </c>
      <c r="Y19" s="39">
        <f>IFERROR(VLOOKUP(Esselte[[#This Row],[Código]],Venda_12meses[],2,FALSE),0)</f>
        <v>110</v>
      </c>
      <c r="Z19" s="44">
        <f>IFERROR(Esselte[[#This Row],[V. 12 meses]]/Esselte[[#This Row],[Proj. de V. 12 meses]],"")</f>
        <v>5.7391304347826075</v>
      </c>
      <c r="AA19" s="22"/>
    </row>
    <row r="20" spans="1:27" x14ac:dyDescent="0.25">
      <c r="A20" s="22" t="str">
        <f>VLOOKUP(Esselte[[#This Row],[Código]],BD_Produto[#All],7,FALSE)</f>
        <v>Fora de Linha</v>
      </c>
      <c r="B2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0" s="23">
        <v>33063063501</v>
      </c>
      <c r="D20" s="22" t="s">
        <v>1185</v>
      </c>
      <c r="E20" s="22" t="str">
        <f>VLOOKUP(Esselte[[#This Row],[Código]],BD_Produto[],3,FALSE)</f>
        <v>Pasta Sanfonada</v>
      </c>
      <c r="F20" s="22" t="str">
        <f>VLOOKUP(Esselte[[#This Row],[Código]],BD_Produto[],4,FALSE)</f>
        <v>Pasta Sanfonada</v>
      </c>
      <c r="G20" s="24">
        <v>5</v>
      </c>
      <c r="H20" s="25"/>
      <c r="I20" s="22"/>
      <c r="J20" s="24"/>
      <c r="K20" s="24" t="str">
        <f>IFERROR(VLOOKUP(Esselte[[#This Row],[Código]],Importação!P:R,3,FALSE),"")</f>
        <v/>
      </c>
      <c r="L20" s="24">
        <f>IFERROR(VLOOKUP(Esselte[[#This Row],[Código]],Saldo[],3,FALSE),0)</f>
        <v>191</v>
      </c>
      <c r="M20" s="24">
        <f>SUM(Esselte[[#This Row],[Produção]:[Estoque]])</f>
        <v>191</v>
      </c>
      <c r="N20" s="24">
        <f>IFERROR(Esselte[[#This Row],[Estoque+Importação]]/Esselte[[#This Row],[Proj. de V. No prox. mes]],"Sem Projeção")</f>
        <v>53.055555555555564</v>
      </c>
      <c r="O20" s="24" t="str">
        <f>IF(OR(Esselte[[#This Row],[Status]]="Em Linha",Esselte[[#This Row],[Status]]="Componente",Esselte[[#This Row],[Status]]="Materia Prima"),Esselte[[#This Row],[Proj. de V. No prox. mes]]*10,"-")</f>
        <v>-</v>
      </c>
      <c r="P2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" s="75">
        <f>VLOOKUP(Esselte[[#This Row],[Código]],Projeção[#All],15,FALSE)</f>
        <v>3.5999999999999996</v>
      </c>
      <c r="R20" s="39">
        <f>VLOOKUP(Esselte[[#This Row],[Código]],Projeção[#All],14,FALSE)</f>
        <v>1.9333333333333336</v>
      </c>
      <c r="S20" s="39">
        <f>IFERROR(VLOOKUP(Esselte[[#This Row],[Código]],Venda_mes[],2,FALSE),0)</f>
        <v>0</v>
      </c>
      <c r="T20" s="44">
        <f>IFERROR(Esselte[[#This Row],[V. No mes]]/Esselte[[#This Row],[Proj. de V. No mes]],"")</f>
        <v>0</v>
      </c>
      <c r="U20" s="43">
        <f>VLOOKUP(Esselte[[#This Row],[Código]],Projeção[#All],14,FALSE)+VLOOKUP(Esselte[[#This Row],[Código]],Projeção[#All],13,FALSE)+VLOOKUP(Esselte[[#This Row],[Código]],Projeção[#All],12,FALSE)</f>
        <v>4</v>
      </c>
      <c r="V20" s="39">
        <f>IFERROR(VLOOKUP(Esselte[[#This Row],[Código]],Venda_3meses[],2,FALSE),0)</f>
        <v>4</v>
      </c>
      <c r="W20" s="44">
        <f>IFERROR(Esselte[[#This Row],[V. 3 meses]]/Esselte[[#This Row],[Proj. de V. 3 meses]],"")</f>
        <v>1</v>
      </c>
      <c r="X2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41.366666666666674</v>
      </c>
      <c r="Y20" s="39">
        <f>IFERROR(VLOOKUP(Esselte[[#This Row],[Código]],Venda_12meses[],2,FALSE),0)</f>
        <v>74</v>
      </c>
      <c r="Z20" s="44">
        <f>IFERROR(Esselte[[#This Row],[V. 12 meses]]/Esselte[[#This Row],[Proj. de V. 12 meses]],"")</f>
        <v>1.7888799355358578</v>
      </c>
      <c r="AA20" s="22"/>
    </row>
    <row r="21" spans="1:27" x14ac:dyDescent="0.25">
      <c r="A21" s="22" t="str">
        <f>VLOOKUP(Esselte[[#This Row],[Código]],BD_Produto[#All],7,FALSE)</f>
        <v>Fora de Linha</v>
      </c>
      <c r="B2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1" s="23">
        <v>33063063499</v>
      </c>
      <c r="D21" s="22" t="s">
        <v>1106</v>
      </c>
      <c r="E21" s="22" t="str">
        <f>VLOOKUP(Esselte[[#This Row],[Código]],BD_Produto[],3,FALSE)</f>
        <v>Pasta Sanfonada</v>
      </c>
      <c r="F21" s="22" t="str">
        <f>VLOOKUP(Esselte[[#This Row],[Código]],BD_Produto[],4,FALSE)</f>
        <v>Pasta Sanfonada</v>
      </c>
      <c r="G21" s="24">
        <v>5</v>
      </c>
      <c r="H21" s="25"/>
      <c r="I21" s="22"/>
      <c r="J21" s="24"/>
      <c r="K21" s="24" t="str">
        <f>IFERROR(VLOOKUP(Esselte[[#This Row],[Código]],Importação!P:R,3,FALSE),"")</f>
        <v/>
      </c>
      <c r="L21" s="24">
        <f>IFERROR(VLOOKUP(Esselte[[#This Row],[Código]],Saldo[],3,FALSE),0)</f>
        <v>230</v>
      </c>
      <c r="M21" s="24">
        <f>SUM(Esselte[[#This Row],[Produção]:[Estoque]])</f>
        <v>230</v>
      </c>
      <c r="N21" s="24">
        <f>IFERROR(Esselte[[#This Row],[Estoque+Importação]]/Esselte[[#This Row],[Proj. de V. No prox. mes]],"Sem Projeção")</f>
        <v>104.54545454545456</v>
      </c>
      <c r="O21" s="24" t="str">
        <f>IF(OR(Esselte[[#This Row],[Status]]="Em Linha",Esselte[[#This Row],[Status]]="Componente",Esselte[[#This Row],[Status]]="Materia Prima"),Esselte[[#This Row],[Proj. de V. No prox. mes]]*10,"-")</f>
        <v>-</v>
      </c>
      <c r="P2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1" s="75">
        <f>VLOOKUP(Esselte[[#This Row],[Código]],Projeção[#All],15,FALSE)</f>
        <v>2.1999999999999997</v>
      </c>
      <c r="R21" s="39">
        <f>VLOOKUP(Esselte[[#This Row],[Código]],Projeção[#All],14,FALSE)</f>
        <v>1.7</v>
      </c>
      <c r="S21" s="39">
        <f>IFERROR(VLOOKUP(Esselte[[#This Row],[Código]],Venda_mes[],2,FALSE),0)</f>
        <v>0</v>
      </c>
      <c r="T21" s="44">
        <f>IFERROR(Esselte[[#This Row],[V. No mes]]/Esselte[[#This Row],[Proj. de V. No mes]],"")</f>
        <v>0</v>
      </c>
      <c r="U21" s="43">
        <f>VLOOKUP(Esselte[[#This Row],[Código]],Projeção[#All],14,FALSE)+VLOOKUP(Esselte[[#This Row],[Código]],Projeção[#All],13,FALSE)+VLOOKUP(Esselte[[#This Row],[Código]],Projeção[#All],12,FALSE)</f>
        <v>3.3666666666666667</v>
      </c>
      <c r="V21" s="39">
        <f>IFERROR(VLOOKUP(Esselte[[#This Row],[Código]],Venda_3meses[],2,FALSE),0)</f>
        <v>0</v>
      </c>
      <c r="W21" s="44">
        <f>IFERROR(Esselte[[#This Row],[V. 3 meses]]/Esselte[[#This Row],[Proj. de V. 3 meses]],"")</f>
        <v>0</v>
      </c>
      <c r="X2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24</v>
      </c>
      <c r="Y21" s="39">
        <f>IFERROR(VLOOKUP(Esselte[[#This Row],[Código]],Venda_12meses[],2,FALSE),0)</f>
        <v>64</v>
      </c>
      <c r="Z21" s="44">
        <f>IFERROR(Esselte[[#This Row],[V. 12 meses]]/Esselte[[#This Row],[Proj. de V. 12 meses]],"")</f>
        <v>2.6666666666666665</v>
      </c>
      <c r="AA21" s="22"/>
    </row>
    <row r="22" spans="1:27" x14ac:dyDescent="0.25">
      <c r="A22" s="22" t="str">
        <f>VLOOKUP(Esselte[[#This Row],[Código]],BD_Produto[#All],7,FALSE)</f>
        <v>Fora de Linha</v>
      </c>
      <c r="B2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2" s="23">
        <v>33063063931</v>
      </c>
      <c r="D22" s="22" t="s">
        <v>1127</v>
      </c>
      <c r="E22" s="22" t="str">
        <f>VLOOKUP(Esselte[[#This Row],[Código]],BD_Produto[],3,FALSE)</f>
        <v>Pasta Fichário</v>
      </c>
      <c r="F22" s="22" t="str">
        <f>VLOOKUP(Esselte[[#This Row],[Código]],BD_Produto[],4,FALSE)</f>
        <v>Pasta Fichário</v>
      </c>
      <c r="G22" s="24">
        <v>1</v>
      </c>
      <c r="H22" s="25"/>
      <c r="I22" s="22"/>
      <c r="J22" s="24"/>
      <c r="K22" s="24" t="str">
        <f>IFERROR(VLOOKUP(Esselte[[#This Row],[Código]],Importação!P:R,3,FALSE),"")</f>
        <v/>
      </c>
      <c r="L22" s="24">
        <f>IFERROR(VLOOKUP(Esselte[[#This Row],[Código]],Saldo[],3,FALSE),0)</f>
        <v>65</v>
      </c>
      <c r="M22" s="24">
        <f>SUM(Esselte[[#This Row],[Produção]:[Estoque]])</f>
        <v>65</v>
      </c>
      <c r="N22" s="24">
        <f>IFERROR(Esselte[[#This Row],[Estoque+Importação]]/Esselte[[#This Row],[Proj. de V. No prox. mes]],"Sem Projeção")</f>
        <v>13.636363636363638</v>
      </c>
      <c r="O22" s="24" t="str">
        <f>IF(OR(Esselte[[#This Row],[Status]]="Em Linha",Esselte[[#This Row],[Status]]="Componente",Esselte[[#This Row],[Status]]="Materia Prima"),Esselte[[#This Row],[Proj. de V. No prox. mes]]*10,"-")</f>
        <v>-</v>
      </c>
      <c r="P2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2" s="75">
        <f>VLOOKUP(Esselte[[#This Row],[Código]],Projeção[#All],15,FALSE)</f>
        <v>4.7666666666666657</v>
      </c>
      <c r="R22" s="39">
        <f>VLOOKUP(Esselte[[#This Row],[Código]],Projeção[#All],14,FALSE)</f>
        <v>5.2333333333333325</v>
      </c>
      <c r="S22" s="39">
        <f>IFERROR(VLOOKUP(Esselte[[#This Row],[Código]],Venda_mes[],2,FALSE),0)</f>
        <v>2</v>
      </c>
      <c r="T22" s="44">
        <f>IFERROR(Esselte[[#This Row],[V. No mes]]/Esselte[[#This Row],[Proj. de V. No mes]],"")</f>
        <v>0.38216560509554148</v>
      </c>
      <c r="U22" s="43">
        <f>VLOOKUP(Esselte[[#This Row],[Código]],Projeção[#All],14,FALSE)+VLOOKUP(Esselte[[#This Row],[Código]],Projeção[#All],13,FALSE)+VLOOKUP(Esselte[[#This Row],[Código]],Projeção[#All],12,FALSE)</f>
        <v>11.533333333333333</v>
      </c>
      <c r="V22" s="39">
        <f>IFERROR(VLOOKUP(Esselte[[#This Row],[Código]],Venda_3meses[],2,FALSE),0)</f>
        <v>4</v>
      </c>
      <c r="W22" s="44">
        <f>IFERROR(Esselte[[#This Row],[V. 3 meses]]/Esselte[[#This Row],[Proj. de V. 3 meses]],"")</f>
        <v>0.34682080924855491</v>
      </c>
      <c r="X2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89.933333333333337</v>
      </c>
      <c r="Y22" s="39">
        <f>IFERROR(VLOOKUP(Esselte[[#This Row],[Código]],Venda_12meses[],2,FALSE),0)</f>
        <v>55</v>
      </c>
      <c r="Z22" s="44">
        <f>IFERROR(Esselte[[#This Row],[V. 12 meses]]/Esselte[[#This Row],[Proj. de V. 12 meses]],"")</f>
        <v>0.61156412157153439</v>
      </c>
      <c r="AA22" s="22">
        <v>33063063777</v>
      </c>
    </row>
    <row r="23" spans="1:27" x14ac:dyDescent="0.25">
      <c r="A23" s="22" t="str">
        <f>VLOOKUP(Esselte[[#This Row],[Código]],BD_Produto[#All],7,FALSE)</f>
        <v>Fora de Linha</v>
      </c>
      <c r="B2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3" s="23">
        <v>33063063489</v>
      </c>
      <c r="D23" s="22" t="s">
        <v>1141</v>
      </c>
      <c r="E23" s="22" t="str">
        <f>VLOOKUP(Esselte[[#This Row],[Código]],BD_Produto[],3,FALSE)</f>
        <v>Pasta com Elástico</v>
      </c>
      <c r="F23" s="22" t="str">
        <f>VLOOKUP(Esselte[[#This Row],[Código]],BD_Produto[],4,FALSE)</f>
        <v>Pasta com Elástico</v>
      </c>
      <c r="G23" s="24">
        <v>10</v>
      </c>
      <c r="H23" s="25"/>
      <c r="I23" s="22"/>
      <c r="J23" s="24"/>
      <c r="K23" s="24" t="str">
        <f>IFERROR(VLOOKUP(Esselte[[#This Row],[Código]],Importação!P:R,3,FALSE),"")</f>
        <v/>
      </c>
      <c r="L23" s="24">
        <f>IFERROR(VLOOKUP(Esselte[[#This Row],[Código]],Saldo[],3,FALSE),0)</f>
        <v>1000</v>
      </c>
      <c r="M23" s="24">
        <f>SUM(Esselte[[#This Row],[Produção]:[Estoque]])</f>
        <v>1000</v>
      </c>
      <c r="N23" s="24">
        <f>IFERROR(Esselte[[#This Row],[Estoque+Importação]]/Esselte[[#This Row],[Proj. de V. No prox. mes]],"Sem Projeção")</f>
        <v>89.020771513353125</v>
      </c>
      <c r="O23" s="24" t="str">
        <f>IF(OR(Esselte[[#This Row],[Status]]="Em Linha",Esselte[[#This Row],[Status]]="Componente",Esselte[[#This Row],[Status]]="Materia Prima"),Esselte[[#This Row],[Proj. de V. No prox. mes]]*10,"-")</f>
        <v>-</v>
      </c>
      <c r="P2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3" s="75">
        <f>VLOOKUP(Esselte[[#This Row],[Código]],Projeção[#All],15,FALSE)</f>
        <v>11.233333333333333</v>
      </c>
      <c r="R23" s="39">
        <f>VLOOKUP(Esselte[[#This Row],[Código]],Projeção[#All],14,FALSE)</f>
        <v>6.1</v>
      </c>
      <c r="S23" s="39">
        <f>IFERROR(VLOOKUP(Esselte[[#This Row],[Código]],Venda_mes[],2,FALSE),0)</f>
        <v>0</v>
      </c>
      <c r="T23" s="44">
        <f>IFERROR(Esselte[[#This Row],[V. No mes]]/Esselte[[#This Row],[Proj. de V. No mes]],"")</f>
        <v>0</v>
      </c>
      <c r="U23" s="43">
        <f>VLOOKUP(Esselte[[#This Row],[Código]],Projeção[#All],14,FALSE)+VLOOKUP(Esselte[[#This Row],[Código]],Projeção[#All],13,FALSE)+VLOOKUP(Esselte[[#This Row],[Código]],Projeção[#All],12,FALSE)</f>
        <v>6.6333333333333329</v>
      </c>
      <c r="V23" s="39">
        <f>IFERROR(VLOOKUP(Esselte[[#This Row],[Código]],Venda_3meses[],2,FALSE),0)</f>
        <v>0</v>
      </c>
      <c r="W23" s="44">
        <f>IFERROR(Esselte[[#This Row],[V. 3 meses]]/Esselte[[#This Row],[Proj. de V. 3 meses]],"")</f>
        <v>0</v>
      </c>
      <c r="X2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18.433333333333334</v>
      </c>
      <c r="Y23" s="39">
        <f>IFERROR(VLOOKUP(Esselte[[#This Row],[Código]],Venda_12meses[],2,FALSE),0)</f>
        <v>289</v>
      </c>
      <c r="Z23" s="44">
        <f>IFERROR(Esselte[[#This Row],[V. 12 meses]]/Esselte[[#This Row],[Proj. de V. 12 meses]],"")</f>
        <v>15.678119349005424</v>
      </c>
      <c r="AA23" s="22"/>
    </row>
    <row r="24" spans="1:27" x14ac:dyDescent="0.25">
      <c r="A24" s="22" t="str">
        <f>VLOOKUP(Esselte[[#This Row],[Código]],BD_Produto[#All],7,FALSE)</f>
        <v>Fora de Linha</v>
      </c>
      <c r="B2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4" s="23">
        <v>33063063486</v>
      </c>
      <c r="D24" s="22" t="s">
        <v>1155</v>
      </c>
      <c r="E24" s="22" t="str">
        <f>VLOOKUP(Esselte[[#This Row],[Código]],BD_Produto[],3,FALSE)</f>
        <v>Pasta com Elástico</v>
      </c>
      <c r="F24" s="22" t="str">
        <f>VLOOKUP(Esselte[[#This Row],[Código]],BD_Produto[],4,FALSE)</f>
        <v>Pasta com Elástico</v>
      </c>
      <c r="G24" s="24">
        <v>10</v>
      </c>
      <c r="H24" s="25"/>
      <c r="I24" s="22"/>
      <c r="J24" s="24"/>
      <c r="K24" s="24" t="str">
        <f>IFERROR(VLOOKUP(Esselte[[#This Row],[Código]],Importação!P:R,3,FALSE),"")</f>
        <v/>
      </c>
      <c r="L24" s="24">
        <f>IFERROR(VLOOKUP(Esselte[[#This Row],[Código]],Saldo[],3,FALSE),0)</f>
        <v>1055</v>
      </c>
      <c r="M24" s="24">
        <f>SUM(Esselte[[#This Row],[Produção]:[Estoque]])</f>
        <v>1055</v>
      </c>
      <c r="N24" s="24">
        <f>IFERROR(Esselte[[#This Row],[Estoque+Importação]]/Esselte[[#This Row],[Proj. de V. No prox. mes]],"Sem Projeção")</f>
        <v>118.53932584269663</v>
      </c>
      <c r="O24" s="24" t="str">
        <f>IF(OR(Esselte[[#This Row],[Status]]="Em Linha",Esselte[[#This Row],[Status]]="Componente",Esselte[[#This Row],[Status]]="Materia Prima"),Esselte[[#This Row],[Proj. de V. No prox. mes]]*10,"-")</f>
        <v>-</v>
      </c>
      <c r="P2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4" s="75">
        <f>VLOOKUP(Esselte[[#This Row],[Código]],Projeção[#All],15,FALSE)</f>
        <v>8.9</v>
      </c>
      <c r="R24" s="39">
        <f>VLOOKUP(Esselte[[#This Row],[Código]],Projeção[#All],14,FALSE)</f>
        <v>6.4666666666666668</v>
      </c>
      <c r="S24" s="39">
        <f>IFERROR(VLOOKUP(Esselte[[#This Row],[Código]],Venda_mes[],2,FALSE),0)</f>
        <v>0</v>
      </c>
      <c r="T24" s="44">
        <f>IFERROR(Esselte[[#This Row],[V. No mes]]/Esselte[[#This Row],[Proj. de V. No mes]],"")</f>
        <v>0</v>
      </c>
      <c r="U24" s="43">
        <f>VLOOKUP(Esselte[[#This Row],[Código]],Projeção[#All],14,FALSE)+VLOOKUP(Esselte[[#This Row],[Código]],Projeção[#All],13,FALSE)+VLOOKUP(Esselte[[#This Row],[Código]],Projeção[#All],12,FALSE)</f>
        <v>7.6</v>
      </c>
      <c r="V24" s="39">
        <f>IFERROR(VLOOKUP(Esselte[[#This Row],[Código]],Venda_3meses[],2,FALSE),0)</f>
        <v>0</v>
      </c>
      <c r="W24" s="44">
        <f>IFERROR(Esselte[[#This Row],[V. 3 meses]]/Esselte[[#This Row],[Proj. de V. 3 meses]],"")</f>
        <v>0</v>
      </c>
      <c r="X2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16.266666666666669</v>
      </c>
      <c r="Y24" s="39">
        <f>IFERROR(VLOOKUP(Esselte[[#This Row],[Código]],Venda_12meses[],2,FALSE),0)</f>
        <v>267</v>
      </c>
      <c r="Z24" s="44">
        <f>IFERROR(Esselte[[#This Row],[V. 12 meses]]/Esselte[[#This Row],[Proj. de V. 12 meses]],"")</f>
        <v>16.413934426229506</v>
      </c>
      <c r="AA24" s="22"/>
    </row>
    <row r="25" spans="1:27" x14ac:dyDescent="0.25">
      <c r="A25" s="22" t="str">
        <f>VLOOKUP(Esselte[[#This Row],[Código]],BD_Produto[#All],7,FALSE)</f>
        <v>Fora de Linha</v>
      </c>
      <c r="B2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5" s="23">
        <v>33063063488</v>
      </c>
      <c r="D25" s="22" t="s">
        <v>1145</v>
      </c>
      <c r="E25" s="22" t="str">
        <f>VLOOKUP(Esselte[[#This Row],[Código]],BD_Produto[],3,FALSE)</f>
        <v>Pasta com Elástico</v>
      </c>
      <c r="F25" s="22" t="str">
        <f>VLOOKUP(Esselte[[#This Row],[Código]],BD_Produto[],4,FALSE)</f>
        <v>Pasta com Elástico</v>
      </c>
      <c r="G25" s="24">
        <v>10</v>
      </c>
      <c r="H25" s="25"/>
      <c r="I25" s="22"/>
      <c r="J25" s="24"/>
      <c r="K25" s="24" t="str">
        <f>IFERROR(VLOOKUP(Esselte[[#This Row],[Código]],Importação!P:R,3,FALSE),"")</f>
        <v/>
      </c>
      <c r="L25" s="24">
        <f>IFERROR(VLOOKUP(Esselte[[#This Row],[Código]],Saldo[],3,FALSE),0)</f>
        <v>1017</v>
      </c>
      <c r="M25" s="24">
        <f>SUM(Esselte[[#This Row],[Produção]:[Estoque]])</f>
        <v>1017</v>
      </c>
      <c r="N25" s="24">
        <f>IFERROR(Esselte[[#This Row],[Estoque+Importação]]/Esselte[[#This Row],[Proj. de V. No prox. mes]],"Sem Projeção")</f>
        <v>74.596577017114925</v>
      </c>
      <c r="O25" s="24" t="str">
        <f>IF(OR(Esselte[[#This Row],[Status]]="Em Linha",Esselte[[#This Row],[Status]]="Componente",Esselte[[#This Row],[Status]]="Materia Prima"),Esselte[[#This Row],[Proj. de V. No prox. mes]]*10,"-")</f>
        <v>-</v>
      </c>
      <c r="P2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5" s="75">
        <f>VLOOKUP(Esselte[[#This Row],[Código]],Projeção[#All],15,FALSE)</f>
        <v>13.633333333333331</v>
      </c>
      <c r="R25" s="39">
        <f>VLOOKUP(Esselte[[#This Row],[Código]],Projeção[#All],14,FALSE)</f>
        <v>5.8666666666666663</v>
      </c>
      <c r="S25" s="39">
        <f>IFERROR(VLOOKUP(Esselte[[#This Row],[Código]],Venda_mes[],2,FALSE),0)</f>
        <v>0</v>
      </c>
      <c r="T25" s="44">
        <f>IFERROR(Esselte[[#This Row],[V. No mes]]/Esselte[[#This Row],[Proj. de V. No mes]],"")</f>
        <v>0</v>
      </c>
      <c r="U25" s="43">
        <f>VLOOKUP(Esselte[[#This Row],[Código]],Projeção[#All],14,FALSE)+VLOOKUP(Esselte[[#This Row],[Código]],Projeção[#All],13,FALSE)+VLOOKUP(Esselte[[#This Row],[Código]],Projeção[#All],12,FALSE)</f>
        <v>5.9333333333333327</v>
      </c>
      <c r="V25" s="39">
        <f>IFERROR(VLOOKUP(Esselte[[#This Row],[Código]],Venda_3meses[],2,FALSE),0)</f>
        <v>0</v>
      </c>
      <c r="W25" s="44">
        <f>IFERROR(Esselte[[#This Row],[V. 3 meses]]/Esselte[[#This Row],[Proj. de V. 3 meses]],"")</f>
        <v>0</v>
      </c>
      <c r="X2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10.1</v>
      </c>
      <c r="Y25" s="39">
        <f>IFERROR(VLOOKUP(Esselte[[#This Row],[Código]],Venda_12meses[],2,FALSE),0)</f>
        <v>313</v>
      </c>
      <c r="Z25" s="44">
        <f>IFERROR(Esselte[[#This Row],[V. 12 meses]]/Esselte[[#This Row],[Proj. de V. 12 meses]],"")</f>
        <v>30.990099009900991</v>
      </c>
      <c r="AA25" s="22"/>
    </row>
    <row r="26" spans="1:27" x14ac:dyDescent="0.25">
      <c r="A26" s="22" t="str">
        <f>VLOOKUP(Esselte[[#This Row],[Código]],BD_Produto[#All],7,FALSE)</f>
        <v>Fora de Linha</v>
      </c>
      <c r="B2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6" s="23">
        <v>33063063460</v>
      </c>
      <c r="D26" s="22" t="s">
        <v>1129</v>
      </c>
      <c r="E26" s="22" t="str">
        <f>VLOOKUP(Esselte[[#This Row],[Código]],BD_Produto[],3,FALSE)</f>
        <v>Pasta Organizadora (A/Z)</v>
      </c>
      <c r="F26" s="22" t="str">
        <f>VLOOKUP(Esselte[[#This Row],[Código]],BD_Produto[],4,FALSE)</f>
        <v>Pasta Organizadora (A/Z)</v>
      </c>
      <c r="G26" s="24">
        <v>5</v>
      </c>
      <c r="H26" s="25"/>
      <c r="I26" s="22"/>
      <c r="J26" s="24"/>
      <c r="K26" s="24" t="str">
        <f>IFERROR(VLOOKUP(Esselte[[#This Row],[Código]],Importação!P:R,3,FALSE),"")</f>
        <v/>
      </c>
      <c r="L26" s="24">
        <f>IFERROR(VLOOKUP(Esselte[[#This Row],[Código]],Saldo[],3,FALSE),0)</f>
        <v>3</v>
      </c>
      <c r="M26" s="24">
        <f>SUM(Esselte[[#This Row],[Produção]:[Estoque]])</f>
        <v>3</v>
      </c>
      <c r="N26" s="24">
        <f>IFERROR(Esselte[[#This Row],[Estoque+Importação]]/Esselte[[#This Row],[Proj. de V. No prox. mes]],"Sem Projeção")</f>
        <v>0.27027027027027029</v>
      </c>
      <c r="O26" s="24" t="str">
        <f>IF(OR(Esselte[[#This Row],[Status]]="Em Linha",Esselte[[#This Row],[Status]]="Componente",Esselte[[#This Row],[Status]]="Materia Prima"),Esselte[[#This Row],[Proj. de V. No prox. mes]]*10,"-")</f>
        <v>-</v>
      </c>
      <c r="P2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6" s="75">
        <f>VLOOKUP(Esselte[[#This Row],[Código]],Projeção[#All],15,FALSE)</f>
        <v>11.1</v>
      </c>
      <c r="R26" s="39">
        <f>VLOOKUP(Esselte[[#This Row],[Código]],Projeção[#All],14,FALSE)</f>
        <v>6.9999999999999991</v>
      </c>
      <c r="S26" s="39">
        <f>IFERROR(VLOOKUP(Esselte[[#This Row],[Código]],Venda_mes[],2,FALSE),0)</f>
        <v>0</v>
      </c>
      <c r="T26" s="44">
        <f>IFERROR(Esselte[[#This Row],[V. No mes]]/Esselte[[#This Row],[Proj. de V. No mes]],"")</f>
        <v>0</v>
      </c>
      <c r="U26" s="43">
        <f>VLOOKUP(Esselte[[#This Row],[Código]],Projeção[#All],14,FALSE)+VLOOKUP(Esselte[[#This Row],[Código]],Projeção[#All],13,FALSE)+VLOOKUP(Esselte[[#This Row],[Código]],Projeção[#All],12,FALSE)</f>
        <v>9</v>
      </c>
      <c r="V26" s="39">
        <f>IFERROR(VLOOKUP(Esselte[[#This Row],[Código]],Venda_3meses[],2,FALSE),0)</f>
        <v>0</v>
      </c>
      <c r="W26" s="44">
        <f>IFERROR(Esselte[[#This Row],[V. 3 meses]]/Esselte[[#This Row],[Proj. de V. 3 meses]],"")</f>
        <v>0</v>
      </c>
      <c r="X2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</v>
      </c>
      <c r="Y26" s="39">
        <f>IFERROR(VLOOKUP(Esselte[[#This Row],[Código]],Venda_12meses[],2,FALSE),0)</f>
        <v>133</v>
      </c>
      <c r="Z26" s="44">
        <f>IFERROR(Esselte[[#This Row],[V. 12 meses]]/Esselte[[#This Row],[Proj. de V. 12 meses]],"")</f>
        <v>14.777777777777779</v>
      </c>
      <c r="AA26" s="22"/>
    </row>
    <row r="27" spans="1:27" x14ac:dyDescent="0.25">
      <c r="A27" s="22" t="str">
        <f>VLOOKUP(Esselte[[#This Row],[Código]],BD_Produto[#All],7,FALSE)</f>
        <v>Fora de Linha</v>
      </c>
      <c r="B2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7" s="23">
        <v>33063063495</v>
      </c>
      <c r="D27" s="22" t="s">
        <v>994</v>
      </c>
      <c r="E27" s="22" t="str">
        <f>VLOOKUP(Esselte[[#This Row],[Código]],BD_Produto[],3,FALSE)</f>
        <v>Pasta Sanfonada</v>
      </c>
      <c r="F27" s="22" t="str">
        <f>VLOOKUP(Esselte[[#This Row],[Código]],BD_Produto[],4,FALSE)</f>
        <v>Pasta Sanfonada</v>
      </c>
      <c r="G27" s="24">
        <v>5</v>
      </c>
      <c r="H27" s="25"/>
      <c r="I27" s="22"/>
      <c r="J27" s="24"/>
      <c r="K27" s="24" t="str">
        <f>IFERROR(VLOOKUP(Esselte[[#This Row],[Código]],Importação!P:R,3,FALSE),"")</f>
        <v/>
      </c>
      <c r="L27" s="24">
        <f>IFERROR(VLOOKUP(Esselte[[#This Row],[Código]],Saldo[],3,FALSE),0)</f>
        <v>281</v>
      </c>
      <c r="M27" s="24">
        <f>SUM(Esselte[[#This Row],[Produção]:[Estoque]])</f>
        <v>281</v>
      </c>
      <c r="N27" s="24">
        <f>IFERROR(Esselte[[#This Row],[Estoque+Importação]]/Esselte[[#This Row],[Proj. de V. No prox. mes]],"Sem Projeção")</f>
        <v>109.48051948051949</v>
      </c>
      <c r="O27" s="24" t="str">
        <f>IF(OR(Esselte[[#This Row],[Status]]="Em Linha",Esselte[[#This Row],[Status]]="Componente",Esselte[[#This Row],[Status]]="Materia Prima"),Esselte[[#This Row],[Proj. de V. No prox. mes]]*10,"-")</f>
        <v>-</v>
      </c>
      <c r="P2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7" s="75">
        <f>VLOOKUP(Esselte[[#This Row],[Código]],Projeção[#All],15,FALSE)</f>
        <v>2.5666666666666664</v>
      </c>
      <c r="R27" s="39">
        <f>VLOOKUP(Esselte[[#This Row],[Código]],Projeção[#All],14,FALSE)</f>
        <v>2.5</v>
      </c>
      <c r="S27" s="39">
        <f>IFERROR(VLOOKUP(Esselte[[#This Row],[Código]],Venda_mes[],2,FALSE),0)</f>
        <v>0</v>
      </c>
      <c r="T27" s="44">
        <f>IFERROR(Esselte[[#This Row],[V. No mes]]/Esselte[[#This Row],[Proj. de V. No mes]],"")</f>
        <v>0</v>
      </c>
      <c r="U27" s="43">
        <f>VLOOKUP(Esselte[[#This Row],[Código]],Projeção[#All],14,FALSE)+VLOOKUP(Esselte[[#This Row],[Código]],Projeção[#All],13,FALSE)+VLOOKUP(Esselte[[#This Row],[Código]],Projeção[#All],12,FALSE)</f>
        <v>2.833333333333333</v>
      </c>
      <c r="V27" s="39">
        <f>IFERROR(VLOOKUP(Esselte[[#This Row],[Código]],Venda_3meses[],2,FALSE),0)</f>
        <v>1</v>
      </c>
      <c r="W27" s="44">
        <f>IFERROR(Esselte[[#This Row],[V. 3 meses]]/Esselte[[#This Row],[Proj. de V. 3 meses]],"")</f>
        <v>0.35294117647058826</v>
      </c>
      <c r="X2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8.8333333333333321</v>
      </c>
      <c r="Y27" s="39">
        <f>IFERROR(VLOOKUP(Esselte[[#This Row],[Código]],Venda_12meses[],2,FALSE),0)</f>
        <v>71</v>
      </c>
      <c r="Z27" s="44">
        <f>IFERROR(Esselte[[#This Row],[V. 12 meses]]/Esselte[[#This Row],[Proj. de V. 12 meses]],"")</f>
        <v>8.0377358490566042</v>
      </c>
      <c r="AA27" s="22"/>
    </row>
    <row r="28" spans="1:27" x14ac:dyDescent="0.25">
      <c r="A28" s="22" t="str">
        <f>VLOOKUP(Esselte[[#This Row],[Código]],BD_Produto[#All],7,FALSE)</f>
        <v>Fora de Linha</v>
      </c>
      <c r="B2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8" s="23">
        <v>33063063500</v>
      </c>
      <c r="D28" s="22" t="s">
        <v>1132</v>
      </c>
      <c r="E28" s="22" t="str">
        <f>VLOOKUP(Esselte[[#This Row],[Código]],BD_Produto[],3,FALSE)</f>
        <v>Pasta Sanfonada</v>
      </c>
      <c r="F28" s="22" t="str">
        <f>VLOOKUP(Esselte[[#This Row],[Código]],BD_Produto[],4,FALSE)</f>
        <v>Pasta Sanfonada</v>
      </c>
      <c r="G28" s="24">
        <v>5</v>
      </c>
      <c r="H28" s="25"/>
      <c r="I28" s="22"/>
      <c r="J28" s="24"/>
      <c r="K28" s="24" t="str">
        <f>IFERROR(VLOOKUP(Esselte[[#This Row],[Código]],Importação!P:R,3,FALSE),"")</f>
        <v/>
      </c>
      <c r="L28" s="24">
        <f>IFERROR(VLOOKUP(Esselte[[#This Row],[Código]],Saldo[],3,FALSE),0)</f>
        <v>250</v>
      </c>
      <c r="M28" s="24">
        <f>SUM(Esselte[[#This Row],[Produção]:[Estoque]])</f>
        <v>250</v>
      </c>
      <c r="N28" s="24">
        <f>IFERROR(Esselte[[#This Row],[Estoque+Importação]]/Esselte[[#This Row],[Proj. de V. No prox. mes]],"Sem Projeção")</f>
        <v>100</v>
      </c>
      <c r="O28" s="24" t="str">
        <f>IF(OR(Esselte[[#This Row],[Status]]="Em Linha",Esselte[[#This Row],[Status]]="Componente",Esselte[[#This Row],[Status]]="Materia Prima"),Esselte[[#This Row],[Proj. de V. No prox. mes]]*10,"-")</f>
        <v>-</v>
      </c>
      <c r="P2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8" s="75">
        <f>VLOOKUP(Esselte[[#This Row],[Código]],Projeção[#All],15,FALSE)</f>
        <v>2.5</v>
      </c>
      <c r="R28" s="39">
        <f>VLOOKUP(Esselte[[#This Row],[Código]],Projeção[#All],14,FALSE)</f>
        <v>4.6333333333333329</v>
      </c>
      <c r="S28" s="39">
        <f>IFERROR(VLOOKUP(Esselte[[#This Row],[Código]],Venda_mes[],2,FALSE),0)</f>
        <v>0</v>
      </c>
      <c r="T28" s="44">
        <f>IFERROR(Esselte[[#This Row],[V. No mes]]/Esselte[[#This Row],[Proj. de V. No mes]],"")</f>
        <v>0</v>
      </c>
      <c r="U28" s="43">
        <f>VLOOKUP(Esselte[[#This Row],[Código]],Projeção[#All],14,FALSE)+VLOOKUP(Esselte[[#This Row],[Código]],Projeção[#All],13,FALSE)+VLOOKUP(Esselte[[#This Row],[Código]],Projeção[#All],12,FALSE)</f>
        <v>17.599999999999998</v>
      </c>
      <c r="V28" s="39">
        <f>IFERROR(VLOOKUP(Esselte[[#This Row],[Código]],Venda_3meses[],2,FALSE),0)</f>
        <v>0</v>
      </c>
      <c r="W28" s="44">
        <f>IFERROR(Esselte[[#This Row],[V. 3 meses]]/Esselte[[#This Row],[Proj. de V. 3 meses]],"")</f>
        <v>0</v>
      </c>
      <c r="X2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32.93333333333333</v>
      </c>
      <c r="Y28" s="39">
        <f>IFERROR(VLOOKUP(Esselte[[#This Row],[Código]],Venda_12meses[],2,FALSE),0)</f>
        <v>75</v>
      </c>
      <c r="Z28" s="44">
        <f>IFERROR(Esselte[[#This Row],[V. 12 meses]]/Esselte[[#This Row],[Proj. de V. 12 meses]],"")</f>
        <v>2.2773279352226723</v>
      </c>
      <c r="AA28" s="22"/>
    </row>
    <row r="29" spans="1:27" x14ac:dyDescent="0.25">
      <c r="A29" s="22" t="str">
        <f>VLOOKUP(Esselte[[#This Row],[Código]],BD_Produto[#All],7,FALSE)</f>
        <v>Fora de Linha</v>
      </c>
      <c r="B2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29" s="23">
        <v>33063063492</v>
      </c>
      <c r="D29" s="22" t="s">
        <v>1111</v>
      </c>
      <c r="E29" s="22" t="str">
        <f>VLOOKUP(Esselte[[#This Row],[Código]],BD_Produto[],3,FALSE)</f>
        <v>Pasta com Elástico</v>
      </c>
      <c r="F29" s="22" t="str">
        <f>VLOOKUP(Esselte[[#This Row],[Código]],BD_Produto[],4,FALSE)</f>
        <v>Pasta com Elástico</v>
      </c>
      <c r="G29" s="24">
        <v>10</v>
      </c>
      <c r="H29" s="25"/>
      <c r="I29" s="22"/>
      <c r="J29" s="24"/>
      <c r="K29" s="24" t="str">
        <f>IFERROR(VLOOKUP(Esselte[[#This Row],[Código]],Importação!P:R,3,FALSE),"")</f>
        <v/>
      </c>
      <c r="L29" s="24">
        <f>IFERROR(VLOOKUP(Esselte[[#This Row],[Código]],Saldo[],3,FALSE),0)</f>
        <v>1064</v>
      </c>
      <c r="M29" s="24">
        <f>SUM(Esselte[[#This Row],[Produção]:[Estoque]])</f>
        <v>1064</v>
      </c>
      <c r="N29" s="24">
        <f>IFERROR(Esselte[[#This Row],[Estoque+Importação]]/Esselte[[#This Row],[Proj. de V. No prox. mes]],"Sem Projeção")</f>
        <v>78.044009779951111</v>
      </c>
      <c r="O29" s="24" t="str">
        <f>IF(OR(Esselte[[#This Row],[Status]]="Em Linha",Esselte[[#This Row],[Status]]="Componente",Esselte[[#This Row],[Status]]="Materia Prima"),Esselte[[#This Row],[Proj. de V. No prox. mes]]*10,"-")</f>
        <v>-</v>
      </c>
      <c r="P2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9" s="75">
        <f>VLOOKUP(Esselte[[#This Row],[Código]],Projeção[#All],15,FALSE)</f>
        <v>13.633333333333331</v>
      </c>
      <c r="R29" s="39">
        <f>VLOOKUP(Esselte[[#This Row],[Código]],Projeção[#All],14,FALSE)</f>
        <v>6.333333333333333</v>
      </c>
      <c r="S29" s="39">
        <f>IFERROR(VLOOKUP(Esselte[[#This Row],[Código]],Venda_mes[],2,FALSE),0)</f>
        <v>0</v>
      </c>
      <c r="T29" s="44">
        <f>IFERROR(Esselte[[#This Row],[V. No mes]]/Esselte[[#This Row],[Proj. de V. No mes]],"")</f>
        <v>0</v>
      </c>
      <c r="U29" s="43">
        <f>VLOOKUP(Esselte[[#This Row],[Código]],Projeção[#All],14,FALSE)+VLOOKUP(Esselte[[#This Row],[Código]],Projeção[#All],13,FALSE)+VLOOKUP(Esselte[[#This Row],[Código]],Projeção[#All],12,FALSE)</f>
        <v>7.333333333333333</v>
      </c>
      <c r="V29" s="39">
        <f>IFERROR(VLOOKUP(Esselte[[#This Row],[Código]],Venda_3meses[],2,FALSE),0)</f>
        <v>0</v>
      </c>
      <c r="W29" s="44">
        <f>IFERROR(Esselte[[#This Row],[V. 3 meses]]/Esselte[[#This Row],[Proj. de V. 3 meses]],"")</f>
        <v>0</v>
      </c>
      <c r="X2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26.333333333333332</v>
      </c>
      <c r="Y29" s="39">
        <f>IFERROR(VLOOKUP(Esselte[[#This Row],[Código]],Venda_12meses[],2,FALSE),0)</f>
        <v>313</v>
      </c>
      <c r="Z29" s="44">
        <f>IFERROR(Esselte[[#This Row],[V. 12 meses]]/Esselte[[#This Row],[Proj. de V. 12 meses]],"")</f>
        <v>11.88607594936709</v>
      </c>
      <c r="AA29" s="22"/>
    </row>
    <row r="30" spans="1:27" x14ac:dyDescent="0.25">
      <c r="A30" s="22" t="str">
        <f>VLOOKUP(Esselte[[#This Row],[Código]],BD_Produto[#All],7,FALSE)</f>
        <v>Fora de Linha</v>
      </c>
      <c r="B3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0" s="23">
        <v>33063063497</v>
      </c>
      <c r="D30" s="22" t="s">
        <v>1031</v>
      </c>
      <c r="E30" s="22" t="str">
        <f>VLOOKUP(Esselte[[#This Row],[Código]],BD_Produto[],3,FALSE)</f>
        <v>Pasta Sanfonada</v>
      </c>
      <c r="F30" s="22" t="str">
        <f>VLOOKUP(Esselte[[#This Row],[Código]],BD_Produto[],4,FALSE)</f>
        <v>Pasta Sanfonada</v>
      </c>
      <c r="G30" s="24">
        <v>5</v>
      </c>
      <c r="H30" s="25"/>
      <c r="I30" s="22"/>
      <c r="J30" s="24"/>
      <c r="K30" s="24" t="str">
        <f>IFERROR(VLOOKUP(Esselte[[#This Row],[Código]],Importação!P:R,3,FALSE),"")</f>
        <v/>
      </c>
      <c r="L30" s="24">
        <f>IFERROR(VLOOKUP(Esselte[[#This Row],[Código]],Saldo[],3,FALSE),0)</f>
        <v>249</v>
      </c>
      <c r="M30" s="24">
        <f>SUM(Esselte[[#This Row],[Produção]:[Estoque]])</f>
        <v>249</v>
      </c>
      <c r="N30" s="24">
        <f>IFERROR(Esselte[[#This Row],[Estoque+Importação]]/Esselte[[#This Row],[Proj. de V. No prox. mes]],"Sem Projeção")</f>
        <v>149.4</v>
      </c>
      <c r="O30" s="24" t="str">
        <f>IF(OR(Esselte[[#This Row],[Status]]="Em Linha",Esselte[[#This Row],[Status]]="Componente",Esselte[[#This Row],[Status]]="Materia Prima"),Esselte[[#This Row],[Proj. de V. No prox. mes]]*10,"-")</f>
        <v>-</v>
      </c>
      <c r="P3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0" s="75">
        <f>VLOOKUP(Esselte[[#This Row],[Código]],Projeção[#All],15,FALSE)</f>
        <v>1.6666666666666667</v>
      </c>
      <c r="R30" s="39">
        <f>VLOOKUP(Esselte[[#This Row],[Código]],Projeção[#All],14,FALSE)</f>
        <v>2.6666666666666665</v>
      </c>
      <c r="S30" s="39">
        <f>IFERROR(VLOOKUP(Esselte[[#This Row],[Código]],Venda_mes[],2,FALSE),0)</f>
        <v>0</v>
      </c>
      <c r="T30" s="44">
        <f>IFERROR(Esselte[[#This Row],[V. No mes]]/Esselte[[#This Row],[Proj. de V. No mes]],"")</f>
        <v>0</v>
      </c>
      <c r="U30" s="43">
        <f>VLOOKUP(Esselte[[#This Row],[Código]],Projeção[#All],14,FALSE)+VLOOKUP(Esselte[[#This Row],[Código]],Projeção[#All],13,FALSE)+VLOOKUP(Esselte[[#This Row],[Código]],Projeção[#All],12,FALSE)</f>
        <v>3.3333333333333335</v>
      </c>
      <c r="V30" s="39">
        <f>IFERROR(VLOOKUP(Esselte[[#This Row],[Código]],Venda_3meses[],2,FALSE),0)</f>
        <v>0</v>
      </c>
      <c r="W30" s="44">
        <f>IFERROR(Esselte[[#This Row],[V. 3 meses]]/Esselte[[#This Row],[Proj. de V. 3 meses]],"")</f>
        <v>0</v>
      </c>
      <c r="X3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15.16666666666667</v>
      </c>
      <c r="Y30" s="39">
        <f>IFERROR(VLOOKUP(Esselte[[#This Row],[Código]],Venda_12meses[],2,FALSE),0)</f>
        <v>50</v>
      </c>
      <c r="Z30" s="44">
        <f>IFERROR(Esselte[[#This Row],[V. 12 meses]]/Esselte[[#This Row],[Proj. de V. 12 meses]],"")</f>
        <v>3.2967032967032961</v>
      </c>
      <c r="AA30" s="22"/>
    </row>
    <row r="31" spans="1:27" x14ac:dyDescent="0.25">
      <c r="A31" s="22" t="str">
        <f>VLOOKUP(Esselte[[#This Row],[Código]],BD_Produto[#All],7,FALSE)</f>
        <v>Fora de Linha</v>
      </c>
      <c r="B3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1" s="23">
        <v>33063063519</v>
      </c>
      <c r="D31" s="22" t="s">
        <v>1180</v>
      </c>
      <c r="E31" s="22" t="str">
        <f>VLOOKUP(Esselte[[#This Row],[Código]],BD_Produto[],3,FALSE)</f>
        <v>Pasta Box</v>
      </c>
      <c r="F31" s="22" t="str">
        <f>VLOOKUP(Esselte[[#This Row],[Código]],BD_Produto[],4,FALSE)</f>
        <v>Pasta Box</v>
      </c>
      <c r="G31" s="24">
        <v>5</v>
      </c>
      <c r="H31" s="25"/>
      <c r="I31" s="22"/>
      <c r="J31" s="24"/>
      <c r="K31" s="24" t="str">
        <f>IFERROR(VLOOKUP(Esselte[[#This Row],[Código]],Importação!P:R,3,FALSE),"")</f>
        <v/>
      </c>
      <c r="L31" s="24">
        <f>IFERROR(VLOOKUP(Esselte[[#This Row],[Código]],Saldo[],3,FALSE),0)</f>
        <v>78</v>
      </c>
      <c r="M31" s="24">
        <f>SUM(Esselte[[#This Row],[Produção]:[Estoque]])</f>
        <v>78</v>
      </c>
      <c r="N31" s="24">
        <f>IFERROR(Esselte[[#This Row],[Estoque+Importação]]/Esselte[[#This Row],[Proj. de V. No prox. mes]],"Sem Projeção")</f>
        <v>156</v>
      </c>
      <c r="O31" s="24" t="str">
        <f>IF(OR(Esselte[[#This Row],[Status]]="Em Linha",Esselte[[#This Row],[Status]]="Componente",Esselte[[#This Row],[Status]]="Materia Prima"),Esselte[[#This Row],[Proj. de V. No prox. mes]]*10,"-")</f>
        <v>-</v>
      </c>
      <c r="P3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1" s="75">
        <f>VLOOKUP(Esselte[[#This Row],[Código]],Projeção[#All],15,FALSE)</f>
        <v>0.5</v>
      </c>
      <c r="R31" s="39">
        <f>VLOOKUP(Esselte[[#This Row],[Código]],Projeção[#All],14,FALSE)</f>
        <v>4.0999999999999996</v>
      </c>
      <c r="S31" s="39">
        <f>IFERROR(VLOOKUP(Esselte[[#This Row],[Código]],Venda_mes[],2,FALSE),0)</f>
        <v>0</v>
      </c>
      <c r="T31" s="44">
        <f>IFERROR(Esselte[[#This Row],[V. No mes]]/Esselte[[#This Row],[Proj. de V. No mes]],"")</f>
        <v>0</v>
      </c>
      <c r="U31" s="43">
        <f>VLOOKUP(Esselte[[#This Row],[Código]],Projeção[#All],14,FALSE)+VLOOKUP(Esselte[[#This Row],[Código]],Projeção[#All],13,FALSE)+VLOOKUP(Esselte[[#This Row],[Código]],Projeção[#All],12,FALSE)</f>
        <v>5.833333333333333</v>
      </c>
      <c r="V31" s="39">
        <f>IFERROR(VLOOKUP(Esselte[[#This Row],[Código]],Venda_3meses[],2,FALSE),0)</f>
        <v>0</v>
      </c>
      <c r="W31" s="44">
        <f>IFERROR(Esselte[[#This Row],[V. 3 meses]]/Esselte[[#This Row],[Proj. de V. 3 meses]],"")</f>
        <v>0</v>
      </c>
      <c r="X3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19.866666666666667</v>
      </c>
      <c r="Y31" s="39">
        <f>IFERROR(VLOOKUP(Esselte[[#This Row],[Código]],Venda_12meses[],2,FALSE),0)</f>
        <v>15</v>
      </c>
      <c r="Z31" s="44">
        <f>IFERROR(Esselte[[#This Row],[V. 12 meses]]/Esselte[[#This Row],[Proj. de V. 12 meses]],"")</f>
        <v>0.75503355704697983</v>
      </c>
      <c r="AA31" s="22"/>
    </row>
    <row r="32" spans="1:27" x14ac:dyDescent="0.25">
      <c r="A32" s="22" t="str">
        <f>VLOOKUP(Esselte[[#This Row],[Código]],BD_Produto[#All],7,FALSE)</f>
        <v>Fora de Linha</v>
      </c>
      <c r="B3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2" s="23">
        <v>33063263357</v>
      </c>
      <c r="D32" s="22" t="s">
        <v>966</v>
      </c>
      <c r="E32" s="22" t="str">
        <f>VLOOKUP(Esselte[[#This Row],[Código]],BD_Produto[],3,FALSE)</f>
        <v>Pasta Suspensa</v>
      </c>
      <c r="F32" s="22" t="str">
        <f>VLOOKUP(Esselte[[#This Row],[Código]],BD_Produto[],4,FALSE)</f>
        <v>Pasta Suspensa</v>
      </c>
      <c r="G32" s="24">
        <v>1</v>
      </c>
      <c r="H32" s="25"/>
      <c r="I32" s="22"/>
      <c r="J32" s="24"/>
      <c r="K32" s="24" t="str">
        <f>IFERROR(VLOOKUP(Esselte[[#This Row],[Código]],Importação!P:R,3,FALSE),"")</f>
        <v/>
      </c>
      <c r="L32" s="24">
        <f>IFERROR(VLOOKUP(Esselte[[#This Row],[Código]],Saldo[],3,FALSE),0)</f>
        <v>68</v>
      </c>
      <c r="M32" s="24">
        <f>SUM(Esselte[[#This Row],[Produção]:[Estoque]])</f>
        <v>68</v>
      </c>
      <c r="N32" s="24" t="str">
        <f>IFERROR(Esselte[[#This Row],[Estoque+Importação]]/Esselte[[#This Row],[Proj. de V. No prox. mes]],"Sem Projeção")</f>
        <v>Sem Projeção</v>
      </c>
      <c r="O32" s="24" t="str">
        <f>IF(OR(Esselte[[#This Row],[Status]]="Em Linha",Esselte[[#This Row],[Status]]="Componente",Esselte[[#This Row],[Status]]="Materia Prima"),Esselte[[#This Row],[Proj. de V. No prox. mes]]*10,"-")</f>
        <v>-</v>
      </c>
      <c r="P3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2" s="75">
        <f>VLOOKUP(Esselte[[#This Row],[Código]],Projeção[#All],15,FALSE)</f>
        <v>0</v>
      </c>
      <c r="R32" s="39">
        <f>VLOOKUP(Esselte[[#This Row],[Código]],Projeção[#All],14,FALSE)</f>
        <v>7.8</v>
      </c>
      <c r="S32" s="39">
        <f>IFERROR(VLOOKUP(Esselte[[#This Row],[Código]],Venda_mes[],2,FALSE),0)</f>
        <v>0</v>
      </c>
      <c r="T32" s="44">
        <f>IFERROR(Esselte[[#This Row],[V. No mes]]/Esselte[[#This Row],[Proj. de V. No mes]],"")</f>
        <v>0</v>
      </c>
      <c r="U32" s="43">
        <f>VLOOKUP(Esselte[[#This Row],[Código]],Projeção[#All],14,FALSE)+VLOOKUP(Esselte[[#This Row],[Código]],Projeção[#All],13,FALSE)+VLOOKUP(Esselte[[#This Row],[Código]],Projeção[#All],12,FALSE)</f>
        <v>18.433333333333334</v>
      </c>
      <c r="V32" s="39">
        <f>IFERROR(VLOOKUP(Esselte[[#This Row],[Código]],Venda_3meses[],2,FALSE),0)</f>
        <v>0</v>
      </c>
      <c r="W32" s="44">
        <f>IFERROR(Esselte[[#This Row],[V. 3 meses]]/Esselte[[#This Row],[Proj. de V. 3 meses]],"")</f>
        <v>0</v>
      </c>
      <c r="X3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78.433333333333337</v>
      </c>
      <c r="Y32" s="39">
        <f>IFERROR(VLOOKUP(Esselte[[#This Row],[Código]],Venda_12meses[],2,FALSE),0)</f>
        <v>0</v>
      </c>
      <c r="Z32" s="44">
        <f>IFERROR(Esselte[[#This Row],[V. 12 meses]]/Esselte[[#This Row],[Proj. de V. 12 meses]],"")</f>
        <v>0</v>
      </c>
      <c r="AA32" s="22"/>
    </row>
    <row r="33" spans="1:27" x14ac:dyDescent="0.25">
      <c r="A33" s="22" t="str">
        <f>VLOOKUP(Esselte[[#This Row],[Código]],BD_Produto[#All],7,FALSE)</f>
        <v>Fora de Linha</v>
      </c>
      <c r="B3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3" s="23">
        <v>33063063494</v>
      </c>
      <c r="D33" s="22" t="s">
        <v>1014</v>
      </c>
      <c r="E33" s="22" t="str">
        <f>VLOOKUP(Esselte[[#This Row],[Código]],BD_Produto[],3,FALSE)</f>
        <v>Pasta Sanfonada</v>
      </c>
      <c r="F33" s="22" t="str">
        <f>VLOOKUP(Esselte[[#This Row],[Código]],BD_Produto[],4,FALSE)</f>
        <v>Pasta Sanfonada</v>
      </c>
      <c r="G33" s="24">
        <v>5</v>
      </c>
      <c r="H33" s="25"/>
      <c r="I33" s="22"/>
      <c r="J33" s="24"/>
      <c r="K33" s="24" t="str">
        <f>IFERROR(VLOOKUP(Esselte[[#This Row],[Código]],Importação!P:R,3,FALSE),"")</f>
        <v/>
      </c>
      <c r="L33" s="24">
        <f>IFERROR(VLOOKUP(Esselte[[#This Row],[Código]],Saldo[],3,FALSE),0)</f>
        <v>295</v>
      </c>
      <c r="M33" s="24">
        <f>SUM(Esselte[[#This Row],[Produção]:[Estoque]])</f>
        <v>295</v>
      </c>
      <c r="N33" s="24">
        <f>IFERROR(Esselte[[#This Row],[Estoque+Importação]]/Esselte[[#This Row],[Proj. de V. No prox. mes]],"Sem Projeção")</f>
        <v>166.98113207547169</v>
      </c>
      <c r="O33" s="24" t="str">
        <f>IF(OR(Esselte[[#This Row],[Status]]="Em Linha",Esselte[[#This Row],[Status]]="Componente",Esselte[[#This Row],[Status]]="Materia Prima"),Esselte[[#This Row],[Proj. de V. No prox. mes]]*10,"-")</f>
        <v>-</v>
      </c>
      <c r="P3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3" s="75">
        <f>VLOOKUP(Esselte[[#This Row],[Código]],Projeção[#All],15,FALSE)</f>
        <v>1.7666666666666668</v>
      </c>
      <c r="R33" s="39">
        <f>VLOOKUP(Esselte[[#This Row],[Código]],Projeção[#All],14,FALSE)</f>
        <v>3.6333333333333324</v>
      </c>
      <c r="S33" s="39">
        <f>IFERROR(VLOOKUP(Esselte[[#This Row],[Código]],Venda_mes[],2,FALSE),0)</f>
        <v>0</v>
      </c>
      <c r="T33" s="44">
        <f>IFERROR(Esselte[[#This Row],[V. No mes]]/Esselte[[#This Row],[Proj. de V. No mes]],"")</f>
        <v>0</v>
      </c>
      <c r="U33" s="43">
        <f>VLOOKUP(Esselte[[#This Row],[Código]],Projeção[#All],14,FALSE)+VLOOKUP(Esselte[[#This Row],[Código]],Projeção[#All],13,FALSE)+VLOOKUP(Esselte[[#This Row],[Código]],Projeção[#All],12,FALSE)</f>
        <v>5.6999999999999984</v>
      </c>
      <c r="V33" s="39">
        <f>IFERROR(VLOOKUP(Esselte[[#This Row],[Código]],Venda_3meses[],2,FALSE),0)</f>
        <v>0</v>
      </c>
      <c r="W33" s="44">
        <f>IFERROR(Esselte[[#This Row],[V. 3 meses]]/Esselte[[#This Row],[Proj. de V. 3 meses]],"")</f>
        <v>0</v>
      </c>
      <c r="X3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12.833333333333329</v>
      </c>
      <c r="Y33" s="39">
        <f>IFERROR(VLOOKUP(Esselte[[#This Row],[Código]],Venda_12meses[],2,FALSE),0)</f>
        <v>53</v>
      </c>
      <c r="Z33" s="44">
        <f>IFERROR(Esselte[[#This Row],[V. 12 meses]]/Esselte[[#This Row],[Proj. de V. 12 meses]],"")</f>
        <v>4.129870129870131</v>
      </c>
      <c r="AA33" s="22"/>
    </row>
    <row r="34" spans="1:27" x14ac:dyDescent="0.25">
      <c r="A34" s="22" t="str">
        <f>VLOOKUP(Esselte[[#This Row],[Código]],BD_Produto[#All],7,FALSE)</f>
        <v>Fora de Linha</v>
      </c>
      <c r="B3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4" s="23">
        <v>33063063496</v>
      </c>
      <c r="D34" s="22" t="s">
        <v>993</v>
      </c>
      <c r="E34" s="22" t="str">
        <f>VLOOKUP(Esselte[[#This Row],[Código]],BD_Produto[],3,FALSE)</f>
        <v>Pasta Sanfonada</v>
      </c>
      <c r="F34" s="22" t="str">
        <f>VLOOKUP(Esselte[[#This Row],[Código]],BD_Produto[],4,FALSE)</f>
        <v>Pasta Sanfonada</v>
      </c>
      <c r="G34" s="24">
        <v>5</v>
      </c>
      <c r="H34" s="25"/>
      <c r="I34" s="22"/>
      <c r="J34" s="24"/>
      <c r="K34" s="24" t="str">
        <f>IFERROR(VLOOKUP(Esselte[[#This Row],[Código]],Importação!P:R,3,FALSE),"")</f>
        <v/>
      </c>
      <c r="L34" s="24">
        <f>IFERROR(VLOOKUP(Esselte[[#This Row],[Código]],Saldo[],3,FALSE),0)</f>
        <v>284</v>
      </c>
      <c r="M34" s="24">
        <f>SUM(Esselte[[#This Row],[Produção]:[Estoque]])</f>
        <v>284</v>
      </c>
      <c r="N34" s="24">
        <f>IFERROR(Esselte[[#This Row],[Estoque+Importação]]/Esselte[[#This Row],[Proj. de V. No prox. mes]],"Sem Projeção")</f>
        <v>71</v>
      </c>
      <c r="O34" s="24" t="str">
        <f>IF(OR(Esselte[[#This Row],[Status]]="Em Linha",Esselte[[#This Row],[Status]]="Componente",Esselte[[#This Row],[Status]]="Materia Prima"),Esselte[[#This Row],[Proj. de V. No prox. mes]]*10,"-")</f>
        <v>-</v>
      </c>
      <c r="P3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4" s="75">
        <f>VLOOKUP(Esselte[[#This Row],[Código]],Projeção[#All],15,FALSE)</f>
        <v>4</v>
      </c>
      <c r="R34" s="39">
        <f>VLOOKUP(Esselte[[#This Row],[Código]],Projeção[#All],14,FALSE)</f>
        <v>2.5666666666666664</v>
      </c>
      <c r="S34" s="39">
        <f>IFERROR(VLOOKUP(Esselte[[#This Row],[Código]],Venda_mes[],2,FALSE),0)</f>
        <v>10</v>
      </c>
      <c r="T34" s="44">
        <f>IFERROR(Esselte[[#This Row],[V. No mes]]/Esselte[[#This Row],[Proj. de V. No mes]],"")</f>
        <v>3.8961038961038965</v>
      </c>
      <c r="U34" s="43">
        <f>VLOOKUP(Esselte[[#This Row],[Código]],Projeção[#All],14,FALSE)+VLOOKUP(Esselte[[#This Row],[Código]],Projeção[#All],13,FALSE)+VLOOKUP(Esselte[[#This Row],[Código]],Projeção[#All],12,FALSE)</f>
        <v>3.0333333333333332</v>
      </c>
      <c r="V34" s="39">
        <f>IFERROR(VLOOKUP(Esselte[[#This Row],[Código]],Venda_3meses[],2,FALSE),0)</f>
        <v>10</v>
      </c>
      <c r="W34" s="44">
        <f>IFERROR(Esselte[[#This Row],[V. 3 meses]]/Esselte[[#This Row],[Proj. de V. 3 meses]],"")</f>
        <v>3.296703296703297</v>
      </c>
      <c r="X3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11.900000000000002</v>
      </c>
      <c r="Y34" s="39">
        <f>IFERROR(VLOOKUP(Esselte[[#This Row],[Código]],Venda_12meses[],2,FALSE),0)</f>
        <v>60</v>
      </c>
      <c r="Z34" s="44">
        <f>IFERROR(Esselte[[#This Row],[V. 12 meses]]/Esselte[[#This Row],[Proj. de V. 12 meses]],"")</f>
        <v>5.042016806722688</v>
      </c>
      <c r="AA34" s="22"/>
    </row>
    <row r="35" spans="1:27" x14ac:dyDescent="0.25">
      <c r="A35" s="22" t="str">
        <f>VLOOKUP(Esselte[[#This Row],[Código]],BD_Produto[#All],7,FALSE)</f>
        <v>Fora de Linha</v>
      </c>
      <c r="B3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5" s="23">
        <v>33063063521</v>
      </c>
      <c r="D35" s="22" t="s">
        <v>1144</v>
      </c>
      <c r="E35" s="22" t="str">
        <f>VLOOKUP(Esselte[[#This Row],[Código]],BD_Produto[],3,FALSE)</f>
        <v>Pasta Box</v>
      </c>
      <c r="F35" s="22" t="str">
        <f>VLOOKUP(Esselte[[#This Row],[Código]],BD_Produto[],4,FALSE)</f>
        <v>Pasta Box</v>
      </c>
      <c r="G35" s="24">
        <v>5</v>
      </c>
      <c r="H35" s="25"/>
      <c r="I35" s="22"/>
      <c r="J35" s="24"/>
      <c r="K35" s="24" t="str">
        <f>IFERROR(VLOOKUP(Esselte[[#This Row],[Código]],Importação!P:R,3,FALSE),"")</f>
        <v/>
      </c>
      <c r="L35" s="24">
        <f>IFERROR(VLOOKUP(Esselte[[#This Row],[Código]],Saldo[],3,FALSE),0)</f>
        <v>154</v>
      </c>
      <c r="M35" s="24">
        <f>SUM(Esselte[[#This Row],[Produção]:[Estoque]])</f>
        <v>154</v>
      </c>
      <c r="N35" s="24">
        <f>IFERROR(Esselte[[#This Row],[Estoque+Importação]]/Esselte[[#This Row],[Proj. de V. No prox. mes]],"Sem Projeção")</f>
        <v>81.05263157894737</v>
      </c>
      <c r="O35" s="24" t="str">
        <f>IF(OR(Esselte[[#This Row],[Status]]="Em Linha",Esselte[[#This Row],[Status]]="Componente",Esselte[[#This Row],[Status]]="Materia Prima"),Esselte[[#This Row],[Proj. de V. No prox. mes]]*10,"-")</f>
        <v>-</v>
      </c>
      <c r="P3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5" s="75">
        <f>VLOOKUP(Esselte[[#This Row],[Código]],Projeção[#All],15,FALSE)</f>
        <v>1.9</v>
      </c>
      <c r="R35" s="39">
        <f>VLOOKUP(Esselte[[#This Row],[Código]],Projeção[#All],14,FALSE)</f>
        <v>5.9</v>
      </c>
      <c r="S35" s="39">
        <f>IFERROR(VLOOKUP(Esselte[[#This Row],[Código]],Venda_mes[],2,FALSE),0)</f>
        <v>0</v>
      </c>
      <c r="T35" s="44">
        <f>IFERROR(Esselte[[#This Row],[V. No mes]]/Esselte[[#This Row],[Proj. de V. No mes]],"")</f>
        <v>0</v>
      </c>
      <c r="U35" s="43">
        <f>VLOOKUP(Esselte[[#This Row],[Código]],Projeção[#All],14,FALSE)+VLOOKUP(Esselte[[#This Row],[Código]],Projeção[#All],13,FALSE)+VLOOKUP(Esselte[[#This Row],[Código]],Projeção[#All],12,FALSE)</f>
        <v>10.766666666666667</v>
      </c>
      <c r="V35" s="39">
        <f>IFERROR(VLOOKUP(Esselte[[#This Row],[Código]],Venda_3meses[],2,FALSE),0)</f>
        <v>6</v>
      </c>
      <c r="W35" s="44">
        <f>IFERROR(Esselte[[#This Row],[V. 3 meses]]/Esselte[[#This Row],[Proj. de V. 3 meses]],"")</f>
        <v>0.55727554179566563</v>
      </c>
      <c r="X3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89.133333333333326</v>
      </c>
      <c r="Y35" s="39">
        <f>IFERROR(VLOOKUP(Esselte[[#This Row],[Código]],Venda_12meses[],2,FALSE),0)</f>
        <v>21</v>
      </c>
      <c r="Z35" s="44">
        <f>IFERROR(Esselte[[#This Row],[V. 12 meses]]/Esselte[[#This Row],[Proj. de V. 12 meses]],"")</f>
        <v>0.23560209424083772</v>
      </c>
      <c r="AA35" s="22"/>
    </row>
    <row r="36" spans="1:27" x14ac:dyDescent="0.25">
      <c r="A36" s="22" t="str">
        <f>VLOOKUP(Esselte[[#This Row],[Código]],BD_Produto[#All],7,FALSE)</f>
        <v>Fora de Linha</v>
      </c>
      <c r="B3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6" s="23">
        <v>33063063510</v>
      </c>
      <c r="D36" s="22" t="s">
        <v>1166</v>
      </c>
      <c r="E36" s="22" t="str">
        <f>VLOOKUP(Esselte[[#This Row],[Código]],BD_Produto[],3,FALSE)</f>
        <v>Pasta Catálogo</v>
      </c>
      <c r="F36" s="22" t="str">
        <f>VLOOKUP(Esselte[[#This Row],[Código]],BD_Produto[],4,FALSE)</f>
        <v>Pasta Catálogo</v>
      </c>
      <c r="G36" s="24">
        <v>10</v>
      </c>
      <c r="H36" s="25"/>
      <c r="I36" s="22"/>
      <c r="J36" s="24"/>
      <c r="K36" s="24" t="str">
        <f>IFERROR(VLOOKUP(Esselte[[#This Row],[Código]],Importação!P:R,3,FALSE),"")</f>
        <v/>
      </c>
      <c r="L36" s="24">
        <f>IFERROR(VLOOKUP(Esselte[[#This Row],[Código]],Saldo[],3,FALSE),0)</f>
        <v>1656</v>
      </c>
      <c r="M36" s="24">
        <f>SUM(Esselte[[#This Row],[Produção]:[Estoque]])</f>
        <v>1656</v>
      </c>
      <c r="N36" s="24">
        <f>IFERROR(Esselte[[#This Row],[Estoque+Importação]]/Esselte[[#This Row],[Proj. de V. No prox. mes]],"Sem Projeção")</f>
        <v>112.39819004524888</v>
      </c>
      <c r="O36" s="24" t="str">
        <f>IF(OR(Esselte[[#This Row],[Status]]="Em Linha",Esselte[[#This Row],[Status]]="Componente",Esselte[[#This Row],[Status]]="Materia Prima"),Esselte[[#This Row],[Proj. de V. No prox. mes]]*10,"-")</f>
        <v>-</v>
      </c>
      <c r="P3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6" s="75">
        <f>VLOOKUP(Esselte[[#This Row],[Código]],Projeção[#All],15,FALSE)</f>
        <v>14.733333333333331</v>
      </c>
      <c r="R36" s="39">
        <f>VLOOKUP(Esselte[[#This Row],[Código]],Projeção[#All],14,FALSE)</f>
        <v>11.533333333333333</v>
      </c>
      <c r="S36" s="39">
        <f>IFERROR(VLOOKUP(Esselte[[#This Row],[Código]],Venda_mes[],2,FALSE),0)</f>
        <v>40</v>
      </c>
      <c r="T36" s="44">
        <f>IFERROR(Esselte[[#This Row],[V. No mes]]/Esselte[[#This Row],[Proj. de V. No mes]],"")</f>
        <v>3.4682080924855492</v>
      </c>
      <c r="U36" s="43">
        <f>VLOOKUP(Esselte[[#This Row],[Código]],Projeção[#All],14,FALSE)+VLOOKUP(Esselte[[#This Row],[Código]],Projeção[#All],13,FALSE)+VLOOKUP(Esselte[[#This Row],[Código]],Projeção[#All],12,FALSE)</f>
        <v>17.366666666666664</v>
      </c>
      <c r="V36" s="39">
        <f>IFERROR(VLOOKUP(Esselte[[#This Row],[Código]],Venda_3meses[],2,FALSE),0)</f>
        <v>40</v>
      </c>
      <c r="W36" s="44">
        <f>IFERROR(Esselte[[#This Row],[V. 3 meses]]/Esselte[[#This Row],[Proj. de V. 3 meses]],"")</f>
        <v>2.3032629558541271</v>
      </c>
      <c r="X3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56.899999999999991</v>
      </c>
      <c r="Y36" s="39">
        <f>IFERROR(VLOOKUP(Esselte[[#This Row],[Código]],Venda_12meses[],2,FALSE),0)</f>
        <v>202</v>
      </c>
      <c r="Z36" s="44">
        <f>IFERROR(Esselte[[#This Row],[V. 12 meses]]/Esselte[[#This Row],[Proj. de V. 12 meses]],"")</f>
        <v>3.550087873462215</v>
      </c>
      <c r="AA36" s="22"/>
    </row>
    <row r="37" spans="1:27" x14ac:dyDescent="0.25">
      <c r="A37" s="22" t="str">
        <f>VLOOKUP(Esselte[[#This Row],[Código]],BD_Produto[#All],7,FALSE)</f>
        <v>Fora de Linha</v>
      </c>
      <c r="B3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7" s="23">
        <v>33063063508</v>
      </c>
      <c r="D37" s="22" t="s">
        <v>1193</v>
      </c>
      <c r="E37" s="22" t="str">
        <f>VLOOKUP(Esselte[[#This Row],[Código]],BD_Produto[],3,FALSE)</f>
        <v>Pasta Catálogo</v>
      </c>
      <c r="F37" s="22" t="str">
        <f>VLOOKUP(Esselte[[#This Row],[Código]],BD_Produto[],4,FALSE)</f>
        <v>Pasta Catálogo</v>
      </c>
      <c r="G37" s="24">
        <v>10</v>
      </c>
      <c r="H37" s="25"/>
      <c r="I37" s="22"/>
      <c r="J37" s="24"/>
      <c r="K37" s="24" t="str">
        <f>IFERROR(VLOOKUP(Esselte[[#This Row],[Código]],Importação!P:R,3,FALSE),"")</f>
        <v/>
      </c>
      <c r="L37" s="24">
        <f>IFERROR(VLOOKUP(Esselte[[#This Row],[Código]],Saldo[],3,FALSE),0)</f>
        <v>1558</v>
      </c>
      <c r="M37" s="24">
        <f>SUM(Esselte[[#This Row],[Produção]:[Estoque]])</f>
        <v>1558</v>
      </c>
      <c r="N37" s="24">
        <f>IFERROR(Esselte[[#This Row],[Estoque+Importação]]/Esselte[[#This Row],[Proj. de V. No prox. mes]],"Sem Projeção")</f>
        <v>130.1949860724234</v>
      </c>
      <c r="O37" s="24" t="str">
        <f>IF(OR(Esselte[[#This Row],[Status]]="Em Linha",Esselte[[#This Row],[Status]]="Componente",Esselte[[#This Row],[Status]]="Materia Prima"),Esselte[[#This Row],[Proj. de V. No prox. mes]]*10,"-")</f>
        <v>-</v>
      </c>
      <c r="P3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7" s="75">
        <f>VLOOKUP(Esselte[[#This Row],[Código]],Projeção[#All],15,FALSE)</f>
        <v>11.966666666666665</v>
      </c>
      <c r="R37" s="39">
        <f>VLOOKUP(Esselte[[#This Row],[Código]],Projeção[#All],14,FALSE)</f>
        <v>11.333333333333334</v>
      </c>
      <c r="S37" s="39">
        <f>IFERROR(VLOOKUP(Esselte[[#This Row],[Código]],Venda_mes[],2,FALSE),0)</f>
        <v>10</v>
      </c>
      <c r="T37" s="44">
        <f>IFERROR(Esselte[[#This Row],[V. No mes]]/Esselte[[#This Row],[Proj. de V. No mes]],"")</f>
        <v>0.88235294117647056</v>
      </c>
      <c r="U37" s="43">
        <f>VLOOKUP(Esselte[[#This Row],[Código]],Projeção[#All],14,FALSE)+VLOOKUP(Esselte[[#This Row],[Código]],Projeção[#All],13,FALSE)+VLOOKUP(Esselte[[#This Row],[Código]],Projeção[#All],12,FALSE)</f>
        <v>16.200000000000003</v>
      </c>
      <c r="V37" s="39">
        <f>IFERROR(VLOOKUP(Esselte[[#This Row],[Código]],Venda_3meses[],2,FALSE),0)</f>
        <v>11</v>
      </c>
      <c r="W37" s="44">
        <f>IFERROR(Esselte[[#This Row],[V. 3 meses]]/Esselte[[#This Row],[Proj. de V. 3 meses]],"")</f>
        <v>0.67901234567901225</v>
      </c>
      <c r="X3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49.800000000000011</v>
      </c>
      <c r="Y37" s="39">
        <f>IFERROR(VLOOKUP(Esselte[[#This Row],[Código]],Venda_12meses[],2,FALSE),0)</f>
        <v>213</v>
      </c>
      <c r="Z37" s="44">
        <f>IFERROR(Esselte[[#This Row],[V. 12 meses]]/Esselte[[#This Row],[Proj. de V. 12 meses]],"")</f>
        <v>4.2771084337349388</v>
      </c>
      <c r="AA37" s="22"/>
    </row>
    <row r="38" spans="1:27" x14ac:dyDescent="0.25">
      <c r="A38" s="22" t="str">
        <f>VLOOKUP(Esselte[[#This Row],[Código]],BD_Produto[#All],7,FALSE)</f>
        <v>Fora de Linha</v>
      </c>
      <c r="B3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8" s="23">
        <v>33063063462</v>
      </c>
      <c r="D38" s="22" t="s">
        <v>1154</v>
      </c>
      <c r="E38" s="22" t="str">
        <f>VLOOKUP(Esselte[[#This Row],[Código]],BD_Produto[],3,FALSE)</f>
        <v>Pasta Organizadora (A/Z)</v>
      </c>
      <c r="F38" s="22" t="str">
        <f>VLOOKUP(Esselte[[#This Row],[Código]],BD_Produto[],4,FALSE)</f>
        <v>Pasta Organizadora (A/Z)</v>
      </c>
      <c r="G38" s="24">
        <v>5</v>
      </c>
      <c r="H38" s="25"/>
      <c r="I38" s="22"/>
      <c r="J38" s="24"/>
      <c r="K38" s="24" t="str">
        <f>IFERROR(VLOOKUP(Esselte[[#This Row],[Código]],Importação!P:R,3,FALSE),"")</f>
        <v/>
      </c>
      <c r="L38" s="24">
        <f>IFERROR(VLOOKUP(Esselte[[#This Row],[Código]],Saldo[],3,FALSE),0)</f>
        <v>276</v>
      </c>
      <c r="M38" s="24">
        <f>SUM(Esselte[[#This Row],[Produção]:[Estoque]])</f>
        <v>276</v>
      </c>
      <c r="N38" s="24">
        <f>IFERROR(Esselte[[#This Row],[Estoque+Importação]]/Esselte[[#This Row],[Proj. de V. No prox. mes]],"Sem Projeção")</f>
        <v>29.466192170818506</v>
      </c>
      <c r="O38" s="24" t="str">
        <f>IF(OR(Esselte[[#This Row],[Status]]="Em Linha",Esselte[[#This Row],[Status]]="Componente",Esselte[[#This Row],[Status]]="Materia Prima"),Esselte[[#This Row],[Proj. de V. No prox. mes]]*10,"-")</f>
        <v>-</v>
      </c>
      <c r="P3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8" s="75">
        <f>VLOOKUP(Esselte[[#This Row],[Código]],Projeção[#All],15,FALSE)</f>
        <v>9.3666666666666671</v>
      </c>
      <c r="R38" s="39">
        <f>VLOOKUP(Esselte[[#This Row],[Código]],Projeção[#All],14,FALSE)</f>
        <v>6.3666666666666663</v>
      </c>
      <c r="S38" s="39">
        <f>IFERROR(VLOOKUP(Esselte[[#This Row],[Código]],Venda_mes[],2,FALSE),0)</f>
        <v>0</v>
      </c>
      <c r="T38" s="44">
        <f>IFERROR(Esselte[[#This Row],[V. No mes]]/Esselte[[#This Row],[Proj. de V. No mes]],"")</f>
        <v>0</v>
      </c>
      <c r="U38" s="43">
        <f>VLOOKUP(Esselte[[#This Row],[Código]],Projeção[#All],14,FALSE)+VLOOKUP(Esselte[[#This Row],[Código]],Projeção[#All],13,FALSE)+VLOOKUP(Esselte[[#This Row],[Código]],Projeção[#All],12,FALSE)</f>
        <v>7.4333333333333327</v>
      </c>
      <c r="V38" s="39">
        <f>IFERROR(VLOOKUP(Esselte[[#This Row],[Código]],Venda_3meses[],2,FALSE),0)</f>
        <v>31</v>
      </c>
      <c r="W38" s="44">
        <f>IFERROR(Esselte[[#This Row],[V. 3 meses]]/Esselte[[#This Row],[Proj. de V. 3 meses]],"")</f>
        <v>4.1704035874439462</v>
      </c>
      <c r="X3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27.533333333333335</v>
      </c>
      <c r="Y38" s="39">
        <f>IFERROR(VLOOKUP(Esselte[[#This Row],[Código]],Venda_12meses[],2,FALSE),0)</f>
        <v>71</v>
      </c>
      <c r="Z38" s="44">
        <f>IFERROR(Esselte[[#This Row],[V. 12 meses]]/Esselte[[#This Row],[Proj. de V. 12 meses]],"")</f>
        <v>2.5786924939467313</v>
      </c>
      <c r="AA38" s="22"/>
    </row>
    <row r="39" spans="1:27" x14ac:dyDescent="0.25">
      <c r="A39" s="22" t="str">
        <f>VLOOKUP(Esselte[[#This Row],[Código]],BD_Produto[#All],7,FALSE)</f>
        <v>Fora de Linha</v>
      </c>
      <c r="B3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39" s="23">
        <v>33063063463</v>
      </c>
      <c r="D39" s="22" t="s">
        <v>1125</v>
      </c>
      <c r="E39" s="22" t="str">
        <f>VLOOKUP(Esselte[[#This Row],[Código]],BD_Produto[],3,FALSE)</f>
        <v>Pasta Organizadora (A/Z)</v>
      </c>
      <c r="F39" s="22" t="str">
        <f>VLOOKUP(Esselte[[#This Row],[Código]],BD_Produto[],4,FALSE)</f>
        <v>Pasta Organizadora (A/Z)</v>
      </c>
      <c r="G39" s="24">
        <v>5</v>
      </c>
      <c r="H39" s="25"/>
      <c r="I39" s="22"/>
      <c r="J39" s="24"/>
      <c r="K39" s="24" t="str">
        <f>IFERROR(VLOOKUP(Esselte[[#This Row],[Código]],Importação!P:R,3,FALSE),"")</f>
        <v/>
      </c>
      <c r="L39" s="24">
        <f>IFERROR(VLOOKUP(Esselte[[#This Row],[Código]],Saldo[],3,FALSE),0)</f>
        <v>314</v>
      </c>
      <c r="M39" s="24">
        <f>SUM(Esselte[[#This Row],[Produção]:[Estoque]])</f>
        <v>314</v>
      </c>
      <c r="N39" s="24">
        <f>IFERROR(Esselte[[#This Row],[Estoque+Importação]]/Esselte[[#This Row],[Proj. de V. No prox. mes]],"Sem Projeção")</f>
        <v>89.714285714285722</v>
      </c>
      <c r="O39" s="24" t="str">
        <f>IF(OR(Esselte[[#This Row],[Status]]="Em Linha",Esselte[[#This Row],[Status]]="Componente",Esselte[[#This Row],[Status]]="Materia Prima"),Esselte[[#This Row],[Proj. de V. No prox. mes]]*10,"-")</f>
        <v>-</v>
      </c>
      <c r="P3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39" s="75">
        <f>VLOOKUP(Esselte[[#This Row],[Código]],Projeção[#All],15,FALSE)</f>
        <v>3.4999999999999996</v>
      </c>
      <c r="R39" s="39">
        <f>VLOOKUP(Esselte[[#This Row],[Código]],Projeção[#All],14,FALSE)</f>
        <v>9.1000000000000014</v>
      </c>
      <c r="S39" s="39">
        <f>IFERROR(VLOOKUP(Esselte[[#This Row],[Código]],Venda_mes[],2,FALSE),0)</f>
        <v>0</v>
      </c>
      <c r="T39" s="44">
        <f>IFERROR(Esselte[[#This Row],[V. No mes]]/Esselte[[#This Row],[Proj. de V. No mes]],"")</f>
        <v>0</v>
      </c>
      <c r="U39" s="43">
        <f>VLOOKUP(Esselte[[#This Row],[Código]],Projeção[#All],14,FALSE)+VLOOKUP(Esselte[[#This Row],[Código]],Projeção[#All],13,FALSE)+VLOOKUP(Esselte[[#This Row],[Código]],Projeção[#All],12,FALSE)</f>
        <v>13.966666666666669</v>
      </c>
      <c r="V39" s="39">
        <f>IFERROR(VLOOKUP(Esselte[[#This Row],[Código]],Venda_3meses[],2,FALSE),0)</f>
        <v>0</v>
      </c>
      <c r="W39" s="44">
        <f>IFERROR(Esselte[[#This Row],[V. 3 meses]]/Esselte[[#This Row],[Proj. de V. 3 meses]],"")</f>
        <v>0</v>
      </c>
      <c r="X3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30.599999999999998</v>
      </c>
      <c r="Y39" s="39">
        <f>IFERROR(VLOOKUP(Esselte[[#This Row],[Código]],Venda_12meses[],2,FALSE),0)</f>
        <v>57</v>
      </c>
      <c r="Z39" s="44">
        <f>IFERROR(Esselte[[#This Row],[V. 12 meses]]/Esselte[[#This Row],[Proj. de V. 12 meses]],"")</f>
        <v>1.8627450980392157</v>
      </c>
      <c r="AA39" s="22"/>
    </row>
    <row r="40" spans="1:27" x14ac:dyDescent="0.25">
      <c r="A40" s="22" t="str">
        <f>VLOOKUP(Esselte[[#This Row],[Código]],BD_Produto[#All],7,FALSE)</f>
        <v>Fora de Linha</v>
      </c>
      <c r="B4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0" s="23">
        <v>33063063509</v>
      </c>
      <c r="D40" s="22" t="s">
        <v>1070</v>
      </c>
      <c r="E40" s="22" t="str">
        <f>VLOOKUP(Esselte[[#This Row],[Código]],BD_Produto[],3,FALSE)</f>
        <v>Pasta Catálogo</v>
      </c>
      <c r="F40" s="22" t="str">
        <f>VLOOKUP(Esselte[[#This Row],[Código]],BD_Produto[],4,FALSE)</f>
        <v>Pasta Catálogo</v>
      </c>
      <c r="G40" s="24">
        <v>10</v>
      </c>
      <c r="H40" s="25"/>
      <c r="I40" s="22"/>
      <c r="J40" s="24"/>
      <c r="K40" s="24" t="str">
        <f>IFERROR(VLOOKUP(Esselte[[#This Row],[Código]],Importação!P:R,3,FALSE),"")</f>
        <v/>
      </c>
      <c r="L40" s="24">
        <f>IFERROR(VLOOKUP(Esselte[[#This Row],[Código]],Saldo[],3,FALSE),0)</f>
        <v>1721</v>
      </c>
      <c r="M40" s="24">
        <f>SUM(Esselte[[#This Row],[Produção]:[Estoque]])</f>
        <v>1721</v>
      </c>
      <c r="N40" s="24">
        <f>IFERROR(Esselte[[#This Row],[Estoque+Importação]]/Esselte[[#This Row],[Proj. de V. No prox. mes]],"Sem Projeção")</f>
        <v>118.14645308924484</v>
      </c>
      <c r="O40" s="24" t="str">
        <f>IF(OR(Esselte[[#This Row],[Status]]="Em Linha",Esselte[[#This Row],[Status]]="Componente",Esselte[[#This Row],[Status]]="Materia Prima"),Esselte[[#This Row],[Proj. de V. No prox. mes]]*10,"-")</f>
        <v>-</v>
      </c>
      <c r="P4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0" s="75">
        <f>VLOOKUP(Esselte[[#This Row],[Código]],Projeção[#All],15,FALSE)</f>
        <v>14.566666666666668</v>
      </c>
      <c r="R40" s="39">
        <f>VLOOKUP(Esselte[[#This Row],[Código]],Projeção[#All],14,FALSE)</f>
        <v>10.066666666666666</v>
      </c>
      <c r="S40" s="39">
        <f>IFERROR(VLOOKUP(Esselte[[#This Row],[Código]],Venda_mes[],2,FALSE),0)</f>
        <v>40</v>
      </c>
      <c r="T40" s="44">
        <f>IFERROR(Esselte[[#This Row],[V. No mes]]/Esselte[[#This Row],[Proj. de V. No mes]],"")</f>
        <v>3.9735099337748347</v>
      </c>
      <c r="U40" s="43">
        <f>VLOOKUP(Esselte[[#This Row],[Código]],Projeção[#All],14,FALSE)+VLOOKUP(Esselte[[#This Row],[Código]],Projeção[#All],13,FALSE)+VLOOKUP(Esselte[[#This Row],[Código]],Projeção[#All],12,FALSE)</f>
        <v>13.466666666666667</v>
      </c>
      <c r="V40" s="39">
        <f>IFERROR(VLOOKUP(Esselte[[#This Row],[Código]],Venda_3meses[],2,FALSE),0)</f>
        <v>40</v>
      </c>
      <c r="W40" s="44">
        <f>IFERROR(Esselte[[#This Row],[V. 3 meses]]/Esselte[[#This Row],[Proj. de V. 3 meses]],"")</f>
        <v>2.9702970297029703</v>
      </c>
      <c r="X4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38.566666666666663</v>
      </c>
      <c r="Y40" s="39">
        <f>IFERROR(VLOOKUP(Esselte[[#This Row],[Código]],Venda_12meses[],2,FALSE),0)</f>
        <v>197</v>
      </c>
      <c r="Z40" s="44">
        <f>IFERROR(Esselte[[#This Row],[V. 12 meses]]/Esselte[[#This Row],[Proj. de V. 12 meses]],"")</f>
        <v>5.1080380293863445</v>
      </c>
      <c r="AA40" s="22"/>
    </row>
    <row r="41" spans="1:27" x14ac:dyDescent="0.25">
      <c r="A41" s="22" t="str">
        <f>VLOOKUP(Esselte[[#This Row],[Código]],BD_Produto[#All],7,FALSE)</f>
        <v>Fora de Linha</v>
      </c>
      <c r="B4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1" s="23">
        <v>33063263360</v>
      </c>
      <c r="D41" s="22" t="s">
        <v>965</v>
      </c>
      <c r="E41" s="22" t="str">
        <f>VLOOKUP(Esselte[[#This Row],[Código]],BD_Produto[],3,FALSE)</f>
        <v>Pasta Suspensa</v>
      </c>
      <c r="F41" s="22" t="str">
        <f>VLOOKUP(Esselte[[#This Row],[Código]],BD_Produto[],4,FALSE)</f>
        <v>Pasta Suspensa</v>
      </c>
      <c r="G41" s="24">
        <v>1</v>
      </c>
      <c r="H41" s="25"/>
      <c r="I41" s="22"/>
      <c r="J41" s="24"/>
      <c r="K41" s="24" t="str">
        <f>IFERROR(VLOOKUP(Esselte[[#This Row],[Código]],Importação!P:R,3,FALSE),"")</f>
        <v/>
      </c>
      <c r="L41" s="24">
        <f>IFERROR(VLOOKUP(Esselte[[#This Row],[Código]],Saldo[],3,FALSE),0)</f>
        <v>94</v>
      </c>
      <c r="M41" s="24">
        <f>SUM(Esselte[[#This Row],[Produção]:[Estoque]])</f>
        <v>94</v>
      </c>
      <c r="N41" s="24" t="str">
        <f>IFERROR(Esselte[[#This Row],[Estoque+Importação]]/Esselte[[#This Row],[Proj. de V. No prox. mes]],"Sem Projeção")</f>
        <v>Sem Projeção</v>
      </c>
      <c r="O41" s="24" t="str">
        <f>IF(OR(Esselte[[#This Row],[Status]]="Em Linha",Esselte[[#This Row],[Status]]="Componente",Esselte[[#This Row],[Status]]="Materia Prima"),Esselte[[#This Row],[Proj. de V. No prox. mes]]*10,"-")</f>
        <v>-</v>
      </c>
      <c r="P4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1" s="75">
        <f>VLOOKUP(Esselte[[#This Row],[Código]],Projeção[#All],15,FALSE)</f>
        <v>0</v>
      </c>
      <c r="R41" s="39">
        <f>VLOOKUP(Esselte[[#This Row],[Código]],Projeção[#All],14,FALSE)</f>
        <v>5.1999999999999993</v>
      </c>
      <c r="S41" s="39">
        <f>IFERROR(VLOOKUP(Esselte[[#This Row],[Código]],Venda_mes[],2,FALSE),0)</f>
        <v>0</v>
      </c>
      <c r="T41" s="44">
        <f>IFERROR(Esselte[[#This Row],[V. No mes]]/Esselte[[#This Row],[Proj. de V. No mes]],"")</f>
        <v>0</v>
      </c>
      <c r="U41" s="43">
        <f>VLOOKUP(Esselte[[#This Row],[Código]],Projeção[#All],14,FALSE)+VLOOKUP(Esselte[[#This Row],[Código]],Projeção[#All],13,FALSE)+VLOOKUP(Esselte[[#This Row],[Código]],Projeção[#All],12,FALSE)</f>
        <v>12.333333333333332</v>
      </c>
      <c r="V41" s="39">
        <f>IFERROR(VLOOKUP(Esselte[[#This Row],[Código]],Venda_3meses[],2,FALSE),0)</f>
        <v>0</v>
      </c>
      <c r="W41" s="44">
        <f>IFERROR(Esselte[[#This Row],[V. 3 meses]]/Esselte[[#This Row],[Proj. de V. 3 meses]],"")</f>
        <v>0</v>
      </c>
      <c r="X4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52.4</v>
      </c>
      <c r="Y41" s="39">
        <f>IFERROR(VLOOKUP(Esselte[[#This Row],[Código]],Venda_12meses[],2,FALSE),0)</f>
        <v>0</v>
      </c>
      <c r="Z41" s="44">
        <f>IFERROR(Esselte[[#This Row],[V. 12 meses]]/Esselte[[#This Row],[Proj. de V. 12 meses]],"")</f>
        <v>0</v>
      </c>
      <c r="AA41" s="22"/>
    </row>
    <row r="42" spans="1:27" x14ac:dyDescent="0.25">
      <c r="A42" s="22" t="str">
        <f>VLOOKUP(Esselte[[#This Row],[Código]],BD_Produto[#All],7,FALSE)</f>
        <v>Fora de Linha</v>
      </c>
      <c r="B4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2" s="23">
        <v>33063063502</v>
      </c>
      <c r="D42" s="22" t="s">
        <v>1089</v>
      </c>
      <c r="E42" s="22" t="str">
        <f>VLOOKUP(Esselte[[#This Row],[Código]],BD_Produto[],3,FALSE)</f>
        <v>Pasta Catálogo</v>
      </c>
      <c r="F42" s="22" t="str">
        <f>VLOOKUP(Esselte[[#This Row],[Código]],BD_Produto[],4,FALSE)</f>
        <v>Pasta Catálogo</v>
      </c>
      <c r="G42" s="24">
        <v>10</v>
      </c>
      <c r="H42" s="25"/>
      <c r="I42" s="22"/>
      <c r="J42" s="24"/>
      <c r="K42" s="24" t="str">
        <f>IFERROR(VLOOKUP(Esselte[[#This Row],[Código]],Importação!P:R,3,FALSE),"")</f>
        <v/>
      </c>
      <c r="L42" s="24">
        <f>IFERROR(VLOOKUP(Esselte[[#This Row],[Código]],Saldo[],3,FALSE),0)</f>
        <v>1814</v>
      </c>
      <c r="M42" s="24">
        <f>SUM(Esselte[[#This Row],[Produção]:[Estoque]])</f>
        <v>1814</v>
      </c>
      <c r="N42" s="24">
        <f>IFERROR(Esselte[[#This Row],[Estoque+Importação]]/Esselte[[#This Row],[Proj. de V. No prox. mes]],"Sem Projeção")</f>
        <v>351.09677419354841</v>
      </c>
      <c r="O42" s="24" t="str">
        <f>IF(OR(Esselte[[#This Row],[Status]]="Em Linha",Esselte[[#This Row],[Status]]="Componente",Esselte[[#This Row],[Status]]="Materia Prima"),Esselte[[#This Row],[Proj. de V. No prox. mes]]*10,"-")</f>
        <v>-</v>
      </c>
      <c r="P4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2" s="75">
        <f>VLOOKUP(Esselte[[#This Row],[Código]],Projeção[#All],15,FALSE)</f>
        <v>5.1666666666666661</v>
      </c>
      <c r="R42" s="39">
        <f>VLOOKUP(Esselte[[#This Row],[Código]],Projeção[#All],14,FALSE)</f>
        <v>7.4333333333333345</v>
      </c>
      <c r="S42" s="39">
        <f>IFERROR(VLOOKUP(Esselte[[#This Row],[Código]],Venda_mes[],2,FALSE),0)</f>
        <v>0</v>
      </c>
      <c r="T42" s="44">
        <f>IFERROR(Esselte[[#This Row],[V. No mes]]/Esselte[[#This Row],[Proj. de V. No mes]],"")</f>
        <v>0</v>
      </c>
      <c r="U42" s="43">
        <f>VLOOKUP(Esselte[[#This Row],[Código]],Projeção[#All],14,FALSE)+VLOOKUP(Esselte[[#This Row],[Código]],Projeção[#All],13,FALSE)+VLOOKUP(Esselte[[#This Row],[Código]],Projeção[#All],12,FALSE)</f>
        <v>9</v>
      </c>
      <c r="V42" s="39">
        <f>IFERROR(VLOOKUP(Esselte[[#This Row],[Código]],Venda_3meses[],2,FALSE),0)</f>
        <v>0</v>
      </c>
      <c r="W42" s="44">
        <f>IFERROR(Esselte[[#This Row],[V. 3 meses]]/Esselte[[#This Row],[Proj. de V. 3 meses]],"")</f>
        <v>0</v>
      </c>
      <c r="X4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13.433333333333332</v>
      </c>
      <c r="Y42" s="39">
        <f>IFERROR(VLOOKUP(Esselte[[#This Row],[Código]],Venda_12meses[],2,FALSE),0)</f>
        <v>155</v>
      </c>
      <c r="Z42" s="44">
        <f>IFERROR(Esselte[[#This Row],[V. 12 meses]]/Esselte[[#This Row],[Proj. de V. 12 meses]],"")</f>
        <v>11.53846153846154</v>
      </c>
      <c r="AA42" s="22"/>
    </row>
    <row r="43" spans="1:27" x14ac:dyDescent="0.25">
      <c r="A43" s="22" t="str">
        <f>VLOOKUP(Esselte[[#This Row],[Código]],BD_Produto[#All],7,FALSE)</f>
        <v>Fora de Linha</v>
      </c>
      <c r="B4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3" s="23">
        <v>33063063504</v>
      </c>
      <c r="D43" s="22" t="s">
        <v>1099</v>
      </c>
      <c r="E43" s="22" t="str">
        <f>VLOOKUP(Esselte[[#This Row],[Código]],BD_Produto[],3,FALSE)</f>
        <v>Pasta Catálogo</v>
      </c>
      <c r="F43" s="22" t="str">
        <f>VLOOKUP(Esselte[[#This Row],[Código]],BD_Produto[],4,FALSE)</f>
        <v>Pasta Catálogo</v>
      </c>
      <c r="G43" s="24">
        <v>10</v>
      </c>
      <c r="H43" s="25"/>
      <c r="I43" s="22"/>
      <c r="J43" s="24"/>
      <c r="K43" s="24" t="str">
        <f>IFERROR(VLOOKUP(Esselte[[#This Row],[Código]],Importação!P:R,3,FALSE),"")</f>
        <v/>
      </c>
      <c r="L43" s="24">
        <f>IFERROR(VLOOKUP(Esselte[[#This Row],[Código]],Saldo[],3,FALSE),0)</f>
        <v>1832</v>
      </c>
      <c r="M43" s="24">
        <f>SUM(Esselte[[#This Row],[Produção]:[Estoque]])</f>
        <v>1832</v>
      </c>
      <c r="N43" s="24">
        <f>IFERROR(Esselte[[#This Row],[Estoque+Importação]]/Esselte[[#This Row],[Proj. de V. No prox. mes]],"Sem Projeção")</f>
        <v>354.58064516129036</v>
      </c>
      <c r="O43" s="24" t="str">
        <f>IF(OR(Esselte[[#This Row],[Status]]="Em Linha",Esselte[[#This Row],[Status]]="Componente",Esselte[[#This Row],[Status]]="Materia Prima"),Esselte[[#This Row],[Proj. de V. No prox. mes]]*10,"-")</f>
        <v>-</v>
      </c>
      <c r="P4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3" s="75">
        <f>VLOOKUP(Esselte[[#This Row],[Código]],Projeção[#All],15,FALSE)</f>
        <v>5.1666666666666661</v>
      </c>
      <c r="R43" s="39">
        <f>VLOOKUP(Esselte[[#This Row],[Código]],Projeção[#All],14,FALSE)</f>
        <v>7.2333333333333325</v>
      </c>
      <c r="S43" s="39">
        <f>IFERROR(VLOOKUP(Esselte[[#This Row],[Código]],Venda_mes[],2,FALSE),0)</f>
        <v>0</v>
      </c>
      <c r="T43" s="44">
        <f>IFERROR(Esselte[[#This Row],[V. No mes]]/Esselte[[#This Row],[Proj. de V. No mes]],"")</f>
        <v>0</v>
      </c>
      <c r="U43" s="43">
        <f>VLOOKUP(Esselte[[#This Row],[Código]],Projeção[#All],14,FALSE)+VLOOKUP(Esselte[[#This Row],[Código]],Projeção[#All],13,FALSE)+VLOOKUP(Esselte[[#This Row],[Código]],Projeção[#All],12,FALSE)</f>
        <v>8.3999999999999986</v>
      </c>
      <c r="V43" s="39">
        <f>IFERROR(VLOOKUP(Esselte[[#This Row],[Código]],Venda_3meses[],2,FALSE),0)</f>
        <v>0</v>
      </c>
      <c r="W43" s="44">
        <f>IFERROR(Esselte[[#This Row],[V. 3 meses]]/Esselte[[#This Row],[Proj. de V. 3 meses]],"")</f>
        <v>0</v>
      </c>
      <c r="X4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10.333333333333325</v>
      </c>
      <c r="Y43" s="39">
        <f>IFERROR(VLOOKUP(Esselte[[#This Row],[Código]],Venda_12meses[],2,FALSE),0)</f>
        <v>155</v>
      </c>
      <c r="Z43" s="44">
        <f>IFERROR(Esselte[[#This Row],[V. 12 meses]]/Esselte[[#This Row],[Proj. de V. 12 meses]],"")</f>
        <v>15.000000000000012</v>
      </c>
      <c r="AA43" s="22"/>
    </row>
    <row r="44" spans="1:27" x14ac:dyDescent="0.25">
      <c r="A44" s="22" t="str">
        <f>VLOOKUP(Esselte[[#This Row],[Código]],BD_Produto[#All],7,FALSE)</f>
        <v>Fora de Linha</v>
      </c>
      <c r="B4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4" s="23">
        <v>33063063503</v>
      </c>
      <c r="D44" s="22" t="s">
        <v>1034</v>
      </c>
      <c r="E44" s="22" t="str">
        <f>VLOOKUP(Esselte[[#This Row],[Código]],BD_Produto[],3,FALSE)</f>
        <v>Pasta Catálogo</v>
      </c>
      <c r="F44" s="22" t="str">
        <f>VLOOKUP(Esselte[[#This Row],[Código]],BD_Produto[],4,FALSE)</f>
        <v>Pasta Catálogo</v>
      </c>
      <c r="G44" s="24">
        <v>10</v>
      </c>
      <c r="H44" s="25"/>
      <c r="I44" s="22"/>
      <c r="J44" s="24"/>
      <c r="K44" s="24" t="str">
        <f>IFERROR(VLOOKUP(Esselte[[#This Row],[Código]],Importação!P:R,3,FALSE),"")</f>
        <v/>
      </c>
      <c r="L44" s="24">
        <f>IFERROR(VLOOKUP(Esselte[[#This Row],[Código]],Saldo[],3,FALSE),0)</f>
        <v>1792</v>
      </c>
      <c r="M44" s="24">
        <f>SUM(Esselte[[#This Row],[Produção]:[Estoque]])</f>
        <v>1792</v>
      </c>
      <c r="N44" s="24">
        <f>IFERROR(Esselte[[#This Row],[Estoque+Importação]]/Esselte[[#This Row],[Proj. de V. No prox. mes]],"Sem Projeção")</f>
        <v>358.4</v>
      </c>
      <c r="O44" s="24" t="str">
        <f>IF(OR(Esselte[[#This Row],[Status]]="Em Linha",Esselte[[#This Row],[Status]]="Componente",Esselte[[#This Row],[Status]]="Materia Prima"),Esselte[[#This Row],[Proj. de V. No prox. mes]]*10,"-")</f>
        <v>-</v>
      </c>
      <c r="P4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4" s="75">
        <f>VLOOKUP(Esselte[[#This Row],[Código]],Projeção[#All],15,FALSE)</f>
        <v>5</v>
      </c>
      <c r="R44" s="39">
        <f>VLOOKUP(Esselte[[#This Row],[Código]],Projeção[#All],14,FALSE)</f>
        <v>6.1333333333333337</v>
      </c>
      <c r="S44" s="39">
        <f>IFERROR(VLOOKUP(Esselte[[#This Row],[Código]],Venda_mes[],2,FALSE),0)</f>
        <v>0</v>
      </c>
      <c r="T44" s="44">
        <f>IFERROR(Esselte[[#This Row],[V. No mes]]/Esselte[[#This Row],[Proj. de V. No mes]],"")</f>
        <v>0</v>
      </c>
      <c r="U44" s="43">
        <f>VLOOKUP(Esselte[[#This Row],[Código]],Projeção[#All],14,FALSE)+VLOOKUP(Esselte[[#This Row],[Código]],Projeção[#All],13,FALSE)+VLOOKUP(Esselte[[#This Row],[Código]],Projeção[#All],12,FALSE)</f>
        <v>6.2666666666666666</v>
      </c>
      <c r="V44" s="39">
        <f>IFERROR(VLOOKUP(Esselte[[#This Row],[Código]],Venda_3meses[],2,FALSE),0)</f>
        <v>0</v>
      </c>
      <c r="W44" s="44">
        <f>IFERROR(Esselte[[#This Row],[V. 3 meses]]/Esselte[[#This Row],[Proj. de V. 3 meses]],"")</f>
        <v>0</v>
      </c>
      <c r="X4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9.0999999999999979</v>
      </c>
      <c r="Y44" s="39">
        <f>IFERROR(VLOOKUP(Esselte[[#This Row],[Código]],Venda_12meses[],2,FALSE),0)</f>
        <v>150</v>
      </c>
      <c r="Z44" s="44">
        <f>IFERROR(Esselte[[#This Row],[V. 12 meses]]/Esselte[[#This Row],[Proj. de V. 12 meses]],"")</f>
        <v>16.483516483516489</v>
      </c>
      <c r="AA44" s="22"/>
    </row>
    <row r="45" spans="1:27" x14ac:dyDescent="0.25">
      <c r="A45" s="22" t="str">
        <f>VLOOKUP(Esselte[[#This Row],[Código]],BD_Produto[#All],7,FALSE)</f>
        <v>Fora de Linha</v>
      </c>
      <c r="B4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5" s="23">
        <v>33063063464</v>
      </c>
      <c r="D45" s="22" t="s">
        <v>1191</v>
      </c>
      <c r="E45" s="22" t="str">
        <f>VLOOKUP(Esselte[[#This Row],[Código]],BD_Produto[],3,FALSE)</f>
        <v>Pasta Organizadora (A/Z)</v>
      </c>
      <c r="F45" s="22" t="str">
        <f>VLOOKUP(Esselte[[#This Row],[Código]],BD_Produto[],4,FALSE)</f>
        <v>Pasta Organizadora (A/Z)</v>
      </c>
      <c r="G45" s="24">
        <v>5</v>
      </c>
      <c r="H45" s="25"/>
      <c r="I45" s="22"/>
      <c r="J45" s="24"/>
      <c r="K45" s="24" t="str">
        <f>IFERROR(VLOOKUP(Esselte[[#This Row],[Código]],Importação!P:R,3,FALSE),"")</f>
        <v/>
      </c>
      <c r="L45" s="24">
        <f>IFERROR(VLOOKUP(Esselte[[#This Row],[Código]],Saldo[],3,FALSE),0)</f>
        <v>354</v>
      </c>
      <c r="M45" s="24">
        <f>SUM(Esselte[[#This Row],[Produção]:[Estoque]])</f>
        <v>354</v>
      </c>
      <c r="N45" s="24">
        <f>IFERROR(Esselte[[#This Row],[Estoque+Importação]]/Esselte[[#This Row],[Proj. de V. No prox. mes]],"Sem Projeção")</f>
        <v>63.214285714285708</v>
      </c>
      <c r="O45" s="24" t="str">
        <f>IF(OR(Esselte[[#This Row],[Status]]="Em Linha",Esselte[[#This Row],[Status]]="Componente",Esselte[[#This Row],[Status]]="Materia Prima"),Esselte[[#This Row],[Proj. de V. No prox. mes]]*10,"-")</f>
        <v>-</v>
      </c>
      <c r="P4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5" s="75">
        <f>VLOOKUP(Esselte[[#This Row],[Código]],Projeção[#All],15,FALSE)</f>
        <v>5.6000000000000005</v>
      </c>
      <c r="R45" s="39">
        <f>VLOOKUP(Esselte[[#This Row],[Código]],Projeção[#All],14,FALSE)</f>
        <v>6.9333333333333327</v>
      </c>
      <c r="S45" s="39">
        <f>IFERROR(VLOOKUP(Esselte[[#This Row],[Código]],Venda_mes[],2,FALSE),0)</f>
        <v>20</v>
      </c>
      <c r="T45" s="44">
        <f>IFERROR(Esselte[[#This Row],[V. No mes]]/Esselte[[#This Row],[Proj. de V. No mes]],"")</f>
        <v>2.884615384615385</v>
      </c>
      <c r="U45" s="43">
        <f>VLOOKUP(Esselte[[#This Row],[Código]],Projeção[#All],14,FALSE)+VLOOKUP(Esselte[[#This Row],[Código]],Projeção[#All],13,FALSE)+VLOOKUP(Esselte[[#This Row],[Código]],Projeção[#All],12,FALSE)</f>
        <v>8.4333333333333336</v>
      </c>
      <c r="V45" s="39">
        <f>IFERROR(VLOOKUP(Esselte[[#This Row],[Código]],Venda_3meses[],2,FALSE),0)</f>
        <v>20</v>
      </c>
      <c r="W45" s="44">
        <f>IFERROR(Esselte[[#This Row],[V. 3 meses]]/Esselte[[#This Row],[Proj. de V. 3 meses]],"")</f>
        <v>2.3715415019762847</v>
      </c>
      <c r="X4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23.233333333333331</v>
      </c>
      <c r="Y45" s="39">
        <f>IFERROR(VLOOKUP(Esselte[[#This Row],[Código]],Venda_12meses[],2,FALSE),0)</f>
        <v>48</v>
      </c>
      <c r="Z45" s="44">
        <f>IFERROR(Esselte[[#This Row],[V. 12 meses]]/Esselte[[#This Row],[Proj. de V. 12 meses]],"")</f>
        <v>2.0659971305595413</v>
      </c>
      <c r="AA45" s="22"/>
    </row>
    <row r="46" spans="1:27" x14ac:dyDescent="0.25">
      <c r="A46" s="22" t="str">
        <f>VLOOKUP(Esselte[[#This Row],[Código]],BD_Produto[#All],7,FALSE)</f>
        <v>Fora de Linha</v>
      </c>
      <c r="B4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6" s="23">
        <v>33063063459</v>
      </c>
      <c r="D46" s="22" t="s">
        <v>1110</v>
      </c>
      <c r="E46" s="22" t="str">
        <f>VLOOKUP(Esselte[[#This Row],[Código]],BD_Produto[],3,FALSE)</f>
        <v>Pasta Organizadora (A/Z)</v>
      </c>
      <c r="F46" s="22" t="str">
        <f>VLOOKUP(Esselte[[#This Row],[Código]],BD_Produto[],4,FALSE)</f>
        <v>Pasta Organizadora (A/Z)</v>
      </c>
      <c r="G46" s="24">
        <v>5</v>
      </c>
      <c r="H46" s="25"/>
      <c r="I46" s="22"/>
      <c r="J46" s="24"/>
      <c r="K46" s="24" t="str">
        <f>IFERROR(VLOOKUP(Esselte[[#This Row],[Código]],Importação!P:R,3,FALSE),"")</f>
        <v/>
      </c>
      <c r="L46" s="24">
        <f>IFERROR(VLOOKUP(Esselte[[#This Row],[Código]],Saldo[],3,FALSE),0)</f>
        <v>391</v>
      </c>
      <c r="M46" s="24">
        <f>SUM(Esselte[[#This Row],[Produção]:[Estoque]])</f>
        <v>391</v>
      </c>
      <c r="N46" s="24">
        <f>IFERROR(Esselte[[#This Row],[Estoque+Importação]]/Esselte[[#This Row],[Proj. de V. No prox. mes]],"Sem Projeção")</f>
        <v>108.61111111111113</v>
      </c>
      <c r="O46" s="24" t="str">
        <f>IF(OR(Esselte[[#This Row],[Status]]="Em Linha",Esselte[[#This Row],[Status]]="Componente",Esselte[[#This Row],[Status]]="Materia Prima"),Esselte[[#This Row],[Proj. de V. No prox. mes]]*10,"-")</f>
        <v>-</v>
      </c>
      <c r="P4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6" s="75">
        <f>VLOOKUP(Esselte[[#This Row],[Código]],Projeção[#All],15,FALSE)</f>
        <v>3.5999999999999996</v>
      </c>
      <c r="R46" s="39">
        <f>VLOOKUP(Esselte[[#This Row],[Código]],Projeção[#All],14,FALSE)</f>
        <v>7.1999999999999993</v>
      </c>
      <c r="S46" s="39">
        <f>IFERROR(VLOOKUP(Esselte[[#This Row],[Código]],Venda_mes[],2,FALSE),0)</f>
        <v>0</v>
      </c>
      <c r="T46" s="44">
        <f>IFERROR(Esselte[[#This Row],[V. No mes]]/Esselte[[#This Row],[Proj. de V. No mes]],"")</f>
        <v>0</v>
      </c>
      <c r="U46" s="43">
        <f>VLOOKUP(Esselte[[#This Row],[Código]],Projeção[#All],14,FALSE)+VLOOKUP(Esselte[[#This Row],[Código]],Projeção[#All],13,FALSE)+VLOOKUP(Esselte[[#This Row],[Código]],Projeção[#All],12,FALSE)</f>
        <v>9.6</v>
      </c>
      <c r="V46" s="39">
        <f>IFERROR(VLOOKUP(Esselte[[#This Row],[Código]],Venda_3meses[],2,FALSE),0)</f>
        <v>0</v>
      </c>
      <c r="W46" s="44">
        <f>IFERROR(Esselte[[#This Row],[V. 3 meses]]/Esselte[[#This Row],[Proj. de V. 3 meses]],"")</f>
        <v>0</v>
      </c>
      <c r="X4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16.400000000000002</v>
      </c>
      <c r="Y46" s="39">
        <f>IFERROR(VLOOKUP(Esselte[[#This Row],[Código]],Venda_12meses[],2,FALSE),0)</f>
        <v>60</v>
      </c>
      <c r="Z46" s="44">
        <f>IFERROR(Esselte[[#This Row],[V. 12 meses]]/Esselte[[#This Row],[Proj. de V. 12 meses]],"")</f>
        <v>3.6585365853658534</v>
      </c>
      <c r="AA46" s="22"/>
    </row>
    <row r="47" spans="1:27" x14ac:dyDescent="0.25">
      <c r="A47" s="22" t="str">
        <f>VLOOKUP(Esselte[[#This Row],[Código]],BD_Produto[#All],7,FALSE)</f>
        <v>Fora de Linha</v>
      </c>
      <c r="B4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7" s="23">
        <v>33063063461</v>
      </c>
      <c r="D47" s="22" t="s">
        <v>1113</v>
      </c>
      <c r="E47" s="22" t="str">
        <f>VLOOKUP(Esselte[[#This Row],[Código]],BD_Produto[],3,FALSE)</f>
        <v>Pasta Organizadora (A/Z)</v>
      </c>
      <c r="F47" s="22" t="str">
        <f>VLOOKUP(Esselte[[#This Row],[Código]],BD_Produto[],4,FALSE)</f>
        <v>Pasta Organizadora (A/Z)</v>
      </c>
      <c r="G47" s="24">
        <v>5</v>
      </c>
      <c r="H47" s="25"/>
      <c r="I47" s="22"/>
      <c r="J47" s="24"/>
      <c r="K47" s="24" t="str">
        <f>IFERROR(VLOOKUP(Esselte[[#This Row],[Código]],Importação!P:R,3,FALSE),"")</f>
        <v/>
      </c>
      <c r="L47" s="24">
        <f>IFERROR(VLOOKUP(Esselte[[#This Row],[Código]],Saldo[],3,FALSE),0)</f>
        <v>398</v>
      </c>
      <c r="M47" s="24">
        <f>SUM(Esselte[[#This Row],[Produção]:[Estoque]])</f>
        <v>398</v>
      </c>
      <c r="N47" s="24">
        <f>IFERROR(Esselte[[#This Row],[Estoque+Importação]]/Esselte[[#This Row],[Proj. de V. No prox. mes]],"Sem Projeção")</f>
        <v>29.481481481481481</v>
      </c>
      <c r="O47" s="24" t="str">
        <f>IF(OR(Esselte[[#This Row],[Status]]="Em Linha",Esselte[[#This Row],[Status]]="Componente",Esselte[[#This Row],[Status]]="Materia Prima"),Esselte[[#This Row],[Proj. de V. No prox. mes]]*10,"-")</f>
        <v>-</v>
      </c>
      <c r="P4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7" s="75">
        <f>VLOOKUP(Esselte[[#This Row],[Código]],Projeção[#All],15,FALSE)</f>
        <v>13.5</v>
      </c>
      <c r="R47" s="39">
        <f>VLOOKUP(Esselte[[#This Row],[Código]],Projeção[#All],14,FALSE)</f>
        <v>7.0333333333333323</v>
      </c>
      <c r="S47" s="39">
        <f>IFERROR(VLOOKUP(Esselte[[#This Row],[Código]],Venda_mes[],2,FALSE),0)</f>
        <v>0</v>
      </c>
      <c r="T47" s="44">
        <f>IFERROR(Esselte[[#This Row],[V. No mes]]/Esselte[[#This Row],[Proj. de V. No mes]],"")</f>
        <v>0</v>
      </c>
      <c r="U47" s="43">
        <f>VLOOKUP(Esselte[[#This Row],[Código]],Projeção[#All],14,FALSE)+VLOOKUP(Esselte[[#This Row],[Código]],Projeção[#All],13,FALSE)+VLOOKUP(Esselte[[#This Row],[Código]],Projeção[#All],12,FALSE)</f>
        <v>9.1</v>
      </c>
      <c r="V47" s="39">
        <f>IFERROR(VLOOKUP(Esselte[[#This Row],[Código]],Venda_3meses[],2,FALSE),0)</f>
        <v>48</v>
      </c>
      <c r="W47" s="44">
        <f>IFERROR(Esselte[[#This Row],[V. 3 meses]]/Esselte[[#This Row],[Proj. de V. 3 meses]],"")</f>
        <v>5.2747252747252746</v>
      </c>
      <c r="X4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10.366666666666664</v>
      </c>
      <c r="Y47" s="39">
        <f>IFERROR(VLOOKUP(Esselte[[#This Row],[Código]],Venda_12meses[],2,FALSE),0)</f>
        <v>93</v>
      </c>
      <c r="Z47" s="44">
        <f>IFERROR(Esselte[[#This Row],[V. 12 meses]]/Esselte[[#This Row],[Proj. de V. 12 meses]],"")</f>
        <v>8.9710610932475916</v>
      </c>
      <c r="AA47" s="22"/>
    </row>
    <row r="48" spans="1:27" x14ac:dyDescent="0.25">
      <c r="A48" s="22" t="str">
        <f>VLOOKUP(Esselte[[#This Row],[Código]],BD_Produto[#All],7,FALSE)</f>
        <v>Fora de Linha</v>
      </c>
      <c r="B4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8" s="23">
        <v>33063063520</v>
      </c>
      <c r="D48" s="22" t="s">
        <v>1092</v>
      </c>
      <c r="E48" s="22" t="str">
        <f>VLOOKUP(Esselte[[#This Row],[Código]],BD_Produto[],3,FALSE)</f>
        <v>Pasta Box</v>
      </c>
      <c r="F48" s="22" t="str">
        <f>VLOOKUP(Esselte[[#This Row],[Código]],BD_Produto[],4,FALSE)</f>
        <v>Pasta Box</v>
      </c>
      <c r="G48" s="24">
        <v>5</v>
      </c>
      <c r="H48" s="25"/>
      <c r="I48" s="22"/>
      <c r="J48" s="24"/>
      <c r="K48" s="24" t="str">
        <f>IFERROR(VLOOKUP(Esselte[[#This Row],[Código]],Importação!P:R,3,FALSE),"")</f>
        <v/>
      </c>
      <c r="L48" s="24">
        <f>IFERROR(VLOOKUP(Esselte[[#This Row],[Código]],Saldo[],3,FALSE),0)</f>
        <v>270</v>
      </c>
      <c r="M48" s="24">
        <f>SUM(Esselte[[#This Row],[Produção]:[Estoque]])</f>
        <v>270</v>
      </c>
      <c r="N48" s="24">
        <f>IFERROR(Esselte[[#This Row],[Estoque+Importação]]/Esselte[[#This Row],[Proj. de V. No prox. mes]],"Sem Projeção")</f>
        <v>35.840707964601769</v>
      </c>
      <c r="O48" s="24" t="str">
        <f>IF(OR(Esselte[[#This Row],[Status]]="Em Linha",Esselte[[#This Row],[Status]]="Componente",Esselte[[#This Row],[Status]]="Materia Prima"),Esselte[[#This Row],[Proj. de V. No prox. mes]]*10,"-")</f>
        <v>-</v>
      </c>
      <c r="P4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8" s="75">
        <f>VLOOKUP(Esselte[[#This Row],[Código]],Projeção[#All],15,FALSE)</f>
        <v>7.5333333333333332</v>
      </c>
      <c r="R48" s="39">
        <f>VLOOKUP(Esselte[[#This Row],[Código]],Projeção[#All],14,FALSE)</f>
        <v>3.7666666666666666</v>
      </c>
      <c r="S48" s="39">
        <f>IFERROR(VLOOKUP(Esselte[[#This Row],[Código]],Venda_mes[],2,FALSE),0)</f>
        <v>30</v>
      </c>
      <c r="T48" s="44">
        <f>IFERROR(Esselte[[#This Row],[V. No mes]]/Esselte[[#This Row],[Proj. de V. No mes]],"")</f>
        <v>7.9646017699115044</v>
      </c>
      <c r="U48" s="43">
        <f>VLOOKUP(Esselte[[#This Row],[Código]],Projeção[#All],14,FALSE)+VLOOKUP(Esselte[[#This Row],[Código]],Projeção[#All],13,FALSE)+VLOOKUP(Esselte[[#This Row],[Código]],Projeção[#All],12,FALSE)</f>
        <v>4.3666666666666663</v>
      </c>
      <c r="V48" s="39">
        <f>IFERROR(VLOOKUP(Esselte[[#This Row],[Código]],Venda_3meses[],2,FALSE),0)</f>
        <v>30</v>
      </c>
      <c r="W48" s="44">
        <f>IFERROR(Esselte[[#This Row],[V. 3 meses]]/Esselte[[#This Row],[Proj. de V. 3 meses]],"")</f>
        <v>6.8702290076335881</v>
      </c>
      <c r="X4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11.666666666666666</v>
      </c>
      <c r="Y48" s="39">
        <f>IFERROR(VLOOKUP(Esselte[[#This Row],[Código]],Venda_12meses[],2,FALSE),0)</f>
        <v>46</v>
      </c>
      <c r="Z48" s="44">
        <f>IFERROR(Esselte[[#This Row],[V. 12 meses]]/Esselte[[#This Row],[Proj. de V. 12 meses]],"")</f>
        <v>3.9428571428571431</v>
      </c>
      <c r="AA48" s="22"/>
    </row>
    <row r="49" spans="1:27" x14ac:dyDescent="0.25">
      <c r="A49" s="22" t="str">
        <f>VLOOKUP(Esselte[[#This Row],[Código]],BD_Produto[#All],7,FALSE)</f>
        <v>Fora de Linha</v>
      </c>
      <c r="B4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49" s="23">
        <v>33063263361</v>
      </c>
      <c r="D49" s="22" t="s">
        <v>1005</v>
      </c>
      <c r="E49" s="22" t="str">
        <f>VLOOKUP(Esselte[[#This Row],[Código]],BD_Produto[],3,FALSE)</f>
        <v>Pasta Suspensa</v>
      </c>
      <c r="F49" s="22" t="str">
        <f>VLOOKUP(Esselte[[#This Row],[Código]],BD_Produto[],4,FALSE)</f>
        <v>Pasta Suspensa</v>
      </c>
      <c r="G49" s="24">
        <v>1</v>
      </c>
      <c r="H49" s="25"/>
      <c r="I49" s="22"/>
      <c r="J49" s="24"/>
      <c r="K49" s="24" t="str">
        <f>IFERROR(VLOOKUP(Esselte[[#This Row],[Código]],Importação!P:R,3,FALSE),"")</f>
        <v/>
      </c>
      <c r="L49" s="24">
        <f>IFERROR(VLOOKUP(Esselte[[#This Row],[Código]],Saldo[],3,FALSE),0)</f>
        <v>110</v>
      </c>
      <c r="M49" s="24">
        <f>SUM(Esselte[[#This Row],[Produção]:[Estoque]])</f>
        <v>110</v>
      </c>
      <c r="N49" s="24" t="str">
        <f>IFERROR(Esselte[[#This Row],[Estoque+Importação]]/Esselte[[#This Row],[Proj. de V. No prox. mes]],"Sem Projeção")</f>
        <v>Sem Projeção</v>
      </c>
      <c r="O49" s="24" t="str">
        <f>IF(OR(Esselte[[#This Row],[Status]]="Em Linha",Esselte[[#This Row],[Status]]="Componente",Esselte[[#This Row],[Status]]="Materia Prima"),Esselte[[#This Row],[Proj. de V. No prox. mes]]*10,"-")</f>
        <v>-</v>
      </c>
      <c r="P4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49" s="75">
        <f>VLOOKUP(Esselte[[#This Row],[Código]],Projeção[#All],15,FALSE)</f>
        <v>0</v>
      </c>
      <c r="R49" s="39">
        <f>VLOOKUP(Esselte[[#This Row],[Código]],Projeção[#All],14,FALSE)</f>
        <v>2.8666666666666667</v>
      </c>
      <c r="S49" s="39">
        <f>IFERROR(VLOOKUP(Esselte[[#This Row],[Código]],Venda_mes[],2,FALSE),0)</f>
        <v>0</v>
      </c>
      <c r="T49" s="44">
        <f>IFERROR(Esselte[[#This Row],[V. No mes]]/Esselte[[#This Row],[Proj. de V. No mes]],"")</f>
        <v>0</v>
      </c>
      <c r="U49" s="43">
        <f>VLOOKUP(Esselte[[#This Row],[Código]],Projeção[#All],14,FALSE)+VLOOKUP(Esselte[[#This Row],[Código]],Projeção[#All],13,FALSE)+VLOOKUP(Esselte[[#This Row],[Código]],Projeção[#All],12,FALSE)</f>
        <v>7</v>
      </c>
      <c r="V49" s="39">
        <f>IFERROR(VLOOKUP(Esselte[[#This Row],[Código]],Venda_3meses[],2,FALSE),0)</f>
        <v>0</v>
      </c>
      <c r="W49" s="44">
        <f>IFERROR(Esselte[[#This Row],[V. 3 meses]]/Esselte[[#This Row],[Proj. de V. 3 meses]],"")</f>
        <v>0</v>
      </c>
      <c r="X4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35.9</v>
      </c>
      <c r="Y49" s="39">
        <f>IFERROR(VLOOKUP(Esselte[[#This Row],[Código]],Venda_12meses[],2,FALSE),0)</f>
        <v>0</v>
      </c>
      <c r="Z49" s="44">
        <f>IFERROR(Esselte[[#This Row],[V. 12 meses]]/Esselte[[#This Row],[Proj. de V. 12 meses]],"")</f>
        <v>0</v>
      </c>
      <c r="AA49" s="22"/>
    </row>
    <row r="50" spans="1:27" x14ac:dyDescent="0.25">
      <c r="A50" s="22" t="str">
        <f>VLOOKUP(Esselte[[#This Row],[Código]],BD_Produto[#All],7,FALSE)</f>
        <v>Fora de Linha</v>
      </c>
      <c r="B5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0" s="23">
        <v>33063063471</v>
      </c>
      <c r="D50" s="22" t="s">
        <v>1118</v>
      </c>
      <c r="E50" s="22" t="str">
        <f>VLOOKUP(Esselte[[#This Row],[Código]],BD_Produto[],3,FALSE)</f>
        <v>Pasta Organizadora (A/Z)</v>
      </c>
      <c r="F50" s="22" t="str">
        <f>VLOOKUP(Esselte[[#This Row],[Código]],BD_Produto[],4,FALSE)</f>
        <v>Pasta Organizadora (A/Z)</v>
      </c>
      <c r="G50" s="24">
        <v>5</v>
      </c>
      <c r="H50" s="25"/>
      <c r="I50" s="22"/>
      <c r="J50" s="24"/>
      <c r="K50" s="24" t="str">
        <f>IFERROR(VLOOKUP(Esselte[[#This Row],[Código]],Importação!P:R,3,FALSE),"")</f>
        <v/>
      </c>
      <c r="L50" s="24">
        <f>IFERROR(VLOOKUP(Esselte[[#This Row],[Código]],Saldo[],3,FALSE),0)</f>
        <v>486</v>
      </c>
      <c r="M50" s="24">
        <f>SUM(Esselte[[#This Row],[Produção]:[Estoque]])</f>
        <v>486</v>
      </c>
      <c r="N50" s="24">
        <f>IFERROR(Esselte[[#This Row],[Estoque+Importação]]/Esselte[[#This Row],[Proj. de V. No prox. mes]],"Sem Projeção")</f>
        <v>158.47826086956522</v>
      </c>
      <c r="O50" s="24" t="str">
        <f>IF(OR(Esselte[[#This Row],[Status]]="Em Linha",Esselte[[#This Row],[Status]]="Componente",Esselte[[#This Row],[Status]]="Materia Prima"),Esselte[[#This Row],[Proj. de V. No prox. mes]]*10,"-")</f>
        <v>-</v>
      </c>
      <c r="P5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0" s="75">
        <f>VLOOKUP(Esselte[[#This Row],[Código]],Projeção[#All],15,FALSE)</f>
        <v>3.0666666666666664</v>
      </c>
      <c r="R50" s="39">
        <f>VLOOKUP(Esselte[[#This Row],[Código]],Projeção[#All],14,FALSE)</f>
        <v>6.9999999999999991</v>
      </c>
      <c r="S50" s="39">
        <f>IFERROR(VLOOKUP(Esselte[[#This Row],[Código]],Venda_mes[],2,FALSE),0)</f>
        <v>0</v>
      </c>
      <c r="T50" s="44">
        <f>IFERROR(Esselte[[#This Row],[V. No mes]]/Esselte[[#This Row],[Proj. de V. No mes]],"")</f>
        <v>0</v>
      </c>
      <c r="U50" s="43">
        <f>VLOOKUP(Esselte[[#This Row],[Código]],Projeção[#All],14,FALSE)+VLOOKUP(Esselte[[#This Row],[Código]],Projeção[#All],13,FALSE)+VLOOKUP(Esselte[[#This Row],[Código]],Projeção[#All],12,FALSE)</f>
        <v>10.333333333333332</v>
      </c>
      <c r="V50" s="39">
        <f>IFERROR(VLOOKUP(Esselte[[#This Row],[Código]],Venda_3meses[],2,FALSE),0)</f>
        <v>0</v>
      </c>
      <c r="W50" s="44">
        <f>IFERROR(Esselte[[#This Row],[V. 3 meses]]/Esselte[[#This Row],[Proj. de V. 3 meses]],"")</f>
        <v>0</v>
      </c>
      <c r="X5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34.666666666666671</v>
      </c>
      <c r="Y50" s="39">
        <f>IFERROR(VLOOKUP(Esselte[[#This Row],[Código]],Venda_12meses[],2,FALSE),0)</f>
        <v>44</v>
      </c>
      <c r="Z50" s="44">
        <f>IFERROR(Esselte[[#This Row],[V. 12 meses]]/Esselte[[#This Row],[Proj. de V. 12 meses]],"")</f>
        <v>1.2692307692307692</v>
      </c>
      <c r="AA50" s="22"/>
    </row>
    <row r="51" spans="1:27" x14ac:dyDescent="0.25">
      <c r="A51" s="22" t="str">
        <f>VLOOKUP(Esselte[[#This Row],[Código]],BD_Produto[#All],7,FALSE)</f>
        <v>Fora de Linha</v>
      </c>
      <c r="B5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1" s="23">
        <v>33063063511</v>
      </c>
      <c r="D51" s="22" t="s">
        <v>1116</v>
      </c>
      <c r="E51" s="22" t="str">
        <f>VLOOKUP(Esselte[[#This Row],[Código]],BD_Produto[],3,FALSE)</f>
        <v>Pasta Catálogo</v>
      </c>
      <c r="F51" s="22" t="str">
        <f>VLOOKUP(Esselte[[#This Row],[Código]],BD_Produto[],4,FALSE)</f>
        <v>Pasta Catálogo</v>
      </c>
      <c r="G51" s="24">
        <v>10</v>
      </c>
      <c r="H51" s="25"/>
      <c r="I51" s="22"/>
      <c r="J51" s="24"/>
      <c r="K51" s="24" t="str">
        <f>IFERROR(VLOOKUP(Esselte[[#This Row],[Código]],Importação!P:R,3,FALSE),"")</f>
        <v/>
      </c>
      <c r="L51" s="24">
        <f>IFERROR(VLOOKUP(Esselte[[#This Row],[Código]],Saldo[],3,FALSE),0)</f>
        <v>1175</v>
      </c>
      <c r="M51" s="24">
        <f>SUM(Esselte[[#This Row],[Produção]:[Estoque]])</f>
        <v>1175</v>
      </c>
      <c r="N51" s="24">
        <f>IFERROR(Esselte[[#This Row],[Estoque+Importação]]/Esselte[[#This Row],[Proj. de V. No prox. mes]],"Sem Projeção")</f>
        <v>107.46951219512196</v>
      </c>
      <c r="O51" s="24" t="str">
        <f>IF(OR(Esselte[[#This Row],[Status]]="Em Linha",Esselte[[#This Row],[Status]]="Componente",Esselte[[#This Row],[Status]]="Materia Prima"),Esselte[[#This Row],[Proj. de V. No prox. mes]]*10,"-")</f>
        <v>-</v>
      </c>
      <c r="P5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1" s="75">
        <f>VLOOKUP(Esselte[[#This Row],[Código]],Projeção[#All],15,FALSE)</f>
        <v>10.933333333333332</v>
      </c>
      <c r="R51" s="39">
        <f>VLOOKUP(Esselte[[#This Row],[Código]],Projeção[#All],14,FALSE)</f>
        <v>9.2999999999999989</v>
      </c>
      <c r="S51" s="39">
        <f>IFERROR(VLOOKUP(Esselte[[#This Row],[Código]],Venda_mes[],2,FALSE),0)</f>
        <v>40</v>
      </c>
      <c r="T51" s="44">
        <f>IFERROR(Esselte[[#This Row],[V. No mes]]/Esselte[[#This Row],[Proj. de V. No mes]],"")</f>
        <v>4.3010752688172049</v>
      </c>
      <c r="U51" s="43">
        <f>VLOOKUP(Esselte[[#This Row],[Código]],Projeção[#All],14,FALSE)+VLOOKUP(Esselte[[#This Row],[Código]],Projeção[#All],13,FALSE)+VLOOKUP(Esselte[[#This Row],[Código]],Projeção[#All],12,FALSE)</f>
        <v>11.333333333333332</v>
      </c>
      <c r="V51" s="39">
        <f>IFERROR(VLOOKUP(Esselte[[#This Row],[Código]],Venda_3meses[],2,FALSE),0)</f>
        <v>40</v>
      </c>
      <c r="W51" s="44">
        <f>IFERROR(Esselte[[#This Row],[V. 3 meses]]/Esselte[[#This Row],[Proj. de V. 3 meses]],"")</f>
        <v>3.5294117647058827</v>
      </c>
      <c r="X5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25.799999999999997</v>
      </c>
      <c r="Y51" s="39">
        <f>IFERROR(VLOOKUP(Esselte[[#This Row],[Código]],Venda_12meses[],2,FALSE),0)</f>
        <v>88</v>
      </c>
      <c r="Z51" s="44">
        <f>IFERROR(Esselte[[#This Row],[V. 12 meses]]/Esselte[[#This Row],[Proj. de V. 12 meses]],"")</f>
        <v>3.4108527131782949</v>
      </c>
      <c r="AA51" s="22"/>
    </row>
    <row r="52" spans="1:27" x14ac:dyDescent="0.25">
      <c r="A52" s="22" t="str">
        <f>VLOOKUP(Esselte[[#This Row],[Código]],BD_Produto[#All],7,FALSE)</f>
        <v>Fora de Linha</v>
      </c>
      <c r="B5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2" s="23">
        <v>33063063470</v>
      </c>
      <c r="D52" s="22" t="s">
        <v>1117</v>
      </c>
      <c r="E52" s="22" t="str">
        <f>VLOOKUP(Esselte[[#This Row],[Código]],BD_Produto[],3,FALSE)</f>
        <v>Pasta Organizadora (A/Z)</v>
      </c>
      <c r="F52" s="22" t="str">
        <f>VLOOKUP(Esselte[[#This Row],[Código]],BD_Produto[],4,FALSE)</f>
        <v>Pasta Organizadora (A/Z)</v>
      </c>
      <c r="G52" s="24">
        <v>5</v>
      </c>
      <c r="H52" s="25"/>
      <c r="I52" s="22"/>
      <c r="J52" s="24"/>
      <c r="K52" s="24" t="str">
        <f>IFERROR(VLOOKUP(Esselte[[#This Row],[Código]],Importação!P:R,3,FALSE),"")</f>
        <v/>
      </c>
      <c r="L52" s="24">
        <f>IFERROR(VLOOKUP(Esselte[[#This Row],[Código]],Saldo[],3,FALSE),0)</f>
        <v>478</v>
      </c>
      <c r="M52" s="24">
        <f>SUM(Esselte[[#This Row],[Produção]:[Estoque]])</f>
        <v>478</v>
      </c>
      <c r="N52" s="24">
        <f>IFERROR(Esselte[[#This Row],[Estoque+Importação]]/Esselte[[#This Row],[Proj. de V. No prox. mes]],"Sem Projeção")</f>
        <v>89.068322981366464</v>
      </c>
      <c r="O52" s="24" t="str">
        <f>IF(OR(Esselte[[#This Row],[Status]]="Em Linha",Esselte[[#This Row],[Status]]="Componente",Esselte[[#This Row],[Status]]="Materia Prima"),Esselte[[#This Row],[Proj. de V. No prox. mes]]*10,"-")</f>
        <v>-</v>
      </c>
      <c r="P5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2" s="75">
        <f>VLOOKUP(Esselte[[#This Row],[Código]],Projeção[#All],15,FALSE)</f>
        <v>5.3666666666666663</v>
      </c>
      <c r="R52" s="39">
        <f>VLOOKUP(Esselte[[#This Row],[Código]],Projeção[#All],14,FALSE)</f>
        <v>5</v>
      </c>
      <c r="S52" s="39">
        <f>IFERROR(VLOOKUP(Esselte[[#This Row],[Código]],Venda_mes[],2,FALSE),0)</f>
        <v>0</v>
      </c>
      <c r="T52" s="44">
        <f>IFERROR(Esselte[[#This Row],[V. No mes]]/Esselte[[#This Row],[Proj. de V. No mes]],"")</f>
        <v>0</v>
      </c>
      <c r="U52" s="43">
        <f>VLOOKUP(Esselte[[#This Row],[Código]],Projeção[#All],14,FALSE)+VLOOKUP(Esselte[[#This Row],[Código]],Projeção[#All],13,FALSE)+VLOOKUP(Esselte[[#This Row],[Código]],Projeção[#All],12,FALSE)</f>
        <v>6</v>
      </c>
      <c r="V52" s="39">
        <f>IFERROR(VLOOKUP(Esselte[[#This Row],[Código]],Venda_3meses[],2,FALSE),0)</f>
        <v>15</v>
      </c>
      <c r="W52" s="44">
        <f>IFERROR(Esselte[[#This Row],[V. 3 meses]]/Esselte[[#This Row],[Proj. de V. 3 meses]],"")</f>
        <v>2.5</v>
      </c>
      <c r="X5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21.966666666666669</v>
      </c>
      <c r="Y52" s="39">
        <f>IFERROR(VLOOKUP(Esselte[[#This Row],[Código]],Venda_12meses[],2,FALSE),0)</f>
        <v>47</v>
      </c>
      <c r="Z52" s="44">
        <f>IFERROR(Esselte[[#This Row],[V. 12 meses]]/Esselte[[#This Row],[Proj. de V. 12 meses]],"")</f>
        <v>2.1396054628224581</v>
      </c>
      <c r="AA52" s="22"/>
    </row>
    <row r="53" spans="1:27" x14ac:dyDescent="0.25">
      <c r="A53" s="22" t="str">
        <f>VLOOKUP(Esselte[[#This Row],[Código]],BD_Produto[#All],7,FALSE)</f>
        <v>Fora de Linha</v>
      </c>
      <c r="B5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3" s="23">
        <v>33063063473</v>
      </c>
      <c r="D53" s="22" t="s">
        <v>1078</v>
      </c>
      <c r="E53" s="22" t="str">
        <f>VLOOKUP(Esselte[[#This Row],[Código]],BD_Produto[],3,FALSE)</f>
        <v>Pasta Organizadora (A/Z)</v>
      </c>
      <c r="F53" s="22" t="str">
        <f>VLOOKUP(Esselte[[#This Row],[Código]],BD_Produto[],4,FALSE)</f>
        <v>Pasta Organizadora (A/Z)</v>
      </c>
      <c r="G53" s="24">
        <v>5</v>
      </c>
      <c r="H53" s="25"/>
      <c r="I53" s="22"/>
      <c r="J53" s="24"/>
      <c r="K53" s="24" t="str">
        <f>IFERROR(VLOOKUP(Esselte[[#This Row],[Código]],Importação!P:R,3,FALSE),"")</f>
        <v/>
      </c>
      <c r="L53" s="24">
        <f>IFERROR(VLOOKUP(Esselte[[#This Row],[Código]],Saldo[],3,FALSE),0)</f>
        <v>572</v>
      </c>
      <c r="M53" s="24">
        <f>SUM(Esselte[[#This Row],[Produção]:[Estoque]])</f>
        <v>572</v>
      </c>
      <c r="N53" s="24">
        <f>IFERROR(Esselte[[#This Row],[Estoque+Importação]]/Esselte[[#This Row],[Proj. de V. No prox. mes]],"Sem Projeção")</f>
        <v>390</v>
      </c>
      <c r="O53" s="24" t="str">
        <f>IF(OR(Esselte[[#This Row],[Status]]="Em Linha",Esselte[[#This Row],[Status]]="Componente",Esselte[[#This Row],[Status]]="Materia Prima"),Esselte[[#This Row],[Proj. de V. No prox. mes]]*10,"-")</f>
        <v>-</v>
      </c>
      <c r="P5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3" s="75">
        <f>VLOOKUP(Esselte[[#This Row],[Código]],Projeção[#All],15,FALSE)</f>
        <v>1.4666666666666666</v>
      </c>
      <c r="R53" s="39">
        <f>VLOOKUP(Esselte[[#This Row],[Código]],Projeção[#All],14,FALSE)</f>
        <v>5.4666666666666659</v>
      </c>
      <c r="S53" s="39">
        <f>IFERROR(VLOOKUP(Esselte[[#This Row],[Código]],Venda_mes[],2,FALSE),0)</f>
        <v>0</v>
      </c>
      <c r="T53" s="44">
        <f>IFERROR(Esselte[[#This Row],[V. No mes]]/Esselte[[#This Row],[Proj. de V. No mes]],"")</f>
        <v>0</v>
      </c>
      <c r="U53" s="43">
        <f>VLOOKUP(Esselte[[#This Row],[Código]],Projeção[#All],14,FALSE)+VLOOKUP(Esselte[[#This Row],[Código]],Projeção[#All],13,FALSE)+VLOOKUP(Esselte[[#This Row],[Código]],Projeção[#All],12,FALSE)</f>
        <v>6.3666666666666654</v>
      </c>
      <c r="V53" s="39">
        <f>IFERROR(VLOOKUP(Esselte[[#This Row],[Código]],Venda_3meses[],2,FALSE),0)</f>
        <v>3</v>
      </c>
      <c r="W53" s="44">
        <f>IFERROR(Esselte[[#This Row],[V. 3 meses]]/Esselte[[#This Row],[Proj. de V. 3 meses]],"")</f>
        <v>0.4712041884816755</v>
      </c>
      <c r="X5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9.5999999999999961</v>
      </c>
      <c r="Y53" s="39">
        <f>IFERROR(VLOOKUP(Esselte[[#This Row],[Código]],Venda_12meses[],2,FALSE),0)</f>
        <v>26</v>
      </c>
      <c r="Z53" s="44">
        <f>IFERROR(Esselte[[#This Row],[V. 12 meses]]/Esselte[[#This Row],[Proj. de V. 12 meses]],"")</f>
        <v>2.7083333333333344</v>
      </c>
      <c r="AA53" s="22"/>
    </row>
    <row r="54" spans="1:27" x14ac:dyDescent="0.25">
      <c r="A54" s="22" t="str">
        <f>VLOOKUP(Esselte[[#This Row],[Código]],BD_Produto[#All],7,FALSE)</f>
        <v>Fora de Linha</v>
      </c>
      <c r="B5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4" s="23">
        <v>33063063513</v>
      </c>
      <c r="D54" s="22" t="s">
        <v>1082</v>
      </c>
      <c r="E54" s="22" t="str">
        <f>VLOOKUP(Esselte[[#This Row],[Código]],BD_Produto[],3,FALSE)</f>
        <v>Pasta Catálogo</v>
      </c>
      <c r="F54" s="22" t="str">
        <f>VLOOKUP(Esselte[[#This Row],[Código]],BD_Produto[],4,FALSE)</f>
        <v>Pasta Catálogo</v>
      </c>
      <c r="G54" s="24">
        <v>10</v>
      </c>
      <c r="H54" s="25"/>
      <c r="I54" s="22"/>
      <c r="J54" s="24"/>
      <c r="K54" s="24" t="str">
        <f>IFERROR(VLOOKUP(Esselte[[#This Row],[Código]],Importação!P:R,3,FALSE),"")</f>
        <v/>
      </c>
      <c r="L54" s="24">
        <f>IFERROR(VLOOKUP(Esselte[[#This Row],[Código]],Saldo[],3,FALSE),0)</f>
        <v>1175</v>
      </c>
      <c r="M54" s="24">
        <f>SUM(Esselte[[#This Row],[Produção]:[Estoque]])</f>
        <v>1175</v>
      </c>
      <c r="N54" s="24">
        <f>IFERROR(Esselte[[#This Row],[Estoque+Importação]]/Esselte[[#This Row],[Proj. de V. No prox. mes]],"Sem Projeção")</f>
        <v>78.159645232815976</v>
      </c>
      <c r="O54" s="24" t="str">
        <f>IF(OR(Esselte[[#This Row],[Status]]="Em Linha",Esselte[[#This Row],[Status]]="Componente",Esselte[[#This Row],[Status]]="Materia Prima"),Esselte[[#This Row],[Proj. de V. No prox. mes]]*10,"-")</f>
        <v>-</v>
      </c>
      <c r="P5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4" s="75">
        <f>VLOOKUP(Esselte[[#This Row],[Código]],Projeção[#All],15,FALSE)</f>
        <v>15.033333333333331</v>
      </c>
      <c r="R54" s="39">
        <f>VLOOKUP(Esselte[[#This Row],[Código]],Projeção[#All],14,FALSE)</f>
        <v>8.8666666666666671</v>
      </c>
      <c r="S54" s="39">
        <f>IFERROR(VLOOKUP(Esselte[[#This Row],[Código]],Venda_mes[],2,FALSE),0)</f>
        <v>46</v>
      </c>
      <c r="T54" s="44">
        <f>IFERROR(Esselte[[#This Row],[V. No mes]]/Esselte[[#This Row],[Proj. de V. No mes]],"")</f>
        <v>5.1879699248120295</v>
      </c>
      <c r="U54" s="43">
        <f>VLOOKUP(Esselte[[#This Row],[Código]],Projeção[#All],14,FALSE)+VLOOKUP(Esselte[[#This Row],[Código]],Projeção[#All],13,FALSE)+VLOOKUP(Esselte[[#This Row],[Código]],Projeção[#All],12,FALSE)</f>
        <v>10.033333333333333</v>
      </c>
      <c r="V54" s="39">
        <f>IFERROR(VLOOKUP(Esselte[[#This Row],[Código]],Venda_3meses[],2,FALSE),0)</f>
        <v>52</v>
      </c>
      <c r="W54" s="44">
        <f>IFERROR(Esselte[[#This Row],[V. 3 meses]]/Esselte[[#This Row],[Proj. de V. 3 meses]],"")</f>
        <v>5.1827242524916945</v>
      </c>
      <c r="X5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10.399999999999999</v>
      </c>
      <c r="Y54" s="39">
        <f>IFERROR(VLOOKUP(Esselte[[#This Row],[Código]],Venda_12meses[],2,FALSE),0)</f>
        <v>113</v>
      </c>
      <c r="Z54" s="44">
        <f>IFERROR(Esselte[[#This Row],[V. 12 meses]]/Esselte[[#This Row],[Proj. de V. 12 meses]],"")</f>
        <v>10.865384615384617</v>
      </c>
      <c r="AA54" s="22"/>
    </row>
    <row r="55" spans="1:27" x14ac:dyDescent="0.25">
      <c r="A55" s="22" t="str">
        <f>VLOOKUP(Esselte[[#This Row],[Código]],BD_Produto[#All],7,FALSE)</f>
        <v>Fora de Linha</v>
      </c>
      <c r="B5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5" s="23">
        <v>33063063467</v>
      </c>
      <c r="D55" s="22" t="s">
        <v>1065</v>
      </c>
      <c r="E55" s="22" t="str">
        <f>VLOOKUP(Esselte[[#This Row],[Código]],BD_Produto[],3,FALSE)</f>
        <v>Pasta Organizadora (A/Z)</v>
      </c>
      <c r="F55" s="22" t="str">
        <f>VLOOKUP(Esselte[[#This Row],[Código]],BD_Produto[],4,FALSE)</f>
        <v>Pasta Organizadora (A/Z)</v>
      </c>
      <c r="G55" s="24">
        <v>5</v>
      </c>
      <c r="H55" s="25"/>
      <c r="I55" s="22"/>
      <c r="J55" s="24"/>
      <c r="K55" s="24" t="str">
        <f>IFERROR(VLOOKUP(Esselte[[#This Row],[Código]],Importação!P:R,3,FALSE),"")</f>
        <v/>
      </c>
      <c r="L55" s="24">
        <f>IFERROR(VLOOKUP(Esselte[[#This Row],[Código]],Saldo[],3,FALSE),0)</f>
        <v>607</v>
      </c>
      <c r="M55" s="24">
        <f>SUM(Esselte[[#This Row],[Produção]:[Estoque]])</f>
        <v>607</v>
      </c>
      <c r="N55" s="24">
        <f>IFERROR(Esselte[[#This Row],[Estoque+Importação]]/Esselte[[#This Row],[Proj. de V. No prox. mes]],"Sem Projeção")</f>
        <v>791.73913043478251</v>
      </c>
      <c r="O55" s="24" t="str">
        <f>IF(OR(Esselte[[#This Row],[Status]]="Em Linha",Esselte[[#This Row],[Status]]="Componente",Esselte[[#This Row],[Status]]="Materia Prima"),Esselte[[#This Row],[Proj. de V. No prox. mes]]*10,"-")</f>
        <v>-</v>
      </c>
      <c r="P5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5" s="75">
        <f>VLOOKUP(Esselte[[#This Row],[Código]],Projeção[#All],15,FALSE)</f>
        <v>0.76666666666666672</v>
      </c>
      <c r="R55" s="39">
        <f>VLOOKUP(Esselte[[#This Row],[Código]],Projeção[#All],14,FALSE)</f>
        <v>4.6666666666666661</v>
      </c>
      <c r="S55" s="39">
        <f>IFERROR(VLOOKUP(Esselte[[#This Row],[Código]],Venda_mes[],2,FALSE),0)</f>
        <v>0</v>
      </c>
      <c r="T55" s="44">
        <f>IFERROR(Esselte[[#This Row],[V. No mes]]/Esselte[[#This Row],[Proj. de V. No mes]],"")</f>
        <v>0</v>
      </c>
      <c r="U55" s="43">
        <f>VLOOKUP(Esselte[[#This Row],[Código]],Projeção[#All],14,FALSE)+VLOOKUP(Esselte[[#This Row],[Código]],Projeção[#All],13,FALSE)+VLOOKUP(Esselte[[#This Row],[Código]],Projeção[#All],12,FALSE)</f>
        <v>4.6666666666666661</v>
      </c>
      <c r="V55" s="39">
        <f>IFERROR(VLOOKUP(Esselte[[#This Row],[Código]],Venda_3meses[],2,FALSE),0)</f>
        <v>0</v>
      </c>
      <c r="W55" s="44">
        <f>IFERROR(Esselte[[#This Row],[V. 3 meses]]/Esselte[[#This Row],[Proj. de V. 3 meses]],"")</f>
        <v>0</v>
      </c>
      <c r="X5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6.0000000000000018</v>
      </c>
      <c r="Y55" s="39">
        <f>IFERROR(VLOOKUP(Esselte[[#This Row],[Código]],Venda_12meses[],2,FALSE),0)</f>
        <v>23</v>
      </c>
      <c r="Z55" s="44">
        <f>IFERROR(Esselte[[#This Row],[V. 12 meses]]/Esselte[[#This Row],[Proj. de V. 12 meses]],"")</f>
        <v>3.8333333333333321</v>
      </c>
      <c r="AA55" s="22"/>
    </row>
    <row r="56" spans="1:27" x14ac:dyDescent="0.25">
      <c r="A56" s="22" t="str">
        <f>VLOOKUP(Esselte[[#This Row],[Código]],BD_Produto[#All],7,FALSE)</f>
        <v>Fora de Linha</v>
      </c>
      <c r="B5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6" s="23">
        <v>33063063472</v>
      </c>
      <c r="D56" s="22" t="s">
        <v>1067</v>
      </c>
      <c r="E56" s="22" t="str">
        <f>VLOOKUP(Esselte[[#This Row],[Código]],BD_Produto[],3,FALSE)</f>
        <v>Pasta Organizadora (A/Z)</v>
      </c>
      <c r="F56" s="22" t="str">
        <f>VLOOKUP(Esselte[[#This Row],[Código]],BD_Produto[],4,FALSE)</f>
        <v>Pasta Organizadora (A/Z)</v>
      </c>
      <c r="G56" s="24">
        <v>5</v>
      </c>
      <c r="H56" s="25"/>
      <c r="I56" s="22"/>
      <c r="J56" s="24"/>
      <c r="K56" s="24" t="str">
        <f>IFERROR(VLOOKUP(Esselte[[#This Row],[Código]],Importação!P:R,3,FALSE),"")</f>
        <v/>
      </c>
      <c r="L56" s="24">
        <f>IFERROR(VLOOKUP(Esselte[[#This Row],[Código]],Saldo[],3,FALSE),0)</f>
        <v>607</v>
      </c>
      <c r="M56" s="24">
        <f>SUM(Esselte[[#This Row],[Produção]:[Estoque]])</f>
        <v>607</v>
      </c>
      <c r="N56" s="24">
        <f>IFERROR(Esselte[[#This Row],[Estoque+Importação]]/Esselte[[#This Row],[Proj. de V. No prox. mes]],"Sem Projeção")</f>
        <v>111.71779141104295</v>
      </c>
      <c r="O56" s="24" t="str">
        <f>IF(OR(Esselte[[#This Row],[Status]]="Em Linha",Esselte[[#This Row],[Status]]="Componente",Esselte[[#This Row],[Status]]="Materia Prima"),Esselte[[#This Row],[Proj. de V. No prox. mes]]*10,"-")</f>
        <v>-</v>
      </c>
      <c r="P5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6" s="75">
        <f>VLOOKUP(Esselte[[#This Row],[Código]],Projeção[#All],15,FALSE)</f>
        <v>5.4333333333333327</v>
      </c>
      <c r="R56" s="39">
        <f>VLOOKUP(Esselte[[#This Row],[Código]],Projeção[#All],14,FALSE)</f>
        <v>5.3666666666666663</v>
      </c>
      <c r="S56" s="39">
        <f>IFERROR(VLOOKUP(Esselte[[#This Row],[Código]],Venda_mes[],2,FALSE),0)</f>
        <v>20</v>
      </c>
      <c r="T56" s="44">
        <f>IFERROR(Esselte[[#This Row],[V. No mes]]/Esselte[[#This Row],[Proj. de V. No mes]],"")</f>
        <v>3.7267080745341619</v>
      </c>
      <c r="U56" s="43">
        <f>VLOOKUP(Esselte[[#This Row],[Código]],Projeção[#All],14,FALSE)+VLOOKUP(Esselte[[#This Row],[Código]],Projeção[#All],13,FALSE)+VLOOKUP(Esselte[[#This Row],[Código]],Projeção[#All],12,FALSE)</f>
        <v>6.0666666666666664</v>
      </c>
      <c r="V56" s="39">
        <f>IFERROR(VLOOKUP(Esselte[[#This Row],[Código]],Venda_3meses[],2,FALSE),0)</f>
        <v>20</v>
      </c>
      <c r="W56" s="44">
        <f>IFERROR(Esselte[[#This Row],[V. 3 meses]]/Esselte[[#This Row],[Proj. de V. 3 meses]],"")</f>
        <v>3.296703296703297</v>
      </c>
      <c r="X5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6.0666666666666664</v>
      </c>
      <c r="Y56" s="39">
        <f>IFERROR(VLOOKUP(Esselte[[#This Row],[Código]],Venda_12meses[],2,FALSE),0)</f>
        <v>43</v>
      </c>
      <c r="Z56" s="44">
        <f>IFERROR(Esselte[[#This Row],[V. 12 meses]]/Esselte[[#This Row],[Proj. de V. 12 meses]],"")</f>
        <v>7.0879120879120885</v>
      </c>
      <c r="AA56" s="22"/>
    </row>
    <row r="57" spans="1:27" x14ac:dyDescent="0.25">
      <c r="A57" s="22" t="str">
        <f>VLOOKUP(Esselte[[#This Row],[Código]],BD_Produto[#All],7,FALSE)</f>
        <v>Fora de Linha</v>
      </c>
      <c r="B5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7" s="23">
        <v>33063063927</v>
      </c>
      <c r="D57" s="22" t="s">
        <v>1212</v>
      </c>
      <c r="E57" s="22" t="str">
        <f>VLOOKUP(Esselte[[#This Row],[Código]],BD_Produto[],3,FALSE)</f>
        <v>Pasta Fichário</v>
      </c>
      <c r="F57" s="22" t="str">
        <f>VLOOKUP(Esselte[[#This Row],[Código]],BD_Produto[],4,FALSE)</f>
        <v>Pasta Fichário</v>
      </c>
      <c r="G57" s="24">
        <v>1</v>
      </c>
      <c r="H57" s="25"/>
      <c r="I57" s="22"/>
      <c r="J57" s="24"/>
      <c r="K57" s="24" t="str">
        <f>IFERROR(VLOOKUP(Esselte[[#This Row],[Código]],Importação!P:R,3,FALSE),"")</f>
        <v/>
      </c>
      <c r="L57" s="24">
        <f>IFERROR(VLOOKUP(Esselte[[#This Row],[Código]],Saldo[],3,FALSE),0)</f>
        <v>1358</v>
      </c>
      <c r="M57" s="24">
        <f>SUM(Esselte[[#This Row],[Produção]:[Estoque]])</f>
        <v>1358</v>
      </c>
      <c r="N57" s="24">
        <f>IFERROR(Esselte[[#This Row],[Estoque+Importação]]/Esselte[[#This Row],[Proj. de V. No prox. mes]],"Sem Projeção")</f>
        <v>384.33962264150949</v>
      </c>
      <c r="O57" s="24" t="str">
        <f>IF(OR(Esselte[[#This Row],[Status]]="Em Linha",Esselte[[#This Row],[Status]]="Componente",Esselte[[#This Row],[Status]]="Materia Prima"),Esselte[[#This Row],[Proj. de V. No prox. mes]]*10,"-")</f>
        <v>-</v>
      </c>
      <c r="P5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7" s="75">
        <f>VLOOKUP(Esselte[[#This Row],[Código]],Projeção[#All],15,FALSE)</f>
        <v>3.5333333333333328</v>
      </c>
      <c r="R57" s="39">
        <f>VLOOKUP(Esselte[[#This Row],[Código]],Projeção[#All],14,FALSE)</f>
        <v>8.3000000000000007</v>
      </c>
      <c r="S57" s="39">
        <f>IFERROR(VLOOKUP(Esselte[[#This Row],[Código]],Venda_mes[],2,FALSE),0)</f>
        <v>1</v>
      </c>
      <c r="T57" s="44">
        <f>IFERROR(Esselte[[#This Row],[V. No mes]]/Esselte[[#This Row],[Proj. de V. No mes]],"")</f>
        <v>0.12048192771084336</v>
      </c>
      <c r="U57" s="43">
        <f>VLOOKUP(Esselte[[#This Row],[Código]],Projeção[#All],14,FALSE)+VLOOKUP(Esselte[[#This Row],[Código]],Projeção[#All],13,FALSE)+VLOOKUP(Esselte[[#This Row],[Código]],Projeção[#All],12,FALSE)</f>
        <v>21.766666666666666</v>
      </c>
      <c r="V57" s="39">
        <f>IFERROR(VLOOKUP(Esselte[[#This Row],[Código]],Venda_3meses[],2,FALSE),0)</f>
        <v>8</v>
      </c>
      <c r="W57" s="44">
        <f>IFERROR(Esselte[[#This Row],[V. 3 meses]]/Esselte[[#This Row],[Proj. de V. 3 meses]],"")</f>
        <v>0.36753445635528331</v>
      </c>
      <c r="X5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162.46666666666667</v>
      </c>
      <c r="Y57" s="39">
        <f>IFERROR(VLOOKUP(Esselte[[#This Row],[Código]],Venda_12meses[],2,FALSE),0)</f>
        <v>48</v>
      </c>
      <c r="Z57" s="44">
        <f>IFERROR(Esselte[[#This Row],[V. 12 meses]]/Esselte[[#This Row],[Proj. de V. 12 meses]],"")</f>
        <v>0.29544521953221176</v>
      </c>
      <c r="AA57" s="22">
        <v>33063063773</v>
      </c>
    </row>
    <row r="58" spans="1:27" x14ac:dyDescent="0.25">
      <c r="A58" s="22" t="str">
        <f>VLOOKUP(Esselte[[#This Row],[Código]],BD_Produto[#All],7,FALSE)</f>
        <v>Fora de Linha</v>
      </c>
      <c r="B5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8" s="23">
        <v>33063063512</v>
      </c>
      <c r="D58" s="22" t="s">
        <v>1054</v>
      </c>
      <c r="E58" s="22" t="str">
        <f>VLOOKUP(Esselte[[#This Row],[Código]],BD_Produto[],3,FALSE)</f>
        <v>Pasta Catálogo</v>
      </c>
      <c r="F58" s="22" t="str">
        <f>VLOOKUP(Esselte[[#This Row],[Código]],BD_Produto[],4,FALSE)</f>
        <v>Pasta Catálogo</v>
      </c>
      <c r="G58" s="24">
        <v>10</v>
      </c>
      <c r="H58" s="25"/>
      <c r="I58" s="22"/>
      <c r="J58" s="24"/>
      <c r="K58" s="24" t="str">
        <f>IFERROR(VLOOKUP(Esselte[[#This Row],[Código]],Importação!P:R,3,FALSE),"")</f>
        <v/>
      </c>
      <c r="L58" s="24">
        <f>IFERROR(VLOOKUP(Esselte[[#This Row],[Código]],Saldo[],3,FALSE),0)</f>
        <v>1270</v>
      </c>
      <c r="M58" s="24">
        <f>SUM(Esselte[[#This Row],[Produção]:[Estoque]])</f>
        <v>1270</v>
      </c>
      <c r="N58" s="24">
        <f>IFERROR(Esselte[[#This Row],[Estoque+Importação]]/Esselte[[#This Row],[Proj. de V. No prox. mes]],"Sem Projeção")</f>
        <v>117.95665634674921</v>
      </c>
      <c r="O58" s="24" t="str">
        <f>IF(OR(Esselte[[#This Row],[Status]]="Em Linha",Esselte[[#This Row],[Status]]="Componente",Esselte[[#This Row],[Status]]="Materia Prima"),Esselte[[#This Row],[Proj. de V. No prox. mes]]*10,"-")</f>
        <v>-</v>
      </c>
      <c r="P5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8" s="75">
        <f>VLOOKUP(Esselte[[#This Row],[Código]],Projeção[#All],15,FALSE)</f>
        <v>10.766666666666667</v>
      </c>
      <c r="R58" s="39">
        <f>VLOOKUP(Esselte[[#This Row],[Código]],Projeção[#All],14,FALSE)</f>
        <v>7.7333333333333325</v>
      </c>
      <c r="S58" s="39">
        <f>IFERROR(VLOOKUP(Esselte[[#This Row],[Código]],Venda_mes[],2,FALSE),0)</f>
        <v>40</v>
      </c>
      <c r="T58" s="44">
        <f>IFERROR(Esselte[[#This Row],[V. No mes]]/Esselte[[#This Row],[Proj. de V. No mes]],"")</f>
        <v>5.1724137931034484</v>
      </c>
      <c r="U58" s="43">
        <f>VLOOKUP(Esselte[[#This Row],[Código]],Projeção[#All],14,FALSE)+VLOOKUP(Esselte[[#This Row],[Código]],Projeção[#All],13,FALSE)+VLOOKUP(Esselte[[#This Row],[Código]],Projeção[#All],12,FALSE)</f>
        <v>7.7999999999999989</v>
      </c>
      <c r="V58" s="39">
        <f>IFERROR(VLOOKUP(Esselte[[#This Row],[Código]],Venda_3meses[],2,FALSE),0)</f>
        <v>40</v>
      </c>
      <c r="W58" s="44">
        <f>IFERROR(Esselte[[#This Row],[V. 3 meses]]/Esselte[[#This Row],[Proj. de V. 3 meses]],"")</f>
        <v>5.1282051282051286</v>
      </c>
      <c r="X5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8.8999999999999986</v>
      </c>
      <c r="Y58" s="39">
        <f>IFERROR(VLOOKUP(Esselte[[#This Row],[Código]],Venda_12meses[],2,FALSE),0)</f>
        <v>83</v>
      </c>
      <c r="Z58" s="44">
        <f>IFERROR(Esselte[[#This Row],[V. 12 meses]]/Esselte[[#This Row],[Proj. de V. 12 meses]],"")</f>
        <v>9.3258426966292145</v>
      </c>
      <c r="AA58" s="22"/>
    </row>
    <row r="59" spans="1:27" x14ac:dyDescent="0.25">
      <c r="A59" s="22" t="str">
        <f>VLOOKUP(Esselte[[#This Row],[Código]],BD_Produto[#All],7,FALSE)</f>
        <v>Fora de Linha</v>
      </c>
      <c r="B5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59" s="23">
        <v>33063063469</v>
      </c>
      <c r="D59" s="22" t="s">
        <v>1066</v>
      </c>
      <c r="E59" s="22" t="str">
        <f>VLOOKUP(Esselte[[#This Row],[Código]],BD_Produto[],3,FALSE)</f>
        <v>Pasta Organizadora (A/Z)</v>
      </c>
      <c r="F59" s="22" t="str">
        <f>VLOOKUP(Esselte[[#This Row],[Código]],BD_Produto[],4,FALSE)</f>
        <v>Pasta Organizadora (A/Z)</v>
      </c>
      <c r="G59" s="24">
        <v>5</v>
      </c>
      <c r="H59" s="25"/>
      <c r="I59" s="22"/>
      <c r="J59" s="24"/>
      <c r="K59" s="24" t="str">
        <f>IFERROR(VLOOKUP(Esselte[[#This Row],[Código]],Importação!P:R,3,FALSE),"")</f>
        <v/>
      </c>
      <c r="L59" s="24">
        <f>IFERROR(VLOOKUP(Esselte[[#This Row],[Código]],Saldo[],3,FALSE),0)</f>
        <v>591</v>
      </c>
      <c r="M59" s="24">
        <f>SUM(Esselte[[#This Row],[Produção]:[Estoque]])</f>
        <v>591</v>
      </c>
      <c r="N59" s="24">
        <f>IFERROR(Esselte[[#This Row],[Estoque+Importação]]/Esselte[[#This Row],[Proj. de V. No prox. mes]],"Sem Projeção")</f>
        <v>192.71739130434784</v>
      </c>
      <c r="O59" s="24" t="str">
        <f>IF(OR(Esselte[[#This Row],[Status]]="Em Linha",Esselte[[#This Row],[Status]]="Componente",Esselte[[#This Row],[Status]]="Materia Prima"),Esselte[[#This Row],[Proj. de V. No prox. mes]]*10,"-")</f>
        <v>-</v>
      </c>
      <c r="P5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59" s="75">
        <f>VLOOKUP(Esselte[[#This Row],[Código]],Projeção[#All],15,FALSE)</f>
        <v>3.0666666666666664</v>
      </c>
      <c r="R59" s="39">
        <f>VLOOKUP(Esselte[[#This Row],[Código]],Projeção[#All],14,FALSE)</f>
        <v>4.6666666666666661</v>
      </c>
      <c r="S59" s="39">
        <f>IFERROR(VLOOKUP(Esselte[[#This Row],[Código]],Venda_mes[],2,FALSE),0)</f>
        <v>0</v>
      </c>
      <c r="T59" s="44">
        <f>IFERROR(Esselte[[#This Row],[V. No mes]]/Esselte[[#This Row],[Proj. de V. No mes]],"")</f>
        <v>0</v>
      </c>
      <c r="U59" s="43">
        <f>VLOOKUP(Esselte[[#This Row],[Código]],Projeção[#All],14,FALSE)+VLOOKUP(Esselte[[#This Row],[Código]],Projeção[#All],13,FALSE)+VLOOKUP(Esselte[[#This Row],[Código]],Projeção[#All],12,FALSE)</f>
        <v>4.6666666666666661</v>
      </c>
      <c r="V59" s="39">
        <f>IFERROR(VLOOKUP(Esselte[[#This Row],[Código]],Venda_3meses[],2,FALSE),0)</f>
        <v>0</v>
      </c>
      <c r="W59" s="44">
        <f>IFERROR(Esselte[[#This Row],[V. 3 meses]]/Esselte[[#This Row],[Proj. de V. 3 meses]],"")</f>
        <v>0</v>
      </c>
      <c r="X5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4.6666666666666661</v>
      </c>
      <c r="Y59" s="39">
        <f>IFERROR(VLOOKUP(Esselte[[#This Row],[Código]],Venda_12meses[],2,FALSE),0)</f>
        <v>44</v>
      </c>
      <c r="Z59" s="44">
        <f>IFERROR(Esselte[[#This Row],[V. 12 meses]]/Esselte[[#This Row],[Proj. de V. 12 meses]],"")</f>
        <v>9.4285714285714306</v>
      </c>
      <c r="AA59" s="22"/>
    </row>
    <row r="60" spans="1:27" x14ac:dyDescent="0.25">
      <c r="A60" s="22" t="str">
        <f>VLOOKUP(Esselte[[#This Row],[Código]],BD_Produto[#All],7,FALSE)</f>
        <v>Fora de Linha</v>
      </c>
      <c r="B6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0" s="23">
        <v>33063063523</v>
      </c>
      <c r="D60" s="22" t="s">
        <v>1087</v>
      </c>
      <c r="E60" s="22" t="str">
        <f>VLOOKUP(Esselte[[#This Row],[Código]],BD_Produto[],3,FALSE)</f>
        <v>Pasta Congresso</v>
      </c>
      <c r="F60" s="22" t="str">
        <f>VLOOKUP(Esselte[[#This Row],[Código]],BD_Produto[],4,FALSE)</f>
        <v>Pasta Congresso</v>
      </c>
      <c r="G60" s="24">
        <v>5</v>
      </c>
      <c r="H60" s="25"/>
      <c r="I60" s="22"/>
      <c r="J60" s="24"/>
      <c r="K60" s="24" t="str">
        <f>IFERROR(VLOOKUP(Esselte[[#This Row],[Código]],Importação!P:R,3,FALSE),"")</f>
        <v/>
      </c>
      <c r="L60" s="24">
        <f>IFERROR(VLOOKUP(Esselte[[#This Row],[Código]],Saldo[],3,FALSE),0)</f>
        <v>430</v>
      </c>
      <c r="M60" s="24">
        <f>SUM(Esselte[[#This Row],[Produção]:[Estoque]])</f>
        <v>430</v>
      </c>
      <c r="N60" s="24">
        <f>IFERROR(Esselte[[#This Row],[Estoque+Importação]]/Esselte[[#This Row],[Proj. de V. No prox. mes]],"Sem Projeção")</f>
        <v>921.42857142857144</v>
      </c>
      <c r="O60" s="24" t="str">
        <f>IF(OR(Esselte[[#This Row],[Status]]="Em Linha",Esselte[[#This Row],[Status]]="Componente",Esselte[[#This Row],[Status]]="Materia Prima"),Esselte[[#This Row],[Proj. de V. No prox. mes]]*10,"-")</f>
        <v>-</v>
      </c>
      <c r="P6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0" s="75">
        <f>VLOOKUP(Esselte[[#This Row],[Código]],Projeção[#All],15,FALSE)</f>
        <v>0.46666666666666667</v>
      </c>
      <c r="R60" s="39">
        <f>VLOOKUP(Esselte[[#This Row],[Código]],Projeção[#All],14,FALSE)</f>
        <v>3.4333333333333327</v>
      </c>
      <c r="S60" s="39">
        <f>IFERROR(VLOOKUP(Esselte[[#This Row],[Código]],Venda_mes[],2,FALSE),0)</f>
        <v>0</v>
      </c>
      <c r="T60" s="44">
        <f>IFERROR(Esselte[[#This Row],[V. No mes]]/Esselte[[#This Row],[Proj. de V. No mes]],"")</f>
        <v>0</v>
      </c>
      <c r="U60" s="43">
        <f>VLOOKUP(Esselte[[#This Row],[Código]],Projeção[#All],14,FALSE)+VLOOKUP(Esselte[[#This Row],[Código]],Projeção[#All],13,FALSE)+VLOOKUP(Esselte[[#This Row],[Código]],Projeção[#All],12,FALSE)</f>
        <v>4.5666666666666664</v>
      </c>
      <c r="V60" s="39">
        <f>IFERROR(VLOOKUP(Esselte[[#This Row],[Código]],Venda_3meses[],2,FALSE),0)</f>
        <v>0</v>
      </c>
      <c r="W60" s="44">
        <f>IFERROR(Esselte[[#This Row],[V. 3 meses]]/Esselte[[#This Row],[Proj. de V. 3 meses]],"")</f>
        <v>0</v>
      </c>
      <c r="X6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15.633333333333333</v>
      </c>
      <c r="Y60" s="39">
        <f>IFERROR(VLOOKUP(Esselte[[#This Row],[Código]],Venda_12meses[],2,FALSE),0)</f>
        <v>14</v>
      </c>
      <c r="Z60" s="44">
        <f>IFERROR(Esselte[[#This Row],[V. 12 meses]]/Esselte[[#This Row],[Proj. de V. 12 meses]],"")</f>
        <v>0.89552238805970152</v>
      </c>
      <c r="AA60" s="22"/>
    </row>
    <row r="61" spans="1:27" x14ac:dyDescent="0.25">
      <c r="A61" s="22" t="str">
        <f>VLOOKUP(Esselte[[#This Row],[Código]],BD_Produto[#All],7,FALSE)</f>
        <v>Fora de Linha</v>
      </c>
      <c r="B6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1" s="23">
        <v>33063063522</v>
      </c>
      <c r="D61" s="22" t="s">
        <v>1101</v>
      </c>
      <c r="E61" s="22" t="str">
        <f>VLOOKUP(Esselte[[#This Row],[Código]],BD_Produto[],3,FALSE)</f>
        <v>Pasta Congresso</v>
      </c>
      <c r="F61" s="22" t="str">
        <f>VLOOKUP(Esselte[[#This Row],[Código]],BD_Produto[],4,FALSE)</f>
        <v>Pasta Congresso</v>
      </c>
      <c r="G61" s="24">
        <v>5</v>
      </c>
      <c r="H61" s="25"/>
      <c r="I61" s="22"/>
      <c r="J61" s="24"/>
      <c r="K61" s="24" t="str">
        <f>IFERROR(VLOOKUP(Esselte[[#This Row],[Código]],Importação!P:R,3,FALSE),"")</f>
        <v/>
      </c>
      <c r="L61" s="24">
        <f>IFERROR(VLOOKUP(Esselte[[#This Row],[Código]],Saldo[],3,FALSE),0)</f>
        <v>430</v>
      </c>
      <c r="M61" s="24">
        <f>SUM(Esselte[[#This Row],[Produção]:[Estoque]])</f>
        <v>430</v>
      </c>
      <c r="N61" s="24">
        <f>IFERROR(Esselte[[#This Row],[Estoque+Importação]]/Esselte[[#This Row],[Proj. de V. No prox. mes]],"Sem Projeção")</f>
        <v>992.30769230769238</v>
      </c>
      <c r="O61" s="24" t="str">
        <f>IF(OR(Esselte[[#This Row],[Status]]="Em Linha",Esselte[[#This Row],[Status]]="Componente",Esselte[[#This Row],[Status]]="Materia Prima"),Esselte[[#This Row],[Proj. de V. No prox. mes]]*10,"-")</f>
        <v>-</v>
      </c>
      <c r="P6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1" s="75">
        <f>VLOOKUP(Esselte[[#This Row],[Código]],Projeção[#All],15,FALSE)</f>
        <v>0.43333333333333329</v>
      </c>
      <c r="R61" s="39">
        <f>VLOOKUP(Esselte[[#This Row],[Código]],Projeção[#All],14,FALSE)</f>
        <v>3.1999999999999997</v>
      </c>
      <c r="S61" s="39">
        <f>IFERROR(VLOOKUP(Esselte[[#This Row],[Código]],Venda_mes[],2,FALSE),0)</f>
        <v>0</v>
      </c>
      <c r="T61" s="44">
        <f>IFERROR(Esselte[[#This Row],[V. No mes]]/Esselte[[#This Row],[Proj. de V. No mes]],"")</f>
        <v>0</v>
      </c>
      <c r="U61" s="43">
        <f>VLOOKUP(Esselte[[#This Row],[Código]],Projeção[#All],14,FALSE)+VLOOKUP(Esselte[[#This Row],[Código]],Projeção[#All],13,FALSE)+VLOOKUP(Esselte[[#This Row],[Código]],Projeção[#All],12,FALSE)</f>
        <v>3.6666666666666661</v>
      </c>
      <c r="V61" s="39">
        <f>IFERROR(VLOOKUP(Esselte[[#This Row],[Código]],Venda_3meses[],2,FALSE),0)</f>
        <v>0</v>
      </c>
      <c r="W61" s="44">
        <f>IFERROR(Esselte[[#This Row],[V. 3 meses]]/Esselte[[#This Row],[Proj. de V. 3 meses]],"")</f>
        <v>0</v>
      </c>
      <c r="X6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10.4</v>
      </c>
      <c r="Y61" s="39">
        <f>IFERROR(VLOOKUP(Esselte[[#This Row],[Código]],Venda_12meses[],2,FALSE),0)</f>
        <v>13</v>
      </c>
      <c r="Z61" s="44">
        <f>IFERROR(Esselte[[#This Row],[V. 12 meses]]/Esselte[[#This Row],[Proj. de V. 12 meses]],"")</f>
        <v>1.25</v>
      </c>
      <c r="AA61" s="22"/>
    </row>
    <row r="62" spans="1:27" x14ac:dyDescent="0.25">
      <c r="A62" s="22" t="str">
        <f>VLOOKUP(Esselte[[#This Row],[Código]],BD_Produto[#All],7,FALSE)</f>
        <v>Fora de Linha</v>
      </c>
      <c r="B6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2" s="23">
        <v>33063063466</v>
      </c>
      <c r="D62" s="22" t="s">
        <v>1138</v>
      </c>
      <c r="E62" s="22" t="str">
        <f>VLOOKUP(Esselte[[#This Row],[Código]],BD_Produto[],3,FALSE)</f>
        <v>Pasta Organizadora (A/Z)</v>
      </c>
      <c r="F62" s="22" t="str">
        <f>VLOOKUP(Esselte[[#This Row],[Código]],BD_Produto[],4,FALSE)</f>
        <v>Pasta Organizadora (A/Z)</v>
      </c>
      <c r="G62" s="24">
        <v>5</v>
      </c>
      <c r="H62" s="25"/>
      <c r="I62" s="22"/>
      <c r="J62" s="24"/>
      <c r="K62" s="24" t="str">
        <f>IFERROR(VLOOKUP(Esselte[[#This Row],[Código]],Importação!P:R,3,FALSE),"")</f>
        <v/>
      </c>
      <c r="L62" s="24">
        <f>IFERROR(VLOOKUP(Esselte[[#This Row],[Código]],Saldo[],3,FALSE),0)</f>
        <v>368</v>
      </c>
      <c r="M62" s="24">
        <f>SUM(Esselte[[#This Row],[Produção]:[Estoque]])</f>
        <v>368</v>
      </c>
      <c r="N62" s="24">
        <f>IFERROR(Esselte[[#This Row],[Estoque+Importação]]/Esselte[[#This Row],[Proj. de V. No prox. mes]],"Sem Projeção")</f>
        <v>74.093959731543634</v>
      </c>
      <c r="O62" s="24" t="str">
        <f>IF(OR(Esselte[[#This Row],[Status]]="Em Linha",Esselte[[#This Row],[Status]]="Componente",Esselte[[#This Row],[Status]]="Materia Prima"),Esselte[[#This Row],[Proj. de V. No prox. mes]]*10,"-")</f>
        <v>-</v>
      </c>
      <c r="P6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2" s="75">
        <f>VLOOKUP(Esselte[[#This Row],[Código]],Projeção[#All],15,FALSE)</f>
        <v>4.9666666666666659</v>
      </c>
      <c r="R62" s="39">
        <f>VLOOKUP(Esselte[[#This Row],[Código]],Projeção[#All],14,FALSE)</f>
        <v>3</v>
      </c>
      <c r="S62" s="39">
        <f>IFERROR(VLOOKUP(Esselte[[#This Row],[Código]],Venda_mes[],2,FALSE),0)</f>
        <v>20</v>
      </c>
      <c r="T62" s="44">
        <f>IFERROR(Esselte[[#This Row],[V. No mes]]/Esselte[[#This Row],[Proj. de V. No mes]],"")</f>
        <v>6.666666666666667</v>
      </c>
      <c r="U62" s="43">
        <f>VLOOKUP(Esselte[[#This Row],[Código]],Projeção[#All],14,FALSE)+VLOOKUP(Esselte[[#This Row],[Código]],Projeção[#All],13,FALSE)+VLOOKUP(Esselte[[#This Row],[Código]],Projeção[#All],12,FALSE)</f>
        <v>5.5</v>
      </c>
      <c r="V62" s="39">
        <f>IFERROR(VLOOKUP(Esselte[[#This Row],[Código]],Venda_3meses[],2,FALSE),0)</f>
        <v>20</v>
      </c>
      <c r="W62" s="44">
        <f>IFERROR(Esselte[[#This Row],[V. 3 meses]]/Esselte[[#This Row],[Proj. de V. 3 meses]],"")</f>
        <v>3.6363636363636362</v>
      </c>
      <c r="X6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24.3</v>
      </c>
      <c r="Y62" s="39">
        <f>IFERROR(VLOOKUP(Esselte[[#This Row],[Código]],Venda_12meses[],2,FALSE),0)</f>
        <v>29</v>
      </c>
      <c r="Z62" s="44">
        <f>IFERROR(Esselte[[#This Row],[V. 12 meses]]/Esselte[[#This Row],[Proj. de V. 12 meses]],"")</f>
        <v>1.1934156378600822</v>
      </c>
      <c r="AA62" s="22"/>
    </row>
    <row r="63" spans="1:27" x14ac:dyDescent="0.25">
      <c r="A63" s="22" t="str">
        <f>VLOOKUP(Esselte[[#This Row],[Código]],BD_Produto[#All],7,FALSE)</f>
        <v>Fora de Linha</v>
      </c>
      <c r="B6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3" s="23">
        <v>33063263346</v>
      </c>
      <c r="D63" s="22" t="s">
        <v>1159</v>
      </c>
      <c r="E63" s="22" t="str">
        <f>VLOOKUP(Esselte[[#This Row],[Código]],BD_Produto[],3,FALSE)</f>
        <v>Pasta Suspensa</v>
      </c>
      <c r="F63" s="22" t="str">
        <f>VLOOKUP(Esselte[[#This Row],[Código]],BD_Produto[],4,FALSE)</f>
        <v>Pasta Suspensa</v>
      </c>
      <c r="G63" s="24">
        <v>1</v>
      </c>
      <c r="H63" s="25"/>
      <c r="I63" s="22"/>
      <c r="J63" s="24"/>
      <c r="K63" s="24" t="str">
        <f>IFERROR(VLOOKUP(Esselte[[#This Row],[Código]],Importação!P:R,3,FALSE),"")</f>
        <v/>
      </c>
      <c r="L63" s="24">
        <f>IFERROR(VLOOKUP(Esselte[[#This Row],[Código]],Saldo[],3,FALSE),0)</f>
        <v>3373</v>
      </c>
      <c r="M63" s="24">
        <f>SUM(Esselte[[#This Row],[Produção]:[Estoque]])</f>
        <v>3373</v>
      </c>
      <c r="N63" s="24">
        <f>IFERROR(Esselte[[#This Row],[Estoque+Importação]]/Esselte[[#This Row],[Proj. de V. No prox. mes]],"Sem Projeção")</f>
        <v>16.632149901380672</v>
      </c>
      <c r="O63" s="24" t="str">
        <f>IF(OR(Esselte[[#This Row],[Status]]="Em Linha",Esselte[[#This Row],[Status]]="Componente",Esselte[[#This Row],[Status]]="Materia Prima"),Esselte[[#This Row],[Proj. de V. No prox. mes]]*10,"-")</f>
        <v>-</v>
      </c>
      <c r="P6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3" s="75">
        <f>VLOOKUP(Esselte[[#This Row],[Código]],Projeção[#All],15,FALSE)</f>
        <v>202.79999999999998</v>
      </c>
      <c r="R63" s="39">
        <f>VLOOKUP(Esselte[[#This Row],[Código]],Projeção[#All],14,FALSE)</f>
        <v>33.56666666666667</v>
      </c>
      <c r="S63" s="39">
        <f>IFERROR(VLOOKUP(Esselte[[#This Row],[Código]],Venda_mes[],2,FALSE),0)</f>
        <v>0</v>
      </c>
      <c r="T63" s="44">
        <f>IFERROR(Esselte[[#This Row],[V. No mes]]/Esselte[[#This Row],[Proj. de V. No mes]],"")</f>
        <v>0</v>
      </c>
      <c r="U63" s="43">
        <f>VLOOKUP(Esselte[[#This Row],[Código]],Projeção[#All],14,FALSE)+VLOOKUP(Esselte[[#This Row],[Código]],Projeção[#All],13,FALSE)+VLOOKUP(Esselte[[#This Row],[Código]],Projeção[#All],12,FALSE)</f>
        <v>94.3</v>
      </c>
      <c r="V63" s="39">
        <f>IFERROR(VLOOKUP(Esselte[[#This Row],[Código]],Venda_3meses[],2,FALSE),0)</f>
        <v>0</v>
      </c>
      <c r="W63" s="44">
        <f>IFERROR(Esselte[[#This Row],[V. 3 meses]]/Esselte[[#This Row],[Proj. de V. 3 meses]],"")</f>
        <v>0</v>
      </c>
      <c r="X6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938.96666666666647</v>
      </c>
      <c r="Y63" s="39">
        <f>IFERROR(VLOOKUP(Esselte[[#This Row],[Código]],Venda_12meses[],2,FALSE),0)</f>
        <v>2084</v>
      </c>
      <c r="Z63" s="44">
        <f>IFERROR(Esselte[[#This Row],[V. 12 meses]]/Esselte[[#This Row],[Proj. de V. 12 meses]],"")</f>
        <v>2.2194611097305552</v>
      </c>
      <c r="AA63" s="22"/>
    </row>
    <row r="64" spans="1:27" x14ac:dyDescent="0.25">
      <c r="A64" s="22" t="str">
        <f>VLOOKUP(Esselte[[#This Row],[Código]],BD_Produto[#All],7,FALSE)</f>
        <v>Fora de Linha</v>
      </c>
      <c r="B6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4" s="23">
        <v>33063063506</v>
      </c>
      <c r="D64" s="22" t="s">
        <v>1114</v>
      </c>
      <c r="E64" s="22" t="str">
        <f>VLOOKUP(Esselte[[#This Row],[Código]],BD_Produto[],3,FALSE)</f>
        <v>Pasta Catálogo</v>
      </c>
      <c r="F64" s="22" t="str">
        <f>VLOOKUP(Esselte[[#This Row],[Código]],BD_Produto[],4,FALSE)</f>
        <v>Pasta Catálogo</v>
      </c>
      <c r="G64" s="24">
        <v>10</v>
      </c>
      <c r="H64" s="25"/>
      <c r="I64" s="22"/>
      <c r="J64" s="24"/>
      <c r="K64" s="24" t="str">
        <f>IFERROR(VLOOKUP(Esselte[[#This Row],[Código]],Importação!P:R,3,FALSE),"")</f>
        <v/>
      </c>
      <c r="L64" s="24">
        <f>IFERROR(VLOOKUP(Esselte[[#This Row],[Código]],Saldo[],3,FALSE),0)</f>
        <v>1201</v>
      </c>
      <c r="M64" s="24">
        <f>SUM(Esselte[[#This Row],[Produção]:[Estoque]])</f>
        <v>1201</v>
      </c>
      <c r="N64" s="24">
        <f>IFERROR(Esselte[[#This Row],[Estoque+Importação]]/Esselte[[#This Row],[Proj. de V. No prox. mes]],"Sem Projeção")</f>
        <v>116.60194174757281</v>
      </c>
      <c r="O64" s="24" t="str">
        <f>IF(OR(Esselte[[#This Row],[Status]]="Em Linha",Esselte[[#This Row],[Status]]="Componente",Esselte[[#This Row],[Status]]="Materia Prima"),Esselte[[#This Row],[Proj. de V. No prox. mes]]*10,"-")</f>
        <v>-</v>
      </c>
      <c r="P6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4" s="75">
        <f>VLOOKUP(Esselte[[#This Row],[Código]],Projeção[#All],15,FALSE)</f>
        <v>10.3</v>
      </c>
      <c r="R64" s="39">
        <f>VLOOKUP(Esselte[[#This Row],[Código]],Projeção[#All],14,FALSE)</f>
        <v>7.7333333333333325</v>
      </c>
      <c r="S64" s="39">
        <f>IFERROR(VLOOKUP(Esselte[[#This Row],[Código]],Venda_mes[],2,FALSE),0)</f>
        <v>40</v>
      </c>
      <c r="T64" s="44">
        <f>IFERROR(Esselte[[#This Row],[V. No mes]]/Esselte[[#This Row],[Proj. de V. No mes]],"")</f>
        <v>5.1724137931034484</v>
      </c>
      <c r="U64" s="43">
        <f>VLOOKUP(Esselte[[#This Row],[Código]],Projeção[#All],14,FALSE)+VLOOKUP(Esselte[[#This Row],[Código]],Projeção[#All],13,FALSE)+VLOOKUP(Esselte[[#This Row],[Código]],Projeção[#All],12,FALSE)</f>
        <v>11.066666666666666</v>
      </c>
      <c r="V64" s="39">
        <f>IFERROR(VLOOKUP(Esselte[[#This Row],[Código]],Venda_3meses[],2,FALSE),0)</f>
        <v>40</v>
      </c>
      <c r="W64" s="44">
        <f>IFERROR(Esselte[[#This Row],[V. 3 meses]]/Esselte[[#This Row],[Proj. de V. 3 meses]],"")</f>
        <v>3.6144578313253013</v>
      </c>
      <c r="X6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41.599999999999994</v>
      </c>
      <c r="Y64" s="39">
        <f>IFERROR(VLOOKUP(Esselte[[#This Row],[Código]],Venda_12meses[],2,FALSE),0)</f>
        <v>69</v>
      </c>
      <c r="Z64" s="44">
        <f>IFERROR(Esselte[[#This Row],[V. 12 meses]]/Esselte[[#This Row],[Proj. de V. 12 meses]],"")</f>
        <v>1.6586538461538465</v>
      </c>
      <c r="AA64" s="22"/>
    </row>
    <row r="65" spans="1:27" x14ac:dyDescent="0.25">
      <c r="A65" s="22" t="str">
        <f>VLOOKUP(Esselte[[#This Row],[Código]],BD_Produto[#All],7,FALSE)</f>
        <v>Fora de Linha</v>
      </c>
      <c r="B6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5" s="23">
        <v>33063063524</v>
      </c>
      <c r="D65" s="22" t="s">
        <v>1088</v>
      </c>
      <c r="E65" s="22" t="str">
        <f>VLOOKUP(Esselte[[#This Row],[Código]],BD_Produto[],3,FALSE)</f>
        <v>Pasta Congresso</v>
      </c>
      <c r="F65" s="22" t="str">
        <f>VLOOKUP(Esselte[[#This Row],[Código]],BD_Produto[],4,FALSE)</f>
        <v>Pasta Congresso</v>
      </c>
      <c r="G65" s="24">
        <v>5</v>
      </c>
      <c r="H65" s="25"/>
      <c r="I65" s="22"/>
      <c r="J65" s="24"/>
      <c r="K65" s="24" t="str">
        <f>IFERROR(VLOOKUP(Esselte[[#This Row],[Código]],Importação!P:R,3,FALSE),"")</f>
        <v/>
      </c>
      <c r="L65" s="24">
        <f>IFERROR(VLOOKUP(Esselte[[#This Row],[Código]],Saldo[],3,FALSE),0)</f>
        <v>483</v>
      </c>
      <c r="M65" s="24">
        <f>SUM(Esselte[[#This Row],[Produção]:[Estoque]])</f>
        <v>483</v>
      </c>
      <c r="N65" s="24">
        <f>IFERROR(Esselte[[#This Row],[Estoque+Importação]]/Esselte[[#This Row],[Proj. de V. No prox. mes]],"Sem Projeção")</f>
        <v>1114.6153846153848</v>
      </c>
      <c r="O65" s="24" t="str">
        <f>IF(OR(Esselte[[#This Row],[Status]]="Em Linha",Esselte[[#This Row],[Status]]="Componente",Esselte[[#This Row],[Status]]="Materia Prima"),Esselte[[#This Row],[Proj. de V. No prox. mes]]*10,"-")</f>
        <v>-</v>
      </c>
      <c r="P6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5" s="75">
        <f>VLOOKUP(Esselte[[#This Row],[Código]],Projeção[#All],15,FALSE)</f>
        <v>0.43333333333333329</v>
      </c>
      <c r="R65" s="39">
        <f>VLOOKUP(Esselte[[#This Row],[Código]],Projeção[#All],14,FALSE)</f>
        <v>3.1666666666666665</v>
      </c>
      <c r="S65" s="39">
        <f>IFERROR(VLOOKUP(Esselte[[#This Row],[Código]],Venda_mes[],2,FALSE),0)</f>
        <v>0</v>
      </c>
      <c r="T65" s="44">
        <f>IFERROR(Esselte[[#This Row],[V. No mes]]/Esselte[[#This Row],[Proj. de V. No mes]],"")</f>
        <v>0</v>
      </c>
      <c r="U65" s="43">
        <f>VLOOKUP(Esselte[[#This Row],[Código]],Projeção[#All],14,FALSE)+VLOOKUP(Esselte[[#This Row],[Código]],Projeção[#All],13,FALSE)+VLOOKUP(Esselte[[#This Row],[Código]],Projeção[#All],12,FALSE)</f>
        <v>3.6999999999999997</v>
      </c>
      <c r="V65" s="39">
        <f>IFERROR(VLOOKUP(Esselte[[#This Row],[Código]],Venda_3meses[],2,FALSE),0)</f>
        <v>0</v>
      </c>
      <c r="W65" s="44">
        <f>IFERROR(Esselte[[#This Row],[V. 3 meses]]/Esselte[[#This Row],[Proj. de V. 3 meses]],"")</f>
        <v>0</v>
      </c>
      <c r="X6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9.2999999999999972</v>
      </c>
      <c r="Y65" s="39">
        <f>IFERROR(VLOOKUP(Esselte[[#This Row],[Código]],Venda_12meses[],2,FALSE),0)</f>
        <v>13</v>
      </c>
      <c r="Z65" s="44">
        <f>IFERROR(Esselte[[#This Row],[V. 12 meses]]/Esselte[[#This Row],[Proj. de V. 12 meses]],"")</f>
        <v>1.3978494623655919</v>
      </c>
      <c r="AA65" s="22"/>
    </row>
    <row r="66" spans="1:27" x14ac:dyDescent="0.25">
      <c r="A66" s="22" t="str">
        <f>VLOOKUP(Esselte[[#This Row],[Código]],BD_Produto[#All],7,FALSE)</f>
        <v>Fora de Linha</v>
      </c>
      <c r="B6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6" s="23">
        <v>33063063507</v>
      </c>
      <c r="D66" s="22" t="s">
        <v>1058</v>
      </c>
      <c r="E66" s="22" t="str">
        <f>VLOOKUP(Esselte[[#This Row],[Código]],BD_Produto[],3,FALSE)</f>
        <v>Pasta Catálogo</v>
      </c>
      <c r="F66" s="22" t="str">
        <f>VLOOKUP(Esselte[[#This Row],[Código]],BD_Produto[],4,FALSE)</f>
        <v>Pasta Catálogo</v>
      </c>
      <c r="G66" s="24">
        <v>10</v>
      </c>
      <c r="H66" s="25"/>
      <c r="I66" s="22"/>
      <c r="J66" s="24"/>
      <c r="K66" s="24" t="str">
        <f>IFERROR(VLOOKUP(Esselte[[#This Row],[Código]],Importação!P:R,3,FALSE),"")</f>
        <v/>
      </c>
      <c r="L66" s="24">
        <f>IFERROR(VLOOKUP(Esselte[[#This Row],[Código]],Saldo[],3,FALSE),0)</f>
        <v>1192</v>
      </c>
      <c r="M66" s="24">
        <f>SUM(Esselte[[#This Row],[Produção]:[Estoque]])</f>
        <v>1192</v>
      </c>
      <c r="N66" s="24">
        <f>IFERROR(Esselte[[#This Row],[Estoque+Importação]]/Esselte[[#This Row],[Proj. de V. No prox. mes]],"Sem Projeção")</f>
        <v>115.72815533980582</v>
      </c>
      <c r="O66" s="24" t="str">
        <f>IF(OR(Esselte[[#This Row],[Status]]="Em Linha",Esselte[[#This Row],[Status]]="Componente",Esselte[[#This Row],[Status]]="Materia Prima"),Esselte[[#This Row],[Proj. de V. No prox. mes]]*10,"-")</f>
        <v>-</v>
      </c>
      <c r="P6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6" s="75">
        <f>VLOOKUP(Esselte[[#This Row],[Código]],Projeção[#All],15,FALSE)</f>
        <v>10.3</v>
      </c>
      <c r="R66" s="39">
        <f>VLOOKUP(Esselte[[#This Row],[Código]],Projeção[#All],14,FALSE)</f>
        <v>6.7333333333333325</v>
      </c>
      <c r="S66" s="39">
        <f>IFERROR(VLOOKUP(Esselte[[#This Row],[Código]],Venda_mes[],2,FALSE),0)</f>
        <v>40</v>
      </c>
      <c r="T66" s="44">
        <f>IFERROR(Esselte[[#This Row],[V. No mes]]/Esselte[[#This Row],[Proj. de V. No mes]],"")</f>
        <v>5.9405940594059414</v>
      </c>
      <c r="U66" s="43">
        <f>VLOOKUP(Esselte[[#This Row],[Código]],Projeção[#All],14,FALSE)+VLOOKUP(Esselte[[#This Row],[Código]],Projeção[#All],13,FALSE)+VLOOKUP(Esselte[[#This Row],[Código]],Projeção[#All],12,FALSE)</f>
        <v>8.7333333333333325</v>
      </c>
      <c r="V66" s="39">
        <f>IFERROR(VLOOKUP(Esselte[[#This Row],[Código]],Venda_3meses[],2,FALSE),0)</f>
        <v>40</v>
      </c>
      <c r="W66" s="44">
        <f>IFERROR(Esselte[[#This Row],[V. 3 meses]]/Esselte[[#This Row],[Proj. de V. 3 meses]],"")</f>
        <v>4.5801526717557257</v>
      </c>
      <c r="X6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34.166666666666664</v>
      </c>
      <c r="Y66" s="39">
        <f>IFERROR(VLOOKUP(Esselte[[#This Row],[Código]],Venda_12meses[],2,FALSE),0)</f>
        <v>69</v>
      </c>
      <c r="Z66" s="44">
        <f>IFERROR(Esselte[[#This Row],[V. 12 meses]]/Esselte[[#This Row],[Proj. de V. 12 meses]],"")</f>
        <v>2.0195121951219512</v>
      </c>
      <c r="AA66" s="22"/>
    </row>
    <row r="67" spans="1:27" x14ac:dyDescent="0.25">
      <c r="A67" s="22" t="str">
        <f>VLOOKUP(Esselte[[#This Row],[Código]],BD_Produto[#All],7,FALSE)</f>
        <v>Fora de Linha</v>
      </c>
      <c r="B6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7" s="23">
        <v>33063063933</v>
      </c>
      <c r="D67" s="22" t="s">
        <v>1221</v>
      </c>
      <c r="E67" s="22" t="str">
        <f>VLOOKUP(Esselte[[#This Row],[Código]],BD_Produto[],3,FALSE)</f>
        <v>Pasta Fichário</v>
      </c>
      <c r="F67" s="22" t="str">
        <f>VLOOKUP(Esselte[[#This Row],[Código]],BD_Produto[],4,FALSE)</f>
        <v>Pasta Fichário</v>
      </c>
      <c r="G67" s="24"/>
      <c r="H67" s="25"/>
      <c r="I67" s="22"/>
      <c r="J67" s="24"/>
      <c r="K67" s="24" t="str">
        <f>IFERROR(VLOOKUP(Esselte[[#This Row],[Código]],Importação!P:R,3,FALSE),"")</f>
        <v/>
      </c>
      <c r="L67" s="24">
        <f>IFERROR(VLOOKUP(Esselte[[#This Row],[Código]],Saldo[],3,FALSE),0)</f>
        <v>3288</v>
      </c>
      <c r="M67" s="24">
        <f>SUM(Esselte[[#This Row],[Produção]:[Estoque]])</f>
        <v>3288</v>
      </c>
      <c r="N67" s="24">
        <f>IFERROR(Esselte[[#This Row],[Estoque+Importação]]/Esselte[[#This Row],[Proj. de V. No prox. mes]],"Sem Projeção")</f>
        <v>145.7016248153619</v>
      </c>
      <c r="O67" s="24" t="str">
        <f>IF(OR(Esselte[[#This Row],[Status]]="Em Linha",Esselte[[#This Row],[Status]]="Componente",Esselte[[#This Row],[Status]]="Materia Prima"),Esselte[[#This Row],[Proj. de V. No prox. mes]]*10,"-")</f>
        <v>-</v>
      </c>
      <c r="P6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7" s="75">
        <f>VLOOKUP(Esselte[[#This Row],[Código]],Projeção[#All],15,FALSE)</f>
        <v>22.566666666666666</v>
      </c>
      <c r="R67" s="39">
        <f>VLOOKUP(Esselte[[#This Row],[Código]],Projeção[#All],14,FALSE)</f>
        <v>15.666666666666666</v>
      </c>
      <c r="S67" s="39">
        <f>IFERROR(VLOOKUP(Esselte[[#This Row],[Código]],Venda_mes[],2,FALSE),0)</f>
        <v>0</v>
      </c>
      <c r="T67" s="44">
        <f>IFERROR(Esselte[[#This Row],[V. No mes]]/Esselte[[#This Row],[Proj. de V. No mes]],"")</f>
        <v>0</v>
      </c>
      <c r="U67" s="43">
        <f>VLOOKUP(Esselte[[#This Row],[Código]],Projeção[#All],14,FALSE)+VLOOKUP(Esselte[[#This Row],[Código]],Projeção[#All],13,FALSE)+VLOOKUP(Esselte[[#This Row],[Código]],Projeção[#All],12,FALSE)</f>
        <v>39.1</v>
      </c>
      <c r="V67" s="39">
        <f>IFERROR(VLOOKUP(Esselte[[#This Row],[Código]],Venda_3meses[],2,FALSE),0)</f>
        <v>48</v>
      </c>
      <c r="W67" s="44">
        <f>IFERROR(Esselte[[#This Row],[V. 3 meses]]/Esselte[[#This Row],[Proj. de V. 3 meses]],"")</f>
        <v>1.2276214833759591</v>
      </c>
      <c r="X6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297.63333333333338</v>
      </c>
      <c r="Y67" s="39">
        <f>IFERROR(VLOOKUP(Esselte[[#This Row],[Código]],Venda_12meses[],2,FALSE),0)</f>
        <v>203</v>
      </c>
      <c r="Z67" s="44">
        <f>IFERROR(Esselte[[#This Row],[V. 12 meses]]/Esselte[[#This Row],[Proj. de V. 12 meses]],"")</f>
        <v>0.68204726173143682</v>
      </c>
      <c r="AA67" s="22">
        <v>33063063791</v>
      </c>
    </row>
    <row r="68" spans="1:27" x14ac:dyDescent="0.25">
      <c r="A68" s="22" t="str">
        <f>VLOOKUP(Esselte[[#This Row],[Código]],BD_Produto[#All],7,FALSE)</f>
        <v>Fora de Linha</v>
      </c>
      <c r="B6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8" s="23">
        <v>33063063505</v>
      </c>
      <c r="D68" s="22" t="s">
        <v>1096</v>
      </c>
      <c r="E68" s="22" t="str">
        <f>VLOOKUP(Esselte[[#This Row],[Código]],BD_Produto[],3,FALSE)</f>
        <v>Pasta Catálogo</v>
      </c>
      <c r="F68" s="22" t="str">
        <f>VLOOKUP(Esselte[[#This Row],[Código]],BD_Produto[],4,FALSE)</f>
        <v>Pasta Catálogo</v>
      </c>
      <c r="G68" s="24">
        <v>10</v>
      </c>
      <c r="H68" s="25"/>
      <c r="I68" s="22"/>
      <c r="J68" s="24"/>
      <c r="K68" s="24" t="str">
        <f>IFERROR(VLOOKUP(Esselte[[#This Row],[Código]],Importação!P:R,3,FALSE),"")</f>
        <v/>
      </c>
      <c r="L68" s="24">
        <f>IFERROR(VLOOKUP(Esselte[[#This Row],[Código]],Saldo[],3,FALSE),0)</f>
        <v>1222</v>
      </c>
      <c r="M68" s="24">
        <f>SUM(Esselte[[#This Row],[Produção]:[Estoque]])</f>
        <v>1222</v>
      </c>
      <c r="N68" s="24">
        <f>IFERROR(Esselte[[#This Row],[Estoque+Importação]]/Esselte[[#This Row],[Proj. de V. No prox. mes]],"Sem Projeção")</f>
        <v>117.50000000000001</v>
      </c>
      <c r="O68" s="24" t="str">
        <f>IF(OR(Esselte[[#This Row],[Status]]="Em Linha",Esselte[[#This Row],[Status]]="Componente",Esselte[[#This Row],[Status]]="Materia Prima"),Esselte[[#This Row],[Proj. de V. No prox. mes]]*10,"-")</f>
        <v>-</v>
      </c>
      <c r="P6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8" s="75">
        <f>VLOOKUP(Esselte[[#This Row],[Código]],Projeção[#All],15,FALSE)</f>
        <v>10.399999999999999</v>
      </c>
      <c r="R68" s="39">
        <f>VLOOKUP(Esselte[[#This Row],[Código]],Projeção[#All],14,FALSE)</f>
        <v>6.3999999999999995</v>
      </c>
      <c r="S68" s="39">
        <f>IFERROR(VLOOKUP(Esselte[[#This Row],[Código]],Venda_mes[],2,FALSE),0)</f>
        <v>40</v>
      </c>
      <c r="T68" s="44">
        <f>IFERROR(Esselte[[#This Row],[V. No mes]]/Esselte[[#This Row],[Proj. de V. No mes]],"")</f>
        <v>6.2500000000000009</v>
      </c>
      <c r="U68" s="43">
        <f>VLOOKUP(Esselte[[#This Row],[Código]],Projeção[#All],14,FALSE)+VLOOKUP(Esselte[[#This Row],[Código]],Projeção[#All],13,FALSE)+VLOOKUP(Esselte[[#This Row],[Código]],Projeção[#All],12,FALSE)</f>
        <v>7.0666666666666655</v>
      </c>
      <c r="V68" s="39">
        <f>IFERROR(VLOOKUP(Esselte[[#This Row],[Código]],Venda_3meses[],2,FALSE),0)</f>
        <v>40</v>
      </c>
      <c r="W68" s="44">
        <f>IFERROR(Esselte[[#This Row],[V. 3 meses]]/Esselte[[#This Row],[Proj. de V. 3 meses]],"")</f>
        <v>5.6603773584905666</v>
      </c>
      <c r="X6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18.366666666666664</v>
      </c>
      <c r="Y68" s="39">
        <f>IFERROR(VLOOKUP(Esselte[[#This Row],[Código]],Venda_12meses[],2,FALSE),0)</f>
        <v>70</v>
      </c>
      <c r="Z68" s="44">
        <f>IFERROR(Esselte[[#This Row],[V. 12 meses]]/Esselte[[#This Row],[Proj. de V. 12 meses]],"")</f>
        <v>3.8112522686025416</v>
      </c>
      <c r="AA68" s="22"/>
    </row>
    <row r="69" spans="1:27" x14ac:dyDescent="0.25">
      <c r="A69" s="22" t="str">
        <f>VLOOKUP(Esselte[[#This Row],[Código]],BD_Produto[#All],7,FALSE)</f>
        <v>Fora de Linha</v>
      </c>
      <c r="B6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69" s="23">
        <v>33063063476</v>
      </c>
      <c r="D69" s="22" t="s">
        <v>1083</v>
      </c>
      <c r="E69" s="22" t="str">
        <f>VLOOKUP(Esselte[[#This Row],[Código]],BD_Produto[],3,FALSE)</f>
        <v>Pasta Fichário</v>
      </c>
      <c r="F69" s="22" t="str">
        <f>VLOOKUP(Esselte[[#This Row],[Código]],BD_Produto[],4,FALSE)</f>
        <v>Pasta Fichário</v>
      </c>
      <c r="G69" s="24">
        <v>5</v>
      </c>
      <c r="H69" s="25"/>
      <c r="I69" s="22"/>
      <c r="J69" s="24"/>
      <c r="K69" s="24" t="str">
        <f>IFERROR(VLOOKUP(Esselte[[#This Row],[Código]],Importação!P:R,3,FALSE),"")</f>
        <v/>
      </c>
      <c r="L69" s="24">
        <f>IFERROR(VLOOKUP(Esselte[[#This Row],[Código]],Saldo[],3,FALSE),0)</f>
        <v>617</v>
      </c>
      <c r="M69" s="24">
        <f>SUM(Esselte[[#This Row],[Produção]:[Estoque]])</f>
        <v>617</v>
      </c>
      <c r="N69" s="24">
        <f>IFERROR(Esselte[[#This Row],[Estoque+Importação]]/Esselte[[#This Row],[Proj. de V. No prox. mes]],"Sem Projeção")</f>
        <v>841.36363636363626</v>
      </c>
      <c r="O69" s="24" t="str">
        <f>IF(OR(Esselte[[#This Row],[Status]]="Em Linha",Esselte[[#This Row],[Status]]="Componente",Esselte[[#This Row],[Status]]="Materia Prima"),Esselte[[#This Row],[Proj. de V. No prox. mes]]*10,"-")</f>
        <v>-</v>
      </c>
      <c r="P6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69" s="75">
        <f>VLOOKUP(Esselte[[#This Row],[Código]],Projeção[#All],15,FALSE)</f>
        <v>0.73333333333333339</v>
      </c>
      <c r="R69" s="39">
        <f>VLOOKUP(Esselte[[#This Row],[Código]],Projeção[#All],14,FALSE)</f>
        <v>2.6999999999999993</v>
      </c>
      <c r="S69" s="39">
        <f>IFERROR(VLOOKUP(Esselte[[#This Row],[Código]],Venda_mes[],2,FALSE),0)</f>
        <v>0</v>
      </c>
      <c r="T69" s="44">
        <f>IFERROR(Esselte[[#This Row],[V. No mes]]/Esselte[[#This Row],[Proj. de V. No mes]],"")</f>
        <v>0</v>
      </c>
      <c r="U69" s="43">
        <f>VLOOKUP(Esselte[[#This Row],[Código]],Projeção[#All],14,FALSE)+VLOOKUP(Esselte[[#This Row],[Código]],Projeção[#All],13,FALSE)+VLOOKUP(Esselte[[#This Row],[Código]],Projeção[#All],12,FALSE)</f>
        <v>3.0333333333333328</v>
      </c>
      <c r="V69" s="39">
        <f>IFERROR(VLOOKUP(Esselte[[#This Row],[Código]],Venda_3meses[],2,FALSE),0)</f>
        <v>1</v>
      </c>
      <c r="W69" s="44">
        <f>IFERROR(Esselte[[#This Row],[V. 3 meses]]/Esselte[[#This Row],[Proj. de V. 3 meses]],"")</f>
        <v>0.32967032967032972</v>
      </c>
      <c r="X6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10.200000000000001</v>
      </c>
      <c r="Y69" s="39">
        <f>IFERROR(VLOOKUP(Esselte[[#This Row],[Código]],Venda_12meses[],2,FALSE),0)</f>
        <v>14</v>
      </c>
      <c r="Z69" s="44">
        <f>IFERROR(Esselte[[#This Row],[V. 12 meses]]/Esselte[[#This Row],[Proj. de V. 12 meses]],"")</f>
        <v>1.3725490196078429</v>
      </c>
      <c r="AA69" s="22"/>
    </row>
    <row r="70" spans="1:27" x14ac:dyDescent="0.25">
      <c r="A70" s="22" t="str">
        <f>VLOOKUP(Esselte[[#This Row],[Código]],BD_Produto[#All],7,FALSE)</f>
        <v>Fora de Linha</v>
      </c>
      <c r="B7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0" s="23">
        <v>33063063475</v>
      </c>
      <c r="D70" s="22" t="s">
        <v>1019</v>
      </c>
      <c r="E70" s="22" t="str">
        <f>VLOOKUP(Esselte[[#This Row],[Código]],BD_Produto[],3,FALSE)</f>
        <v>Pasta Fichário</v>
      </c>
      <c r="F70" s="22" t="str">
        <f>VLOOKUP(Esselte[[#This Row],[Código]],BD_Produto[],4,FALSE)</f>
        <v>Pasta Fichário</v>
      </c>
      <c r="G70" s="24">
        <v>5</v>
      </c>
      <c r="H70" s="25"/>
      <c r="I70" s="22"/>
      <c r="J70" s="24"/>
      <c r="K70" s="24" t="str">
        <f>IFERROR(VLOOKUP(Esselte[[#This Row],[Código]],Importação!P:R,3,FALSE),"")</f>
        <v/>
      </c>
      <c r="L70" s="24">
        <f>IFERROR(VLOOKUP(Esselte[[#This Row],[Código]],Saldo[],3,FALSE),0)</f>
        <v>572</v>
      </c>
      <c r="M70" s="24">
        <f>SUM(Esselte[[#This Row],[Produção]:[Estoque]])</f>
        <v>572</v>
      </c>
      <c r="N70" s="24">
        <f>IFERROR(Esselte[[#This Row],[Estoque+Importação]]/Esselte[[#This Row],[Proj. de V. No prox. mes]],"Sem Projeção")</f>
        <v>176.90721649484539</v>
      </c>
      <c r="O70" s="24" t="str">
        <f>IF(OR(Esselte[[#This Row],[Status]]="Em Linha",Esselte[[#This Row],[Status]]="Componente",Esselte[[#This Row],[Status]]="Materia Prima"),Esselte[[#This Row],[Proj. de V. No prox. mes]]*10,"-")</f>
        <v>-</v>
      </c>
      <c r="P7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0" s="75">
        <f>VLOOKUP(Esselte[[#This Row],[Código]],Projeção[#All],15,FALSE)</f>
        <v>3.2333333333333329</v>
      </c>
      <c r="R70" s="39">
        <f>VLOOKUP(Esselte[[#This Row],[Código]],Projeção[#All],14,FALSE)</f>
        <v>2.3666666666666667</v>
      </c>
      <c r="S70" s="39">
        <f>IFERROR(VLOOKUP(Esselte[[#This Row],[Código]],Venda_mes[],2,FALSE),0)</f>
        <v>12</v>
      </c>
      <c r="T70" s="44">
        <f>IFERROR(Esselte[[#This Row],[V. No mes]]/Esselte[[#This Row],[Proj. de V. No mes]],"")</f>
        <v>5.070422535211268</v>
      </c>
      <c r="U70" s="43">
        <f>VLOOKUP(Esselte[[#This Row],[Código]],Projeção[#All],14,FALSE)+VLOOKUP(Esselte[[#This Row],[Código]],Projeção[#All],13,FALSE)+VLOOKUP(Esselte[[#This Row],[Código]],Projeção[#All],12,FALSE)</f>
        <v>2.5000000000000004</v>
      </c>
      <c r="V70" s="39">
        <f>IFERROR(VLOOKUP(Esselte[[#This Row],[Código]],Venda_3meses[],2,FALSE),0)</f>
        <v>12</v>
      </c>
      <c r="W70" s="44">
        <f>IFERROR(Esselte[[#This Row],[V. 3 meses]]/Esselte[[#This Row],[Proj. de V. 3 meses]],"")</f>
        <v>4.7999999999999989</v>
      </c>
      <c r="X7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9.6</v>
      </c>
      <c r="Y70" s="39">
        <f>IFERROR(VLOOKUP(Esselte[[#This Row],[Código]],Venda_12meses[],2,FALSE),0)</f>
        <v>23</v>
      </c>
      <c r="Z70" s="44">
        <f>IFERROR(Esselte[[#This Row],[V. 12 meses]]/Esselte[[#This Row],[Proj. de V. 12 meses]],"")</f>
        <v>2.3958333333333335</v>
      </c>
      <c r="AA70" s="22"/>
    </row>
    <row r="71" spans="1:27" x14ac:dyDescent="0.25">
      <c r="A71" s="22" t="str">
        <f>VLOOKUP(Esselte[[#This Row],[Código]],BD_Produto[#All],7,FALSE)</f>
        <v>Fora de Linha</v>
      </c>
      <c r="B7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1" s="23">
        <v>33063063465</v>
      </c>
      <c r="D71" s="22" t="s">
        <v>1192</v>
      </c>
      <c r="E71" s="22" t="str">
        <f>VLOOKUP(Esselte[[#This Row],[Código]],BD_Produto[],3,FALSE)</f>
        <v>Pasta Organizadora (A/Z)</v>
      </c>
      <c r="F71" s="22" t="str">
        <f>VLOOKUP(Esselte[[#This Row],[Código]],BD_Produto[],4,FALSE)</f>
        <v>Pasta Organizadora (A/Z)</v>
      </c>
      <c r="G71" s="24">
        <v>5</v>
      </c>
      <c r="H71" s="25"/>
      <c r="I71" s="22"/>
      <c r="J71" s="24"/>
      <c r="K71" s="24" t="str">
        <f>IFERROR(VLOOKUP(Esselte[[#This Row],[Código]],Importação!P:R,3,FALSE),"")</f>
        <v/>
      </c>
      <c r="L71" s="24">
        <f>IFERROR(VLOOKUP(Esselte[[#This Row],[Código]],Saldo[],3,FALSE),0)</f>
        <v>414</v>
      </c>
      <c r="M71" s="24">
        <f>SUM(Esselte[[#This Row],[Produção]:[Estoque]])</f>
        <v>414</v>
      </c>
      <c r="N71" s="24">
        <f>IFERROR(Esselte[[#This Row],[Estoque+Importação]]/Esselte[[#This Row],[Proj. de V. No prox. mes]],"Sem Projeção")</f>
        <v>85.068493150684944</v>
      </c>
      <c r="O71" s="24" t="str">
        <f>IF(OR(Esselte[[#This Row],[Status]]="Em Linha",Esselte[[#This Row],[Status]]="Componente",Esselte[[#This Row],[Status]]="Materia Prima"),Esselte[[#This Row],[Proj. de V. No prox. mes]]*10,"-")</f>
        <v>-</v>
      </c>
      <c r="P7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1" s="75">
        <f>VLOOKUP(Esselte[[#This Row],[Código]],Projeção[#All],15,FALSE)</f>
        <v>4.8666666666666663</v>
      </c>
      <c r="R71" s="39">
        <f>VLOOKUP(Esselte[[#This Row],[Código]],Projeção[#All],14,FALSE)</f>
        <v>1.6666666666666667</v>
      </c>
      <c r="S71" s="39">
        <f>IFERROR(VLOOKUP(Esselte[[#This Row],[Código]],Venda_mes[],2,FALSE),0)</f>
        <v>20</v>
      </c>
      <c r="T71" s="44">
        <f>IFERROR(Esselte[[#This Row],[V. No mes]]/Esselte[[#This Row],[Proj. de V. No mes]],"")</f>
        <v>12</v>
      </c>
      <c r="U71" s="43">
        <f>VLOOKUP(Esselte[[#This Row],[Código]],Projeção[#All],14,FALSE)+VLOOKUP(Esselte[[#This Row],[Código]],Projeção[#All],13,FALSE)+VLOOKUP(Esselte[[#This Row],[Código]],Projeção[#All],12,FALSE)</f>
        <v>2.8666666666666663</v>
      </c>
      <c r="V71" s="39">
        <f>IFERROR(VLOOKUP(Esselte[[#This Row],[Código]],Venda_3meses[],2,FALSE),0)</f>
        <v>20</v>
      </c>
      <c r="W71" s="44">
        <f>IFERROR(Esselte[[#This Row],[V. 3 meses]]/Esselte[[#This Row],[Proj. de V. 3 meses]],"")</f>
        <v>6.9767441860465125</v>
      </c>
      <c r="X7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17.833333333333332</v>
      </c>
      <c r="Y71" s="39">
        <f>IFERROR(VLOOKUP(Esselte[[#This Row],[Código]],Venda_12meses[],2,FALSE),0)</f>
        <v>26</v>
      </c>
      <c r="Z71" s="44">
        <f>IFERROR(Esselte[[#This Row],[V. 12 meses]]/Esselte[[#This Row],[Proj. de V. 12 meses]],"")</f>
        <v>1.457943925233645</v>
      </c>
      <c r="AA71" s="22"/>
    </row>
    <row r="72" spans="1:27" x14ac:dyDescent="0.25">
      <c r="A72" s="22" t="str">
        <f>VLOOKUP(Esselte[[#This Row],[Código]],BD_Produto[#All],7,FALSE)</f>
        <v>Fora de Linha</v>
      </c>
      <c r="B7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2" s="23">
        <v>33063063928</v>
      </c>
      <c r="D72" s="22" t="s">
        <v>1149</v>
      </c>
      <c r="E72" s="22" t="str">
        <f>VLOOKUP(Esselte[[#This Row],[Código]],BD_Produto[],3,FALSE)</f>
        <v>Pasta Fichário</v>
      </c>
      <c r="F72" s="22" t="str">
        <f>VLOOKUP(Esselte[[#This Row],[Código]],BD_Produto[],4,FALSE)</f>
        <v>Pasta Fichário</v>
      </c>
      <c r="G72" s="24">
        <v>1</v>
      </c>
      <c r="H72" s="25"/>
      <c r="I72" s="22"/>
      <c r="J72" s="24"/>
      <c r="K72" s="24" t="str">
        <f>IFERROR(VLOOKUP(Esselte[[#This Row],[Código]],Importação!P:R,3,FALSE),"")</f>
        <v/>
      </c>
      <c r="L72" s="24">
        <f>IFERROR(VLOOKUP(Esselte[[#This Row],[Código]],Saldo[],3,FALSE),0)</f>
        <v>3602</v>
      </c>
      <c r="M72" s="24">
        <f>SUM(Esselte[[#This Row],[Produção]:[Estoque]])</f>
        <v>3602</v>
      </c>
      <c r="N72" s="24">
        <f>IFERROR(Esselte[[#This Row],[Estoque+Importação]]/Esselte[[#This Row],[Proj. de V. No prox. mes]],"Sem Projeção")</f>
        <v>459.8297872340425</v>
      </c>
      <c r="O72" s="24" t="str">
        <f>IF(OR(Esselte[[#This Row],[Status]]="Em Linha",Esselte[[#This Row],[Status]]="Componente",Esselte[[#This Row],[Status]]="Materia Prima"),Esselte[[#This Row],[Proj. de V. No prox. mes]]*10,"-")</f>
        <v>-</v>
      </c>
      <c r="P7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2" s="75">
        <f>VLOOKUP(Esselte[[#This Row],[Código]],Projeção[#All],15,FALSE)</f>
        <v>7.8333333333333339</v>
      </c>
      <c r="R72" s="39">
        <f>VLOOKUP(Esselte[[#This Row],[Código]],Projeção[#All],14,FALSE)</f>
        <v>6.6999999999999993</v>
      </c>
      <c r="S72" s="39">
        <f>IFERROR(VLOOKUP(Esselte[[#This Row],[Código]],Venda_mes[],2,FALSE),0)</f>
        <v>1</v>
      </c>
      <c r="T72" s="44">
        <f>IFERROR(Esselte[[#This Row],[V. No mes]]/Esselte[[#This Row],[Proj. de V. No mes]],"")</f>
        <v>0.1492537313432836</v>
      </c>
      <c r="U72" s="43">
        <f>VLOOKUP(Esselte[[#This Row],[Código]],Projeção[#All],14,FALSE)+VLOOKUP(Esselte[[#This Row],[Código]],Projeção[#All],13,FALSE)+VLOOKUP(Esselte[[#This Row],[Código]],Projeção[#All],12,FALSE)</f>
        <v>14.533333333333333</v>
      </c>
      <c r="V72" s="39">
        <f>IFERROR(VLOOKUP(Esselte[[#This Row],[Código]],Venda_3meses[],2,FALSE),0)</f>
        <v>27</v>
      </c>
      <c r="W72" s="44">
        <f>IFERROR(Esselte[[#This Row],[V. 3 meses]]/Esselte[[#This Row],[Proj. de V. 3 meses]],"")</f>
        <v>1.8577981651376148</v>
      </c>
      <c r="X7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97.100000000000009</v>
      </c>
      <c r="Y72" s="39">
        <f>IFERROR(VLOOKUP(Esselte[[#This Row],[Código]],Venda_12meses[],2,FALSE),0)</f>
        <v>65</v>
      </c>
      <c r="Z72" s="44">
        <f>IFERROR(Esselte[[#This Row],[V. 12 meses]]/Esselte[[#This Row],[Proj. de V. 12 meses]],"")</f>
        <v>0.66941297631307928</v>
      </c>
      <c r="AA72" s="22" t="s">
        <v>1717</v>
      </c>
    </row>
    <row r="73" spans="1:27" x14ac:dyDescent="0.25">
      <c r="A73" s="22" t="str">
        <f>VLOOKUP(Esselte[[#This Row],[Código]],BD_Produto[#All],7,FALSE)</f>
        <v>Fora de Linha</v>
      </c>
      <c r="B7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3" s="23">
        <v>33063263352</v>
      </c>
      <c r="D73" s="22" t="s">
        <v>1133</v>
      </c>
      <c r="E73" s="22" t="str">
        <f>VLOOKUP(Esselte[[#This Row],[Código]],BD_Produto[],3,FALSE)</f>
        <v>Pasta Suspensa</v>
      </c>
      <c r="F73" s="22" t="str">
        <f>VLOOKUP(Esselte[[#This Row],[Código]],BD_Produto[],4,FALSE)</f>
        <v>Pasta Suspensa</v>
      </c>
      <c r="G73" s="24">
        <v>1</v>
      </c>
      <c r="H73" s="25"/>
      <c r="I73" s="22"/>
      <c r="J73" s="24"/>
      <c r="K73" s="24" t="str">
        <f>IFERROR(VLOOKUP(Esselte[[#This Row],[Código]],Importação!P:R,3,FALSE),"")</f>
        <v/>
      </c>
      <c r="L73" s="24">
        <f>IFERROR(VLOOKUP(Esselte[[#This Row],[Código]],Saldo[],3,FALSE),0)</f>
        <v>487</v>
      </c>
      <c r="M73" s="24">
        <f>SUM(Esselte[[#This Row],[Produção]:[Estoque]])</f>
        <v>487</v>
      </c>
      <c r="N73" s="24">
        <f>IFERROR(Esselte[[#This Row],[Estoque+Importação]]/Esselte[[#This Row],[Proj. de V. No prox. mes]],"Sem Projeção")</f>
        <v>275.66037735849056</v>
      </c>
      <c r="O73" s="24" t="str">
        <f>IF(OR(Esselte[[#This Row],[Status]]="Em Linha",Esselte[[#This Row],[Status]]="Componente",Esselte[[#This Row],[Status]]="Materia Prima"),Esselte[[#This Row],[Proj. de V. No prox. mes]]*10,"-")</f>
        <v>-</v>
      </c>
      <c r="P7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3" s="83">
        <f>VLOOKUP(Esselte[[#This Row],[Código]],Projeção[#All],15,FALSE)</f>
        <v>1.7666666666666668</v>
      </c>
      <c r="R73" s="43">
        <f>VLOOKUP(Esselte[[#This Row],[Código]],Projeção[#All],14,FALSE)</f>
        <v>1.7</v>
      </c>
      <c r="S73" s="39">
        <f>IFERROR(VLOOKUP(Esselte[[#This Row],[Código]],Venda_mes[],2,FALSE),0)</f>
        <v>0</v>
      </c>
      <c r="T73" s="44">
        <f>IFERROR(Esselte[[#This Row],[V. No mes]]/Esselte[[#This Row],[Proj. de V. No mes]],"")</f>
        <v>0</v>
      </c>
      <c r="U73" s="43">
        <f>VLOOKUP(Esselte[[#This Row],[Código]],Projeção[#All],14,FALSE)+VLOOKUP(Esselte[[#This Row],[Código]],Projeção[#All],13,FALSE)+VLOOKUP(Esselte[[#This Row],[Código]],Projeção[#All],12,FALSE)</f>
        <v>5.9666666666666668</v>
      </c>
      <c r="V73" s="39">
        <f>IFERROR(VLOOKUP(Esselte[[#This Row],[Código]],Venda_3meses[],2,FALSE),0)</f>
        <v>0</v>
      </c>
      <c r="W73" s="44">
        <f>IFERROR(Esselte[[#This Row],[V. 3 meses]]/Esselte[[#This Row],[Proj. de V. 3 meses]],"")</f>
        <v>0</v>
      </c>
      <c r="X7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59.766666666666666</v>
      </c>
      <c r="Y73" s="39">
        <f>IFERROR(VLOOKUP(Esselte[[#This Row],[Código]],Venda_12meses[],2,FALSE),0)</f>
        <v>51</v>
      </c>
      <c r="Z73" s="44">
        <f>IFERROR(Esselte[[#This Row],[V. 12 meses]]/Esselte[[#This Row],[Proj. de V. 12 meses]],"")</f>
        <v>0.85331846068042383</v>
      </c>
      <c r="AA73" s="22"/>
    </row>
    <row r="74" spans="1:27" x14ac:dyDescent="0.25">
      <c r="A74" s="22" t="str">
        <f>VLOOKUP(Esselte[[#This Row],[Código]],BD_Produto[#All],7,FALSE)</f>
        <v>Fora de Linha</v>
      </c>
      <c r="B7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4" s="23">
        <v>33063063926</v>
      </c>
      <c r="D74" s="22" t="s">
        <v>1147</v>
      </c>
      <c r="E74" s="22" t="str">
        <f>VLOOKUP(Esselte[[#This Row],[Código]],BD_Produto[],3,FALSE)</f>
        <v>Pasta Fichário</v>
      </c>
      <c r="F74" s="22" t="str">
        <f>VLOOKUP(Esselte[[#This Row],[Código]],BD_Produto[],4,FALSE)</f>
        <v>Pasta Fichário</v>
      </c>
      <c r="G74" s="24">
        <v>1</v>
      </c>
      <c r="H74" s="25"/>
      <c r="I74" s="22"/>
      <c r="J74" s="24"/>
      <c r="K74" s="24" t="str">
        <f>IFERROR(VLOOKUP(Esselte[[#This Row],[Código]],Importação!P:R,3,FALSE),"")</f>
        <v/>
      </c>
      <c r="L74" s="24">
        <f>IFERROR(VLOOKUP(Esselte[[#This Row],[Código]],Saldo[],3,FALSE),0)</f>
        <v>3405</v>
      </c>
      <c r="M74" s="24">
        <f>SUM(Esselte[[#This Row],[Produção]:[Estoque]])</f>
        <v>3405</v>
      </c>
      <c r="N74" s="24">
        <f>IFERROR(Esselte[[#This Row],[Estoque+Importação]]/Esselte[[#This Row],[Proj. de V. No prox. mes]],"Sem Projeção")</f>
        <v>646.51898734177223</v>
      </c>
      <c r="O74" s="24" t="str">
        <f>IF(OR(Esselte[[#This Row],[Status]]="Em Linha",Esselte[[#This Row],[Status]]="Componente",Esselte[[#This Row],[Status]]="Materia Prima"),Esselte[[#This Row],[Proj. de V. No prox. mes]]*10,"-")</f>
        <v>-</v>
      </c>
      <c r="P7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4" s="83">
        <f>VLOOKUP(Esselte[[#This Row],[Código]],Projeção[#All],15,FALSE)</f>
        <v>5.2666666666666657</v>
      </c>
      <c r="R74" s="43">
        <f>VLOOKUP(Esselte[[#This Row],[Código]],Projeção[#All],14,FALSE)</f>
        <v>4.2</v>
      </c>
      <c r="S74" s="39">
        <f>IFERROR(VLOOKUP(Esselte[[#This Row],[Código]],Venda_mes[],2,FALSE),0)</f>
        <v>1</v>
      </c>
      <c r="T74" s="44">
        <f>IFERROR(Esselte[[#This Row],[V. No mes]]/Esselte[[#This Row],[Proj. de V. No mes]],"")</f>
        <v>0.23809523809523808</v>
      </c>
      <c r="U74" s="43">
        <f>VLOOKUP(Esselte[[#This Row],[Código]],Projeção[#All],14,FALSE)+VLOOKUP(Esselte[[#This Row],[Código]],Projeção[#All],13,FALSE)+VLOOKUP(Esselte[[#This Row],[Código]],Projeção[#All],12,FALSE)</f>
        <v>7.5</v>
      </c>
      <c r="V74" s="39">
        <f>IFERROR(VLOOKUP(Esselte[[#This Row],[Código]],Venda_3meses[],2,FALSE),0)</f>
        <v>19</v>
      </c>
      <c r="W74" s="44">
        <f>IFERROR(Esselte[[#This Row],[V. 3 meses]]/Esselte[[#This Row],[Proj. de V. 3 meses]],"")</f>
        <v>2.5333333333333332</v>
      </c>
      <c r="X7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39.733333333333327</v>
      </c>
      <c r="Y74" s="39">
        <f>IFERROR(VLOOKUP(Esselte[[#This Row],[Código]],Venda_12meses[],2,FALSE),0)</f>
        <v>42</v>
      </c>
      <c r="Z74" s="44">
        <f>IFERROR(Esselte[[#This Row],[V. 12 meses]]/Esselte[[#This Row],[Proj. de V. 12 meses]],"")</f>
        <v>1.057046979865772</v>
      </c>
      <c r="AA74" s="22">
        <v>33063063792</v>
      </c>
    </row>
    <row r="75" spans="1:27" x14ac:dyDescent="0.25">
      <c r="A75" s="22" t="str">
        <f>VLOOKUP(Esselte[[#This Row],[Código]],BD_Produto[#All],7,FALSE)</f>
        <v>Fora de Linha</v>
      </c>
      <c r="B7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5" s="23">
        <v>33063263347</v>
      </c>
      <c r="D75" s="22" t="s">
        <v>1079</v>
      </c>
      <c r="E75" s="22" t="str">
        <f>VLOOKUP(Esselte[[#This Row],[Código]],BD_Produto[],3,FALSE)</f>
        <v>Pasta Suspensa</v>
      </c>
      <c r="F75" s="22" t="str">
        <f>VLOOKUP(Esselte[[#This Row],[Código]],BD_Produto[],4,FALSE)</f>
        <v>Pasta Suspensa</v>
      </c>
      <c r="G75" s="24">
        <v>1</v>
      </c>
      <c r="H75" s="25"/>
      <c r="I75" s="22"/>
      <c r="J75" s="24"/>
      <c r="K75" s="24" t="str">
        <f>IFERROR(VLOOKUP(Esselte[[#This Row],[Código]],Importação!P:R,3,FALSE),"")</f>
        <v/>
      </c>
      <c r="L75" s="24">
        <f>IFERROR(VLOOKUP(Esselte[[#This Row],[Código]],Saldo[],3,FALSE),0)</f>
        <v>1103</v>
      </c>
      <c r="M75" s="24">
        <f>SUM(Esselte[[#This Row],[Produção]:[Estoque]])</f>
        <v>1103</v>
      </c>
      <c r="N75" s="24">
        <f>IFERROR(Esselte[[#This Row],[Estoque+Importação]]/Esselte[[#This Row],[Proj. de V. No prox. mes]],"Sem Projeção")</f>
        <v>612.77777777777783</v>
      </c>
      <c r="O75" s="24" t="str">
        <f>IF(OR(Esselte[[#This Row],[Status]]="Em Linha",Esselte[[#This Row],[Status]]="Componente",Esselte[[#This Row],[Status]]="Materia Prima"),Esselte[[#This Row],[Proj. de V. No prox. mes]]*10,"-")</f>
        <v>-</v>
      </c>
      <c r="P7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5" s="83">
        <f>VLOOKUP(Esselte[[#This Row],[Código]],Projeção[#All],15,FALSE)</f>
        <v>1.7999999999999998</v>
      </c>
      <c r="R75" s="43">
        <f>VLOOKUP(Esselte[[#This Row],[Código]],Projeção[#All],14,FALSE)</f>
        <v>1.9666666666666668</v>
      </c>
      <c r="S75" s="39">
        <f>IFERROR(VLOOKUP(Esselte[[#This Row],[Código]],Venda_mes[],2,FALSE),0)</f>
        <v>0</v>
      </c>
      <c r="T75" s="44">
        <f>IFERROR(Esselte[[#This Row],[V. No mes]]/Esselte[[#This Row],[Proj. de V. No mes]],"")</f>
        <v>0</v>
      </c>
      <c r="U75" s="43">
        <f>VLOOKUP(Esselte[[#This Row],[Código]],Projeção[#All],14,FALSE)+VLOOKUP(Esselte[[#This Row],[Código]],Projeção[#All],13,FALSE)+VLOOKUP(Esselte[[#This Row],[Código]],Projeção[#All],12,FALSE)</f>
        <v>8.0333333333333332</v>
      </c>
      <c r="V75" s="39">
        <f>IFERROR(VLOOKUP(Esselte[[#This Row],[Código]],Venda_3meses[],2,FALSE),0)</f>
        <v>0</v>
      </c>
      <c r="W75" s="44">
        <f>IFERROR(Esselte[[#This Row],[V. 3 meses]]/Esselte[[#This Row],[Proj. de V. 3 meses]],"")</f>
        <v>0</v>
      </c>
      <c r="X7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68.7</v>
      </c>
      <c r="Y75" s="39">
        <f>IFERROR(VLOOKUP(Esselte[[#This Row],[Código]],Venda_12meses[],2,FALSE),0)</f>
        <v>54</v>
      </c>
      <c r="Z75" s="44">
        <f>IFERROR(Esselte[[#This Row],[V. 12 meses]]/Esselte[[#This Row],[Proj. de V. 12 meses]],"")</f>
        <v>0.78602620087336239</v>
      </c>
      <c r="AA75" s="22"/>
    </row>
    <row r="76" spans="1:27" x14ac:dyDescent="0.25">
      <c r="A76" s="22" t="str">
        <f>VLOOKUP(Esselte[[#This Row],[Código]],BD_Produto[#All],7,FALSE)</f>
        <v>Fora de Linha</v>
      </c>
      <c r="B7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6" s="23">
        <v>33063063935</v>
      </c>
      <c r="D76" s="22" t="s">
        <v>1126</v>
      </c>
      <c r="E76" s="22" t="str">
        <f>VLOOKUP(Esselte[[#This Row],[Código]],BD_Produto[],3,FALSE)</f>
        <v>Pasta Fichário</v>
      </c>
      <c r="F76" s="22" t="str">
        <f>VLOOKUP(Esselte[[#This Row],[Código]],BD_Produto[],4,FALSE)</f>
        <v>Pasta Fichário</v>
      </c>
      <c r="G76" s="24">
        <v>1</v>
      </c>
      <c r="H76" s="25"/>
      <c r="I76" s="22"/>
      <c r="J76" s="24"/>
      <c r="K76" s="24" t="str">
        <f>IFERROR(VLOOKUP(Esselte[[#This Row],[Código]],Importação!P:R,3,FALSE),"")</f>
        <v/>
      </c>
      <c r="L76" s="24">
        <f>IFERROR(VLOOKUP(Esselte[[#This Row],[Código]],Saldo[],3,FALSE),0)</f>
        <v>3888</v>
      </c>
      <c r="M76" s="24">
        <f>SUM(Esselte[[#This Row],[Produção]:[Estoque]])</f>
        <v>3888</v>
      </c>
      <c r="N76" s="24">
        <f>IFERROR(Esselte[[#This Row],[Estoque+Importação]]/Esselte[[#This Row],[Proj. de V. No prox. mes]],"Sem Projeção")</f>
        <v>4860</v>
      </c>
      <c r="O76" s="24" t="str">
        <f>IF(OR(Esselte[[#This Row],[Status]]="Em Linha",Esselte[[#This Row],[Status]]="Componente",Esselte[[#This Row],[Status]]="Materia Prima"),Esselte[[#This Row],[Proj. de V. No prox. mes]]*10,"-")</f>
        <v>-</v>
      </c>
      <c r="P7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6" s="83">
        <f>VLOOKUP(Esselte[[#This Row],[Código]],Projeção[#All],15,FALSE)</f>
        <v>0.79999999999999993</v>
      </c>
      <c r="R76" s="43">
        <f>VLOOKUP(Esselte[[#This Row],[Código]],Projeção[#All],14,FALSE)</f>
        <v>5.833333333333333</v>
      </c>
      <c r="S76" s="39">
        <f>IFERROR(VLOOKUP(Esselte[[#This Row],[Código]],Venda_mes[],2,FALSE),0)</f>
        <v>0</v>
      </c>
      <c r="T76" s="44">
        <f>IFERROR(Esselte[[#This Row],[V. No mes]]/Esselte[[#This Row],[Proj. de V. No mes]],"")</f>
        <v>0</v>
      </c>
      <c r="U76" s="43">
        <f>VLOOKUP(Esselte[[#This Row],[Código]],Projeção[#All],14,FALSE)+VLOOKUP(Esselte[[#This Row],[Código]],Projeção[#All],13,FALSE)+VLOOKUP(Esselte[[#This Row],[Código]],Projeção[#All],12,FALSE)</f>
        <v>11.433333333333334</v>
      </c>
      <c r="V76" s="39">
        <f>IFERROR(VLOOKUP(Esselte[[#This Row],[Código]],Venda_3meses[],2,FALSE),0)</f>
        <v>0</v>
      </c>
      <c r="W76" s="44">
        <f>IFERROR(Esselte[[#This Row],[V. 3 meses]]/Esselte[[#This Row],[Proj. de V. 3 meses]],"")</f>
        <v>0</v>
      </c>
      <c r="X7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70.3</v>
      </c>
      <c r="Y76" s="39">
        <f>IFERROR(VLOOKUP(Esselte[[#This Row],[Código]],Venda_12meses[],2,FALSE),0)</f>
        <v>20</v>
      </c>
      <c r="Z76" s="44">
        <f>IFERROR(Esselte[[#This Row],[V. 12 meses]]/Esselte[[#This Row],[Proj. de V. 12 meses]],"")</f>
        <v>0.28449502133712662</v>
      </c>
      <c r="AA76" s="22">
        <v>33063063775</v>
      </c>
    </row>
    <row r="77" spans="1:27" x14ac:dyDescent="0.25">
      <c r="A77" s="22" t="str">
        <f>VLOOKUP(Esselte[[#This Row],[Código]],BD_Produto[#All],7,FALSE)</f>
        <v>Fora de Linha</v>
      </c>
      <c r="B7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7" s="23">
        <v>33063063484</v>
      </c>
      <c r="D77" s="22" t="s">
        <v>1007</v>
      </c>
      <c r="E77" s="22" t="str">
        <f>VLOOKUP(Esselte[[#This Row],[Código]],BD_Produto[],3,FALSE)</f>
        <v>Combifile</v>
      </c>
      <c r="F77" s="22" t="str">
        <f>VLOOKUP(Esselte[[#This Row],[Código]],BD_Produto[],4,FALSE)</f>
        <v>Combifile</v>
      </c>
      <c r="G77" s="24">
        <v>6</v>
      </c>
      <c r="H77" s="25"/>
      <c r="I77" s="22"/>
      <c r="J77" s="24"/>
      <c r="K77" s="24" t="str">
        <f>IFERROR(VLOOKUP(Esselte[[#This Row],[Código]],Importação!P:R,3,FALSE),"")</f>
        <v/>
      </c>
      <c r="L77" s="24">
        <f>IFERROR(VLOOKUP(Esselte[[#This Row],[Código]],Saldo[],3,FALSE),0)</f>
        <v>2288</v>
      </c>
      <c r="M77" s="24">
        <f>SUM(Esselte[[#This Row],[Produção]:[Estoque]])</f>
        <v>2288</v>
      </c>
      <c r="N77" s="24">
        <f>IFERROR(Esselte[[#This Row],[Estoque+Importação]]/Esselte[[#This Row],[Proj. de V. No prox. mes]],"Sem Projeção")</f>
        <v>1961.1428571428573</v>
      </c>
      <c r="O77" s="24" t="str">
        <f>IF(OR(Esselte[[#This Row],[Status]]="Em Linha",Esselte[[#This Row],[Status]]="Componente",Esselte[[#This Row],[Status]]="Materia Prima"),Esselte[[#This Row],[Proj. de V. No prox. mes]]*10,"-")</f>
        <v>-</v>
      </c>
      <c r="P7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7" s="83">
        <f>VLOOKUP(Esselte[[#This Row],[Código]],Projeção[#All],15,FALSE)</f>
        <v>1.1666666666666665</v>
      </c>
      <c r="R77" s="43">
        <f>VLOOKUP(Esselte[[#This Row],[Código]],Projeção[#All],14,FALSE)</f>
        <v>2.3666666666666663</v>
      </c>
      <c r="S77" s="39">
        <f>IFERROR(VLOOKUP(Esselte[[#This Row],[Código]],Venda_mes[],2,FALSE),0)</f>
        <v>4</v>
      </c>
      <c r="T77" s="44">
        <f>IFERROR(Esselte[[#This Row],[V. No mes]]/Esselte[[#This Row],[Proj. de V. No mes]],"")</f>
        <v>1.6901408450704227</v>
      </c>
      <c r="U77" s="43">
        <f>VLOOKUP(Esselte[[#This Row],[Código]],Projeção[#All],14,FALSE)+VLOOKUP(Esselte[[#This Row],[Código]],Projeção[#All],13,FALSE)+VLOOKUP(Esselte[[#This Row],[Código]],Projeção[#All],12,FALSE)</f>
        <v>6.3666666666666671</v>
      </c>
      <c r="V77" s="39">
        <f>IFERROR(VLOOKUP(Esselte[[#This Row],[Código]],Venda_3meses[],2,FALSE),0)</f>
        <v>4</v>
      </c>
      <c r="W77" s="44">
        <f>IFERROR(Esselte[[#This Row],[V. 3 meses]]/Esselte[[#This Row],[Proj. de V. 3 meses]],"")</f>
        <v>0.62827225130890052</v>
      </c>
      <c r="X7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29.866666666666667</v>
      </c>
      <c r="Y77" s="39">
        <f>IFERROR(VLOOKUP(Esselte[[#This Row],[Código]],Venda_12meses[],2,FALSE),0)</f>
        <v>11</v>
      </c>
      <c r="Z77" s="44">
        <f>IFERROR(Esselte[[#This Row],[V. 12 meses]]/Esselte[[#This Row],[Proj. de V. 12 meses]],"")</f>
        <v>0.3683035714285714</v>
      </c>
      <c r="AA77" s="22"/>
    </row>
    <row r="78" spans="1:27" x14ac:dyDescent="0.25">
      <c r="A78" s="22" t="str">
        <f>VLOOKUP(Esselte[[#This Row],[Código]],BD_Produto[#All],7,FALSE)</f>
        <v>Fora de Linha</v>
      </c>
      <c r="B7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8" s="23">
        <v>33063063482</v>
      </c>
      <c r="D78" s="22" t="s">
        <v>1008</v>
      </c>
      <c r="E78" s="22" t="str">
        <f>VLOOKUP(Esselte[[#This Row],[Código]],BD_Produto[],3,FALSE)</f>
        <v>Combifile</v>
      </c>
      <c r="F78" s="22" t="str">
        <f>VLOOKUP(Esselte[[#This Row],[Código]],BD_Produto[],4,FALSE)</f>
        <v>Combifile</v>
      </c>
      <c r="G78" s="24">
        <v>6</v>
      </c>
      <c r="H78" s="25"/>
      <c r="I78" s="22"/>
      <c r="J78" s="24"/>
      <c r="K78" s="24" t="str">
        <f>IFERROR(VLOOKUP(Esselte[[#This Row],[Código]],Importação!P:R,3,FALSE),"")</f>
        <v/>
      </c>
      <c r="L78" s="24">
        <f>IFERROR(VLOOKUP(Esselte[[#This Row],[Código]],Saldo[],3,FALSE),0)</f>
        <v>2649</v>
      </c>
      <c r="M78" s="24">
        <f>SUM(Esselte[[#This Row],[Produção]:[Estoque]])</f>
        <v>2649</v>
      </c>
      <c r="N78" s="24">
        <f>IFERROR(Esselte[[#This Row],[Estoque+Importação]]/Esselte[[#This Row],[Proj. de V. No prox. mes]],"Sem Projeção")</f>
        <v>276.89895470383277</v>
      </c>
      <c r="O78" s="24" t="str">
        <f>IF(OR(Esselte[[#This Row],[Status]]="Em Linha",Esselte[[#This Row],[Status]]="Componente",Esselte[[#This Row],[Status]]="Materia Prima"),Esselte[[#This Row],[Proj. de V. No prox. mes]]*10,"-")</f>
        <v>-</v>
      </c>
      <c r="P7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8" s="83">
        <f>VLOOKUP(Esselte[[#This Row],[Código]],Projeção[#All],15,FALSE)</f>
        <v>9.5666666666666664</v>
      </c>
      <c r="R78" s="43">
        <f>VLOOKUP(Esselte[[#This Row],[Código]],Projeção[#All],14,FALSE)</f>
        <v>3.4333333333333331</v>
      </c>
      <c r="S78" s="39">
        <f>IFERROR(VLOOKUP(Esselte[[#This Row],[Código]],Venda_mes[],2,FALSE),0)</f>
        <v>38</v>
      </c>
      <c r="T78" s="44">
        <f>IFERROR(Esselte[[#This Row],[V. No mes]]/Esselte[[#This Row],[Proj. de V. No mes]],"")</f>
        <v>11.067961165048544</v>
      </c>
      <c r="U78" s="43">
        <f>VLOOKUP(Esselte[[#This Row],[Código]],Projeção[#All],14,FALSE)+VLOOKUP(Esselte[[#This Row],[Código]],Projeção[#All],13,FALSE)+VLOOKUP(Esselte[[#This Row],[Código]],Projeção[#All],12,FALSE)</f>
        <v>8.0333333333333332</v>
      </c>
      <c r="V78" s="39">
        <f>IFERROR(VLOOKUP(Esselte[[#This Row],[Código]],Venda_3meses[],2,FALSE),0)</f>
        <v>38</v>
      </c>
      <c r="W78" s="44">
        <f>IFERROR(Esselte[[#This Row],[V. 3 meses]]/Esselte[[#This Row],[Proj. de V. 3 meses]],"")</f>
        <v>4.7302904564315353</v>
      </c>
      <c r="X7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11.233333333333331</v>
      </c>
      <c r="Y78" s="39">
        <f>IFERROR(VLOOKUP(Esselte[[#This Row],[Código]],Venda_12meses[],2,FALSE),0)</f>
        <v>59</v>
      </c>
      <c r="Z78" s="44">
        <f>IFERROR(Esselte[[#This Row],[V. 12 meses]]/Esselte[[#This Row],[Proj. de V. 12 meses]],"")</f>
        <v>5.2522255192878351</v>
      </c>
      <c r="AA78" s="22"/>
    </row>
    <row r="79" spans="1:27" x14ac:dyDescent="0.25">
      <c r="A79" s="22" t="str">
        <f>VLOOKUP(Esselte[[#This Row],[Código]],BD_Produto[#All],7,FALSE)</f>
        <v>Fora de Linha</v>
      </c>
      <c r="B7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79" s="23">
        <v>33063263355</v>
      </c>
      <c r="D79" s="22" t="s">
        <v>1097</v>
      </c>
      <c r="E79" s="22" t="str">
        <f>VLOOKUP(Esselte[[#This Row],[Código]],BD_Produto[],3,FALSE)</f>
        <v>Pasta Suspensa</v>
      </c>
      <c r="F79" s="22" t="str">
        <f>VLOOKUP(Esselte[[#This Row],[Código]],BD_Produto[],4,FALSE)</f>
        <v>Pasta Suspensa</v>
      </c>
      <c r="G79" s="24">
        <v>1</v>
      </c>
      <c r="H79" s="25"/>
      <c r="I79" s="22"/>
      <c r="J79" s="24"/>
      <c r="K79" s="24" t="str">
        <f>IFERROR(VLOOKUP(Esselte[[#This Row],[Código]],Importação!P:R,3,FALSE),"")</f>
        <v/>
      </c>
      <c r="L79" s="24">
        <f>IFERROR(VLOOKUP(Esselte[[#This Row],[Código]],Saldo[],3,FALSE),0)</f>
        <v>499</v>
      </c>
      <c r="M79" s="24">
        <f>SUM(Esselte[[#This Row],[Produção]:[Estoque]])</f>
        <v>499</v>
      </c>
      <c r="N79" s="24">
        <f>IFERROR(Esselte[[#This Row],[Estoque+Importação]]/Esselte[[#This Row],[Proj. de V. No prox. mes]],"Sem Projeção")</f>
        <v>233.90625</v>
      </c>
      <c r="O79" s="24" t="str">
        <f>IF(OR(Esselte[[#This Row],[Status]]="Em Linha",Esselte[[#This Row],[Status]]="Componente",Esselte[[#This Row],[Status]]="Materia Prima"),Esselte[[#This Row],[Proj. de V. No prox. mes]]*10,"-")</f>
        <v>-</v>
      </c>
      <c r="P7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79" s="83">
        <f>VLOOKUP(Esselte[[#This Row],[Código]],Projeção[#All],15,FALSE)</f>
        <v>2.1333333333333333</v>
      </c>
      <c r="R79" s="43">
        <f>VLOOKUP(Esselte[[#This Row],[Código]],Projeção[#All],14,FALSE)</f>
        <v>0.89999999999999991</v>
      </c>
      <c r="S79" s="39">
        <f>IFERROR(VLOOKUP(Esselte[[#This Row],[Código]],Venda_mes[],2,FALSE),0)</f>
        <v>0</v>
      </c>
      <c r="T79" s="44">
        <f>IFERROR(Esselte[[#This Row],[V. No mes]]/Esselte[[#This Row],[Proj. de V. No mes]],"")</f>
        <v>0</v>
      </c>
      <c r="U79" s="43">
        <f>VLOOKUP(Esselte[[#This Row],[Código]],Projeção[#All],14,FALSE)+VLOOKUP(Esselte[[#This Row],[Código]],Projeção[#All],13,FALSE)+VLOOKUP(Esselte[[#This Row],[Código]],Projeção[#All],12,FALSE)</f>
        <v>3.0666666666666664</v>
      </c>
      <c r="V79" s="39">
        <f>IFERROR(VLOOKUP(Esselte[[#This Row],[Código]],Venda_3meses[],2,FALSE),0)</f>
        <v>2</v>
      </c>
      <c r="W79" s="44">
        <f>IFERROR(Esselte[[#This Row],[V. 3 meses]]/Esselte[[#This Row],[Proj. de V. 3 meses]],"")</f>
        <v>0.65217391304347827</v>
      </c>
      <c r="X7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32.333333333333329</v>
      </c>
      <c r="Y79" s="39">
        <f>IFERROR(VLOOKUP(Esselte[[#This Row],[Código]],Venda_12meses[],2,FALSE),0)</f>
        <v>52</v>
      </c>
      <c r="Z79" s="44">
        <f>IFERROR(Esselte[[#This Row],[V. 12 meses]]/Esselte[[#This Row],[Proj. de V. 12 meses]],"")</f>
        <v>1.6082474226804127</v>
      </c>
      <c r="AA79" s="22"/>
    </row>
    <row r="80" spans="1:27" x14ac:dyDescent="0.25">
      <c r="A80" s="22" t="str">
        <f>VLOOKUP(Esselte[[#This Row],[Código]],BD_Produto[#All],7,FALSE)</f>
        <v>Fora de Linha</v>
      </c>
      <c r="B8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0" s="23">
        <v>33063063474</v>
      </c>
      <c r="D80" s="22" t="s">
        <v>1148</v>
      </c>
      <c r="E80" s="22" t="str">
        <f>VLOOKUP(Esselte[[#This Row],[Código]],BD_Produto[],3,FALSE)</f>
        <v>Pasta Organizadora (A/Z)</v>
      </c>
      <c r="F80" s="22" t="str">
        <f>VLOOKUP(Esselte[[#This Row],[Código]],BD_Produto[],4,FALSE)</f>
        <v>Pasta Organizadora (A/Z)</v>
      </c>
      <c r="G80" s="24">
        <v>5</v>
      </c>
      <c r="H80" s="25"/>
      <c r="I80" s="22"/>
      <c r="J80" s="24"/>
      <c r="K80" s="24" t="str">
        <f>IFERROR(VLOOKUP(Esselte[[#This Row],[Código]],Importação!P:R,3,FALSE),"")</f>
        <v/>
      </c>
      <c r="L80" s="24">
        <f>IFERROR(VLOOKUP(Esselte[[#This Row],[Código]],Saldo[],3,FALSE),0)</f>
        <v>582</v>
      </c>
      <c r="M80" s="24">
        <f>SUM(Esselte[[#This Row],[Produção]:[Estoque]])</f>
        <v>582</v>
      </c>
      <c r="N80" s="24">
        <f>IFERROR(Esselte[[#This Row],[Estoque+Importação]]/Esselte[[#This Row],[Proj. de V. No prox. mes]],"Sem Projeção")</f>
        <v>200.68965517241381</v>
      </c>
      <c r="O80" s="24" t="str">
        <f>IF(OR(Esselte[[#This Row],[Status]]="Em Linha",Esselte[[#This Row],[Status]]="Componente",Esselte[[#This Row],[Status]]="Materia Prima"),Esselte[[#This Row],[Proj. de V. No prox. mes]]*10,"-")</f>
        <v>-</v>
      </c>
      <c r="P8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0" s="75">
        <f>VLOOKUP(Esselte[[#This Row],[Código]],Projeção[#All],15,FALSE)</f>
        <v>2.9</v>
      </c>
      <c r="R80" s="39">
        <f>VLOOKUP(Esselte[[#This Row],[Código]],Projeção[#All],14,FALSE)</f>
        <v>0.70000000000000007</v>
      </c>
      <c r="S80" s="39">
        <f>IFERROR(VLOOKUP(Esselte[[#This Row],[Código]],Venda_mes[],2,FALSE),0)</f>
        <v>6</v>
      </c>
      <c r="T80" s="44">
        <f>IFERROR(Esselte[[#This Row],[V. No mes]]/Esselte[[#This Row],[Proj. de V. No mes]],"")</f>
        <v>8.5714285714285712</v>
      </c>
      <c r="U80" s="43">
        <f>VLOOKUP(Esselte[[#This Row],[Código]],Projeção[#All],14,FALSE)+VLOOKUP(Esselte[[#This Row],[Código]],Projeção[#All],13,FALSE)+VLOOKUP(Esselte[[#This Row],[Código]],Projeção[#All],12,FALSE)</f>
        <v>1.4000000000000001</v>
      </c>
      <c r="V80" s="39">
        <f>IFERROR(VLOOKUP(Esselte[[#This Row],[Código]],Venda_3meses[],2,FALSE),0)</f>
        <v>12</v>
      </c>
      <c r="W80" s="44">
        <f>IFERROR(Esselte[[#This Row],[V. 3 meses]]/Esselte[[#This Row],[Proj. de V. 3 meses]],"")</f>
        <v>8.5714285714285712</v>
      </c>
      <c r="X8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2.3000000000000003</v>
      </c>
      <c r="Y80" s="39">
        <f>IFERROR(VLOOKUP(Esselte[[#This Row],[Código]],Venda_12meses[],2,FALSE),0)</f>
        <v>15</v>
      </c>
      <c r="Z80" s="44">
        <f>IFERROR(Esselte[[#This Row],[V. 12 meses]]/Esselte[[#This Row],[Proj. de V. 12 meses]],"")</f>
        <v>6.5217391304347823</v>
      </c>
      <c r="AA80" s="22"/>
    </row>
    <row r="81" spans="1:27" x14ac:dyDescent="0.25">
      <c r="A81" s="22" t="str">
        <f>VLOOKUP(Esselte[[#This Row],[Código]],BD_Produto[#All],7,FALSE)</f>
        <v>Fora de Linha</v>
      </c>
      <c r="B8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1" s="23">
        <v>33063063480</v>
      </c>
      <c r="D81" s="22" t="s">
        <v>1108</v>
      </c>
      <c r="E81" s="22" t="str">
        <f>VLOOKUP(Esselte[[#This Row],[Código]],BD_Produto[],3,FALSE)</f>
        <v>Combifile</v>
      </c>
      <c r="F81" s="22" t="str">
        <f>VLOOKUP(Esselte[[#This Row],[Código]],BD_Produto[],4,FALSE)</f>
        <v>Combifile</v>
      </c>
      <c r="G81" s="24">
        <v>6</v>
      </c>
      <c r="H81" s="25"/>
      <c r="I81" s="22"/>
      <c r="J81" s="24"/>
      <c r="K81" s="24" t="str">
        <f>IFERROR(VLOOKUP(Esselte[[#This Row],[Código]],Importação!P:R,3,FALSE),"")</f>
        <v/>
      </c>
      <c r="L81" s="24">
        <f>IFERROR(VLOOKUP(Esselte[[#This Row],[Código]],Saldo[],3,FALSE),0)</f>
        <v>937</v>
      </c>
      <c r="M81" s="24">
        <f>SUM(Esselte[[#This Row],[Produção]:[Estoque]])</f>
        <v>937</v>
      </c>
      <c r="N81" s="24">
        <f>IFERROR(Esselte[[#This Row],[Estoque+Importação]]/Esselte[[#This Row],[Proj. de V. No prox. mes]],"Sem Projeção")</f>
        <v>7027.5</v>
      </c>
      <c r="O81" s="24" t="str">
        <f>IF(OR(Esselte[[#This Row],[Status]]="Em Linha",Esselte[[#This Row],[Status]]="Componente",Esselte[[#This Row],[Status]]="Materia Prima"),Esselte[[#This Row],[Proj. de V. No prox. mes]]*10,"-")</f>
        <v>-</v>
      </c>
      <c r="P8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1" s="75">
        <f>VLOOKUP(Esselte[[#This Row],[Código]],Projeção[#All],15,FALSE)</f>
        <v>0.13333333333333333</v>
      </c>
      <c r="R81" s="39">
        <f>VLOOKUP(Esselte[[#This Row],[Código]],Projeção[#All],14,FALSE)</f>
        <v>0.86666666666666659</v>
      </c>
      <c r="S81" s="39">
        <f>IFERROR(VLOOKUP(Esselte[[#This Row],[Código]],Venda_mes[],2,FALSE),0)</f>
        <v>0</v>
      </c>
      <c r="T81" s="44">
        <f>IFERROR(Esselte[[#This Row],[V. No mes]]/Esselte[[#This Row],[Proj. de V. No mes]],"")</f>
        <v>0</v>
      </c>
      <c r="U81" s="43">
        <f>VLOOKUP(Esselte[[#This Row],[Código]],Projeção[#All],14,FALSE)+VLOOKUP(Esselte[[#This Row],[Código]],Projeção[#All],13,FALSE)+VLOOKUP(Esselte[[#This Row],[Código]],Projeção[#All],12,FALSE)</f>
        <v>1.2</v>
      </c>
      <c r="V81" s="39">
        <f>IFERROR(VLOOKUP(Esselte[[#This Row],[Código]],Venda_3meses[],2,FALSE),0)</f>
        <v>0</v>
      </c>
      <c r="W81" s="44">
        <f>IFERROR(Esselte[[#This Row],[V. 3 meses]]/Esselte[[#This Row],[Proj. de V. 3 meses]],"")</f>
        <v>0</v>
      </c>
      <c r="X8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6.4333333333333336</v>
      </c>
      <c r="Y81" s="39">
        <f>IFERROR(VLOOKUP(Esselte[[#This Row],[Código]],Venda_12meses[],2,FALSE),0)</f>
        <v>4</v>
      </c>
      <c r="Z81" s="44">
        <f>IFERROR(Esselte[[#This Row],[V. 12 meses]]/Esselte[[#This Row],[Proj. de V. 12 meses]],"")</f>
        <v>0.62176165803108807</v>
      </c>
      <c r="AA81" s="22"/>
    </row>
    <row r="82" spans="1:27" x14ac:dyDescent="0.25">
      <c r="A82" s="22" t="str">
        <f>VLOOKUP(Esselte[[#This Row],[Código]],BD_Produto[#All],7,FALSE)</f>
        <v>Fora de Linha</v>
      </c>
      <c r="B8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2" s="23">
        <v>33063263358</v>
      </c>
      <c r="D82" s="22" t="s">
        <v>967</v>
      </c>
      <c r="E82" s="22" t="str">
        <f>VLOOKUP(Esselte[[#This Row],[Código]],BD_Produto[],3,FALSE)</f>
        <v>Pasta Suspensa</v>
      </c>
      <c r="F82" s="22" t="str">
        <f>VLOOKUP(Esselte[[#This Row],[Código]],BD_Produto[],4,FALSE)</f>
        <v>Pasta Suspensa</v>
      </c>
      <c r="G82" s="24">
        <v>1</v>
      </c>
      <c r="H82" s="25"/>
      <c r="I82" s="22"/>
      <c r="J82" s="24"/>
      <c r="K82" s="24" t="str">
        <f>IFERROR(VLOOKUP(Esselte[[#This Row],[Código]],Importação!P:R,3,FALSE),"")</f>
        <v/>
      </c>
      <c r="L82" s="24">
        <f>IFERROR(VLOOKUP(Esselte[[#This Row],[Código]],Saldo[],3,FALSE),0)</f>
        <v>148</v>
      </c>
      <c r="M82" s="24">
        <f>SUM(Esselte[[#This Row],[Produção]:[Estoque]])</f>
        <v>148</v>
      </c>
      <c r="N82" s="24" t="str">
        <f>IFERROR(Esselte[[#This Row],[Estoque+Importação]]/Esselte[[#This Row],[Proj. de V. No prox. mes]],"Sem Projeção")</f>
        <v>Sem Projeção</v>
      </c>
      <c r="O82" s="24" t="str">
        <f>IF(OR(Esselte[[#This Row],[Status]]="Em Linha",Esselte[[#This Row],[Status]]="Componente",Esselte[[#This Row],[Status]]="Materia Prima"),Esselte[[#This Row],[Proj. de V. No prox. mes]]*10,"-")</f>
        <v>-</v>
      </c>
      <c r="P8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2" s="75">
        <f>VLOOKUP(Esselte[[#This Row],[Código]],Projeção[#All],15,FALSE)</f>
        <v>0</v>
      </c>
      <c r="R82" s="39">
        <f>VLOOKUP(Esselte[[#This Row],[Código]],Projeção[#All],14,FALSE)</f>
        <v>0.16666666666666666</v>
      </c>
      <c r="S82" s="39">
        <f>IFERROR(VLOOKUP(Esselte[[#This Row],[Código]],Venda_mes[],2,FALSE),0)</f>
        <v>0</v>
      </c>
      <c r="T82" s="44">
        <f>IFERROR(Esselte[[#This Row],[V. No mes]]/Esselte[[#This Row],[Proj. de V. No mes]],"")</f>
        <v>0</v>
      </c>
      <c r="U82" s="43">
        <f>VLOOKUP(Esselte[[#This Row],[Código]],Projeção[#All],14,FALSE)+VLOOKUP(Esselte[[#This Row],[Código]],Projeção[#All],13,FALSE)+VLOOKUP(Esselte[[#This Row],[Código]],Projeção[#All],12,FALSE)</f>
        <v>0.5</v>
      </c>
      <c r="V82" s="39">
        <f>IFERROR(VLOOKUP(Esselte[[#This Row],[Código]],Venda_3meses[],2,FALSE),0)</f>
        <v>0</v>
      </c>
      <c r="W82" s="44">
        <f>IFERROR(Esselte[[#This Row],[V. 3 meses]]/Esselte[[#This Row],[Proj. de V. 3 meses]],"")</f>
        <v>0</v>
      </c>
      <c r="X8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6</v>
      </c>
      <c r="Y82" s="39">
        <f>IFERROR(VLOOKUP(Esselte[[#This Row],[Código]],Venda_12meses[],2,FALSE),0)</f>
        <v>0</v>
      </c>
      <c r="Z82" s="44">
        <f>IFERROR(Esselte[[#This Row],[V. 12 meses]]/Esselte[[#This Row],[Proj. de V. 12 meses]],"")</f>
        <v>0</v>
      </c>
      <c r="AA82" s="22"/>
    </row>
    <row r="83" spans="1:27" x14ac:dyDescent="0.25">
      <c r="A83" s="22" t="str">
        <f>VLOOKUP(Esselte[[#This Row],[Código]],BD_Produto[#All],7,FALSE)</f>
        <v>Fora de Linha</v>
      </c>
      <c r="B8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3" s="23">
        <v>33063063483</v>
      </c>
      <c r="D83" s="22" t="s">
        <v>1023</v>
      </c>
      <c r="E83" s="22" t="str">
        <f>VLOOKUP(Esselte[[#This Row],[Código]],BD_Produto[],3,FALSE)</f>
        <v>Combifile</v>
      </c>
      <c r="F83" s="22" t="str">
        <f>VLOOKUP(Esselte[[#This Row],[Código]],BD_Produto[],4,FALSE)</f>
        <v>Combifile</v>
      </c>
      <c r="G83" s="24">
        <v>6</v>
      </c>
      <c r="H83" s="25"/>
      <c r="I83" s="22"/>
      <c r="J83" s="24"/>
      <c r="K83" s="24" t="str">
        <f>IFERROR(VLOOKUP(Esselte[[#This Row],[Código]],Importação!P:R,3,FALSE),"")</f>
        <v/>
      </c>
      <c r="L83" s="24">
        <f>IFERROR(VLOOKUP(Esselte[[#This Row],[Código]],Saldo[],3,FALSE),0)</f>
        <v>2658</v>
      </c>
      <c r="M83" s="24">
        <f>SUM(Esselte[[#This Row],[Produção]:[Estoque]])</f>
        <v>2658</v>
      </c>
      <c r="N83" s="24">
        <f>IFERROR(Esselte[[#This Row],[Estoque+Importação]]/Esselte[[#This Row],[Proj. de V. No prox. mes]],"Sem Projeção")</f>
        <v>7974</v>
      </c>
      <c r="O83" s="24" t="str">
        <f>IF(OR(Esselte[[#This Row],[Status]]="Em Linha",Esselte[[#This Row],[Status]]="Componente",Esselte[[#This Row],[Status]]="Materia Prima"),Esselte[[#This Row],[Proj. de V. No prox. mes]]*10,"-")</f>
        <v>-</v>
      </c>
      <c r="P8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3" s="75">
        <f>VLOOKUP(Esselte[[#This Row],[Código]],Projeção[#All],15,FALSE)</f>
        <v>0.33333333333333331</v>
      </c>
      <c r="R83" s="39">
        <f>VLOOKUP(Esselte[[#This Row],[Código]],Projeção[#All],14,FALSE)</f>
        <v>2.4666666666666668</v>
      </c>
      <c r="S83" s="39">
        <f>IFERROR(VLOOKUP(Esselte[[#This Row],[Código]],Venda_mes[],2,FALSE),0)</f>
        <v>0</v>
      </c>
      <c r="T83" s="44">
        <f>IFERROR(Esselte[[#This Row],[V. No mes]]/Esselte[[#This Row],[Proj. de V. No mes]],"")</f>
        <v>0</v>
      </c>
      <c r="U83" s="43">
        <f>VLOOKUP(Esselte[[#This Row],[Código]],Projeção[#All],14,FALSE)+VLOOKUP(Esselte[[#This Row],[Código]],Projeção[#All],13,FALSE)+VLOOKUP(Esselte[[#This Row],[Código]],Projeção[#All],12,FALSE)</f>
        <v>3.2</v>
      </c>
      <c r="V83" s="39">
        <f>IFERROR(VLOOKUP(Esselte[[#This Row],[Código]],Venda_3meses[],2,FALSE),0)</f>
        <v>0</v>
      </c>
      <c r="W83" s="44">
        <f>IFERROR(Esselte[[#This Row],[V. 3 meses]]/Esselte[[#This Row],[Proj. de V. 3 meses]],"")</f>
        <v>0</v>
      </c>
      <c r="X8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14.899999999999999</v>
      </c>
      <c r="Y83" s="39">
        <f>IFERROR(VLOOKUP(Esselte[[#This Row],[Código]],Venda_12meses[],2,FALSE),0)</f>
        <v>10</v>
      </c>
      <c r="Z83" s="44">
        <f>IFERROR(Esselte[[#This Row],[V. 12 meses]]/Esselte[[#This Row],[Proj. de V. 12 meses]],"")</f>
        <v>0.67114093959731547</v>
      </c>
      <c r="AA83" s="22"/>
    </row>
    <row r="84" spans="1:27" x14ac:dyDescent="0.25">
      <c r="A84" s="22" t="str">
        <f>VLOOKUP(Esselte[[#This Row],[Código]],BD_Produto[#All],7,FALSE)</f>
        <v>Fora de Linha</v>
      </c>
      <c r="B8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4" s="23">
        <v>33063263350</v>
      </c>
      <c r="D84" s="22" t="s">
        <v>1081</v>
      </c>
      <c r="E84" s="22" t="str">
        <f>VLOOKUP(Esselte[[#This Row],[Código]],BD_Produto[],3,FALSE)</f>
        <v>Pasta Suspensa</v>
      </c>
      <c r="F84" s="22" t="str">
        <f>VLOOKUP(Esselte[[#This Row],[Código]],BD_Produto[],4,FALSE)</f>
        <v>Pasta Suspensa</v>
      </c>
      <c r="G84" s="24">
        <v>1</v>
      </c>
      <c r="H84" s="25"/>
      <c r="I84" s="22"/>
      <c r="J84" s="24"/>
      <c r="K84" s="24" t="str">
        <f>IFERROR(VLOOKUP(Esselte[[#This Row],[Código]],Importação!P:R,3,FALSE),"")</f>
        <v/>
      </c>
      <c r="L84" s="24">
        <f>IFERROR(VLOOKUP(Esselte[[#This Row],[Código]],Saldo[],3,FALSE),0)</f>
        <v>1133</v>
      </c>
      <c r="M84" s="24">
        <f>SUM(Esselte[[#This Row],[Produção]:[Estoque]])</f>
        <v>1133</v>
      </c>
      <c r="N84" s="24">
        <f>IFERROR(Esselte[[#This Row],[Estoque+Importação]]/Esselte[[#This Row],[Proj. de V. No prox. mes]],"Sem Projeção")</f>
        <v>666.47058823529414</v>
      </c>
      <c r="O84" s="24" t="str">
        <f>IF(OR(Esselte[[#This Row],[Status]]="Em Linha",Esselte[[#This Row],[Status]]="Componente",Esselte[[#This Row],[Status]]="Materia Prima"),Esselte[[#This Row],[Proj. de V. No prox. mes]]*10,"-")</f>
        <v>-</v>
      </c>
      <c r="P8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4" s="75">
        <f>VLOOKUP(Esselte[[#This Row],[Código]],Projeção[#All],15,FALSE)</f>
        <v>1.7</v>
      </c>
      <c r="R84" s="39">
        <f>VLOOKUP(Esselte[[#This Row],[Código]],Projeção[#All],14,FALSE)</f>
        <v>1.0999999999999999</v>
      </c>
      <c r="S84" s="39">
        <f>IFERROR(VLOOKUP(Esselte[[#This Row],[Código]],Venda_mes[],2,FALSE),0)</f>
        <v>0</v>
      </c>
      <c r="T84" s="44">
        <f>IFERROR(Esselte[[#This Row],[V. No mes]]/Esselte[[#This Row],[Proj. de V. No mes]],"")</f>
        <v>0</v>
      </c>
      <c r="U84" s="43">
        <f>VLOOKUP(Esselte[[#This Row],[Código]],Projeção[#All],14,FALSE)+VLOOKUP(Esselte[[#This Row],[Código]],Projeção[#All],13,FALSE)+VLOOKUP(Esselte[[#This Row],[Código]],Projeção[#All],12,FALSE)</f>
        <v>3.8</v>
      </c>
      <c r="V84" s="39">
        <f>IFERROR(VLOOKUP(Esselte[[#This Row],[Código]],Venda_3meses[],2,FALSE),0)</f>
        <v>0</v>
      </c>
      <c r="W84" s="44">
        <f>IFERROR(Esselte[[#This Row],[V. 3 meses]]/Esselte[[#This Row],[Proj. de V. 3 meses]],"")</f>
        <v>0</v>
      </c>
      <c r="X8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39.066666666666663</v>
      </c>
      <c r="Y84" s="39">
        <f>IFERROR(VLOOKUP(Esselte[[#This Row],[Código]],Venda_12meses[],2,FALSE),0)</f>
        <v>51</v>
      </c>
      <c r="Z84" s="44">
        <f>IFERROR(Esselte[[#This Row],[V. 12 meses]]/Esselte[[#This Row],[Proj. de V. 12 meses]],"")</f>
        <v>1.3054607508532425</v>
      </c>
      <c r="AA84" s="22"/>
    </row>
    <row r="85" spans="1:27" x14ac:dyDescent="0.25">
      <c r="A85" s="22" t="str">
        <f>VLOOKUP(Esselte[[#This Row],[Código]],BD_Produto[#All],7,FALSE)</f>
        <v>Fora de Linha</v>
      </c>
      <c r="B8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5" s="23">
        <v>33063063481</v>
      </c>
      <c r="D85" s="22" t="s">
        <v>1123</v>
      </c>
      <c r="E85" s="22" t="str">
        <f>VLOOKUP(Esselte[[#This Row],[Código]],BD_Produto[],3,FALSE)</f>
        <v>Combifile</v>
      </c>
      <c r="F85" s="22" t="str">
        <f>VLOOKUP(Esselte[[#This Row],[Código]],BD_Produto[],4,FALSE)</f>
        <v>Combifile</v>
      </c>
      <c r="G85" s="24">
        <v>6</v>
      </c>
      <c r="H85" s="25"/>
      <c r="I85" s="22"/>
      <c r="J85" s="24"/>
      <c r="K85" s="24" t="str">
        <f>IFERROR(VLOOKUP(Esselte[[#This Row],[Código]],Importação!P:R,3,FALSE),"")</f>
        <v/>
      </c>
      <c r="L85" s="24">
        <f>IFERROR(VLOOKUP(Esselte[[#This Row],[Código]],Saldo[],3,FALSE),0)</f>
        <v>1229</v>
      </c>
      <c r="M85" s="24">
        <f>SUM(Esselte[[#This Row],[Produção]:[Estoque]])</f>
        <v>1229</v>
      </c>
      <c r="N85" s="24">
        <f>IFERROR(Esselte[[#This Row],[Estoque+Importação]]/Esselte[[#This Row],[Proj. de V. No prox. mes]],"Sem Projeção")</f>
        <v>9217.5</v>
      </c>
      <c r="O85" s="24" t="str">
        <f>IF(OR(Esselte[[#This Row],[Status]]="Em Linha",Esselte[[#This Row],[Status]]="Componente",Esselte[[#This Row],[Status]]="Materia Prima"),Esselte[[#This Row],[Proj. de V. No prox. mes]]*10,"-")</f>
        <v>-</v>
      </c>
      <c r="P8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5" s="75">
        <f>VLOOKUP(Esselte[[#This Row],[Código]],Projeção[#All],15,FALSE)</f>
        <v>0.13333333333333333</v>
      </c>
      <c r="R85" s="39">
        <f>VLOOKUP(Esselte[[#This Row],[Código]],Projeção[#All],14,FALSE)</f>
        <v>0.76666666666666672</v>
      </c>
      <c r="S85" s="39">
        <f>IFERROR(VLOOKUP(Esselte[[#This Row],[Código]],Venda_mes[],2,FALSE),0)</f>
        <v>0</v>
      </c>
      <c r="T85" s="44">
        <f>IFERROR(Esselte[[#This Row],[V. No mes]]/Esselte[[#This Row],[Proj. de V. No mes]],"")</f>
        <v>0</v>
      </c>
      <c r="U85" s="43">
        <f>VLOOKUP(Esselte[[#This Row],[Código]],Projeção[#All],14,FALSE)+VLOOKUP(Esselte[[#This Row],[Código]],Projeção[#All],13,FALSE)+VLOOKUP(Esselte[[#This Row],[Código]],Projeção[#All],12,FALSE)</f>
        <v>0.9</v>
      </c>
      <c r="V85" s="39">
        <f>IFERROR(VLOOKUP(Esselte[[#This Row],[Código]],Venda_3meses[],2,FALSE),0)</f>
        <v>0</v>
      </c>
      <c r="W85" s="44">
        <f>IFERROR(Esselte[[#This Row],[V. 3 meses]]/Esselte[[#This Row],[Proj. de V. 3 meses]],"")</f>
        <v>0</v>
      </c>
      <c r="X8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</v>
      </c>
      <c r="Y85" s="39">
        <f>IFERROR(VLOOKUP(Esselte[[#This Row],[Código]],Venda_12meses[],2,FALSE),0)</f>
        <v>4</v>
      </c>
      <c r="Z85" s="44">
        <f>IFERROR(Esselte[[#This Row],[V. 12 meses]]/Esselte[[#This Row],[Proj. de V. 12 meses]],"")</f>
        <v>1</v>
      </c>
      <c r="AA85" s="22"/>
    </row>
    <row r="86" spans="1:27" x14ac:dyDescent="0.25">
      <c r="A86" s="22" t="str">
        <f>VLOOKUP(Esselte[[#This Row],[Código]],BD_Produto[#All],7,FALSE)</f>
        <v>Fora de Linha</v>
      </c>
      <c r="B8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6" s="23">
        <v>33063063485</v>
      </c>
      <c r="D86" s="22" t="s">
        <v>1000</v>
      </c>
      <c r="E86" s="22" t="str">
        <f>VLOOKUP(Esselte[[#This Row],[Código]],BD_Produto[],3,FALSE)</f>
        <v>Combifile</v>
      </c>
      <c r="F86" s="22" t="str">
        <f>VLOOKUP(Esselte[[#This Row],[Código]],BD_Produto[],4,FALSE)</f>
        <v>Combifile</v>
      </c>
      <c r="G86" s="24">
        <v>6</v>
      </c>
      <c r="H86" s="25"/>
      <c r="I86" s="22"/>
      <c r="J86" s="24"/>
      <c r="K86" s="24" t="str">
        <f>IFERROR(VLOOKUP(Esselte[[#This Row],[Código]],Importação!P:R,3,FALSE),"")</f>
        <v/>
      </c>
      <c r="L86" s="24">
        <f>IFERROR(VLOOKUP(Esselte[[#This Row],[Código]],Saldo[],3,FALSE),0)</f>
        <v>2397</v>
      </c>
      <c r="M86" s="24">
        <f>SUM(Esselte[[#This Row],[Produção]:[Estoque]])</f>
        <v>2397</v>
      </c>
      <c r="N86" s="24">
        <f>IFERROR(Esselte[[#This Row],[Estoque+Importação]]/Esselte[[#This Row],[Proj. de V. No prox. mes]],"Sem Projeção")</f>
        <v>7191.0000000000018</v>
      </c>
      <c r="O86" s="24" t="str">
        <f>IF(OR(Esselte[[#This Row],[Status]]="Em Linha",Esselte[[#This Row],[Status]]="Componente",Esselte[[#This Row],[Status]]="Materia Prima"),Esselte[[#This Row],[Proj. de V. No prox. mes]]*10,"-")</f>
        <v>-</v>
      </c>
      <c r="P8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6" s="75">
        <f>VLOOKUP(Esselte[[#This Row],[Código]],Projeção[#All],15,FALSE)</f>
        <v>0.33333333333333326</v>
      </c>
      <c r="R86" s="39">
        <f>VLOOKUP(Esselte[[#This Row],[Código]],Projeção[#All],14,FALSE)</f>
        <v>0.86666666666666659</v>
      </c>
      <c r="S86" s="39">
        <f>IFERROR(VLOOKUP(Esselte[[#This Row],[Código]],Venda_mes[],2,FALSE),0)</f>
        <v>0</v>
      </c>
      <c r="T86" s="44">
        <f>IFERROR(Esselte[[#This Row],[V. No mes]]/Esselte[[#This Row],[Proj. de V. No mes]],"")</f>
        <v>0</v>
      </c>
      <c r="U86" s="43">
        <f>VLOOKUP(Esselte[[#This Row],[Código]],Projeção[#All],14,FALSE)+VLOOKUP(Esselte[[#This Row],[Código]],Projeção[#All],13,FALSE)+VLOOKUP(Esselte[[#This Row],[Código]],Projeção[#All],12,FALSE)</f>
        <v>1.3666666666666665</v>
      </c>
      <c r="V86" s="39">
        <f>IFERROR(VLOOKUP(Esselte[[#This Row],[Código]],Venda_3meses[],2,FALSE),0)</f>
        <v>0</v>
      </c>
      <c r="W86" s="44">
        <f>IFERROR(Esselte[[#This Row],[V. 3 meses]]/Esselte[[#This Row],[Proj. de V. 3 meses]],"")</f>
        <v>0</v>
      </c>
      <c r="X8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7.9999999999999991</v>
      </c>
      <c r="Y86" s="39">
        <f>IFERROR(VLOOKUP(Esselte[[#This Row],[Código]],Venda_12meses[],2,FALSE),0)</f>
        <v>8</v>
      </c>
      <c r="Z86" s="44">
        <f>IFERROR(Esselte[[#This Row],[V. 12 meses]]/Esselte[[#This Row],[Proj. de V. 12 meses]],"")</f>
        <v>1</v>
      </c>
      <c r="AA86" s="22"/>
    </row>
    <row r="87" spans="1:27" x14ac:dyDescent="0.25">
      <c r="A87" s="22" t="str">
        <f>VLOOKUP(Esselte[[#This Row],[Código]],BD_Produto[#All],7,FALSE)</f>
        <v>Fora de Linha</v>
      </c>
      <c r="B8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7" s="23">
        <v>33063063477</v>
      </c>
      <c r="D87" s="22" t="s">
        <v>995</v>
      </c>
      <c r="E87" s="22" t="str">
        <f>VLOOKUP(Esselte[[#This Row],[Código]],BD_Produto[],3,FALSE)</f>
        <v>Pasta Fichário</v>
      </c>
      <c r="F87" s="22" t="str">
        <f>VLOOKUP(Esselte[[#This Row],[Código]],BD_Produto[],4,FALSE)</f>
        <v>Pasta Fichário</v>
      </c>
      <c r="G87" s="24">
        <v>5</v>
      </c>
      <c r="H87" s="25"/>
      <c r="I87" s="22"/>
      <c r="J87" s="24"/>
      <c r="K87" s="24" t="str">
        <f>IFERROR(VLOOKUP(Esselte[[#This Row],[Código]],Importação!P:R,3,FALSE),"")</f>
        <v/>
      </c>
      <c r="L87" s="24">
        <f>IFERROR(VLOOKUP(Esselte[[#This Row],[Código]],Saldo[],3,FALSE),0)</f>
        <v>630</v>
      </c>
      <c r="M87" s="24">
        <f>SUM(Esselte[[#This Row],[Produção]:[Estoque]])</f>
        <v>630</v>
      </c>
      <c r="N87" s="24" t="str">
        <f>IFERROR(Esselte[[#This Row],[Estoque+Importação]]/Esselte[[#This Row],[Proj. de V. No prox. mes]],"Sem Projeção")</f>
        <v>Sem Projeção</v>
      </c>
      <c r="O87" s="24" t="str">
        <f>IF(OR(Esselte[[#This Row],[Status]]="Em Linha",Esselte[[#This Row],[Status]]="Componente",Esselte[[#This Row],[Status]]="Materia Prima"),Esselte[[#This Row],[Proj. de V. No prox. mes]]*10,"-")</f>
        <v>-</v>
      </c>
      <c r="P8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7" s="75">
        <f>VLOOKUP(Esselte[[#This Row],[Código]],Projeção[#All],15,FALSE)</f>
        <v>0</v>
      </c>
      <c r="R87" s="39">
        <f>VLOOKUP(Esselte[[#This Row],[Código]],Projeção[#All],14,FALSE)</f>
        <v>0.39999999999999997</v>
      </c>
      <c r="S87" s="39">
        <f>IFERROR(VLOOKUP(Esselte[[#This Row],[Código]],Venda_mes[],2,FALSE),0)</f>
        <v>0</v>
      </c>
      <c r="T87" s="44">
        <f>IFERROR(Esselte[[#This Row],[V. No mes]]/Esselte[[#This Row],[Proj. de V. No mes]],"")</f>
        <v>0</v>
      </c>
      <c r="U87" s="43">
        <f>VLOOKUP(Esselte[[#This Row],[Código]],Projeção[#All],14,FALSE)+VLOOKUP(Esselte[[#This Row],[Código]],Projeção[#All],13,FALSE)+VLOOKUP(Esselte[[#This Row],[Código]],Projeção[#All],12,FALSE)</f>
        <v>1.5333333333333332</v>
      </c>
      <c r="V87" s="39">
        <f>IFERROR(VLOOKUP(Esselte[[#This Row],[Código]],Venda_3meses[],2,FALSE),0)</f>
        <v>0</v>
      </c>
      <c r="W87" s="44">
        <f>IFERROR(Esselte[[#This Row],[V. 3 meses]]/Esselte[[#This Row],[Proj. de V. 3 meses]],"")</f>
        <v>0</v>
      </c>
      <c r="X8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21.066666666666666</v>
      </c>
      <c r="Y87" s="39">
        <f>IFERROR(VLOOKUP(Esselte[[#This Row],[Código]],Venda_12meses[],2,FALSE),0)</f>
        <v>0</v>
      </c>
      <c r="Z87" s="44">
        <f>IFERROR(Esselte[[#This Row],[V. 12 meses]]/Esselte[[#This Row],[Proj. de V. 12 meses]],"")</f>
        <v>0</v>
      </c>
      <c r="AA87" s="22"/>
    </row>
    <row r="88" spans="1:27" x14ac:dyDescent="0.25">
      <c r="A88" s="22" t="str">
        <f>VLOOKUP(Esselte[[#This Row],[Código]],BD_Produto[#All],7,FALSE)</f>
        <v>Fora de Linha</v>
      </c>
      <c r="B8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8" s="23">
        <v>33063063932</v>
      </c>
      <c r="D88" s="22" t="s">
        <v>996</v>
      </c>
      <c r="E88" s="22" t="str">
        <f>VLOOKUP(Esselte[[#This Row],[Código]],BD_Produto[],3,FALSE)</f>
        <v>Pasta Fichário</v>
      </c>
      <c r="F88" s="22" t="str">
        <f>VLOOKUP(Esselte[[#This Row],[Código]],BD_Produto[],4,FALSE)</f>
        <v>Pasta Fichário</v>
      </c>
      <c r="G88" s="24">
        <v>1</v>
      </c>
      <c r="H88" s="25"/>
      <c r="I88" s="22"/>
      <c r="J88" s="24"/>
      <c r="K88" s="24" t="str">
        <f>IFERROR(VLOOKUP(Esselte[[#This Row],[Código]],Importação!P:R,3,FALSE),"")</f>
        <v/>
      </c>
      <c r="L88" s="24">
        <f>IFERROR(VLOOKUP(Esselte[[#This Row],[Código]],Saldo[],3,FALSE),0)</f>
        <v>8730</v>
      </c>
      <c r="M88" s="24">
        <f>SUM(Esselte[[#This Row],[Produção]:[Estoque]])</f>
        <v>8730</v>
      </c>
      <c r="N88" s="24">
        <f>IFERROR(Esselte[[#This Row],[Estoque+Importação]]/Esselte[[#This Row],[Proj. de V. No prox. mes]],"Sem Projeção")</f>
        <v>2338.3928571428569</v>
      </c>
      <c r="O88" s="24" t="str">
        <f>IF(OR(Esselte[[#This Row],[Status]]="Em Linha",Esselte[[#This Row],[Status]]="Componente",Esselte[[#This Row],[Status]]="Materia Prima"),Esselte[[#This Row],[Proj. de V. No prox. mes]]*10,"-")</f>
        <v>-</v>
      </c>
      <c r="P8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8" s="75">
        <f>VLOOKUP(Esselte[[#This Row],[Código]],Projeção[#All],15,FALSE)</f>
        <v>3.7333333333333334</v>
      </c>
      <c r="R88" s="39">
        <f>VLOOKUP(Esselte[[#This Row],[Código]],Projeção[#All],14,FALSE)</f>
        <v>3.4333333333333331</v>
      </c>
      <c r="S88" s="39">
        <f>IFERROR(VLOOKUP(Esselte[[#This Row],[Código]],Venda_mes[],2,FALSE),0)</f>
        <v>0</v>
      </c>
      <c r="T88" s="44">
        <f>IFERROR(Esselte[[#This Row],[V. No mes]]/Esselte[[#This Row],[Proj. de V. No mes]],"")</f>
        <v>0</v>
      </c>
      <c r="U88" s="43">
        <f>VLOOKUP(Esselte[[#This Row],[Código]],Projeção[#All],14,FALSE)+VLOOKUP(Esselte[[#This Row],[Código]],Projeção[#All],13,FALSE)+VLOOKUP(Esselte[[#This Row],[Código]],Projeção[#All],12,FALSE)</f>
        <v>4.1666666666666661</v>
      </c>
      <c r="V88" s="39">
        <f>IFERROR(VLOOKUP(Esselte[[#This Row],[Código]],Venda_3meses[],2,FALSE),0)</f>
        <v>3</v>
      </c>
      <c r="W88" s="44">
        <f>IFERROR(Esselte[[#This Row],[V. 3 meses]]/Esselte[[#This Row],[Proj. de V. 3 meses]],"")</f>
        <v>0.72000000000000008</v>
      </c>
      <c r="X8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9.5</v>
      </c>
      <c r="Y88" s="39">
        <f>IFERROR(VLOOKUP(Esselte[[#This Row],[Código]],Venda_12meses[],2,FALSE),0)</f>
        <v>46</v>
      </c>
      <c r="Z88" s="44">
        <f>IFERROR(Esselte[[#This Row],[V. 12 meses]]/Esselte[[#This Row],[Proj. de V. 12 meses]],"")</f>
        <v>4.8421052631578947</v>
      </c>
      <c r="AA88" s="22">
        <v>33063063779</v>
      </c>
    </row>
    <row r="89" spans="1:27" x14ac:dyDescent="0.25">
      <c r="A89" s="22" t="str">
        <f>VLOOKUP(Esselte[[#This Row],[Código]],BD_Produto[#All],7,FALSE)</f>
        <v>Fora de Linha</v>
      </c>
      <c r="B89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89" s="23">
        <v>33063263348</v>
      </c>
      <c r="D89" s="22" t="s">
        <v>982</v>
      </c>
      <c r="E89" s="22" t="str">
        <f>VLOOKUP(Esselte[[#This Row],[Código]],BD_Produto[],3,FALSE)</f>
        <v>Pasta Suspensa</v>
      </c>
      <c r="F89" s="22" t="str">
        <f>VLOOKUP(Esselte[[#This Row],[Código]],BD_Produto[],4,FALSE)</f>
        <v>Pasta Suspensa</v>
      </c>
      <c r="G89" s="24">
        <v>1</v>
      </c>
      <c r="H89" s="25"/>
      <c r="I89" s="22"/>
      <c r="J89" s="24"/>
      <c r="K89" s="24" t="str">
        <f>IFERROR(VLOOKUP(Esselte[[#This Row],[Código]],Importação!P:R,3,FALSE),"")</f>
        <v/>
      </c>
      <c r="L89" s="24">
        <f>IFERROR(VLOOKUP(Esselte[[#This Row],[Código]],Saldo[],3,FALSE),0)</f>
        <v>1155</v>
      </c>
      <c r="M89" s="24">
        <f>SUM(Esselte[[#This Row],[Produção]:[Estoque]])</f>
        <v>1155</v>
      </c>
      <c r="N89" s="24">
        <f>IFERROR(Esselte[[#This Row],[Estoque+Importação]]/Esselte[[#This Row],[Proj. de V. No prox. mes]],"Sem Projeção")</f>
        <v>641.66666666666674</v>
      </c>
      <c r="O89" s="24" t="str">
        <f>IF(OR(Esselte[[#This Row],[Status]]="Em Linha",Esselte[[#This Row],[Status]]="Componente",Esselte[[#This Row],[Status]]="Materia Prima"),Esselte[[#This Row],[Proj. de V. No prox. mes]]*10,"-")</f>
        <v>-</v>
      </c>
      <c r="P8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89" s="75">
        <f>VLOOKUP(Esselte[[#This Row],[Código]],Projeção[#All],15,FALSE)</f>
        <v>1.7999999999999998</v>
      </c>
      <c r="R89" s="39">
        <f>VLOOKUP(Esselte[[#This Row],[Código]],Projeção[#All],14,FALSE)</f>
        <v>0.6</v>
      </c>
      <c r="S89" s="39">
        <f>IFERROR(VLOOKUP(Esselte[[#This Row],[Código]],Venda_mes[],2,FALSE),0)</f>
        <v>0</v>
      </c>
      <c r="T89" s="44">
        <f>IFERROR(Esselte[[#This Row],[V. No mes]]/Esselte[[#This Row],[Proj. de V. No mes]],"")</f>
        <v>0</v>
      </c>
      <c r="U89" s="43">
        <f>VLOOKUP(Esselte[[#This Row],[Código]],Projeção[#All],14,FALSE)+VLOOKUP(Esselte[[#This Row],[Código]],Projeção[#All],13,FALSE)+VLOOKUP(Esselte[[#This Row],[Código]],Projeção[#All],12,FALSE)</f>
        <v>2.7</v>
      </c>
      <c r="V89" s="39">
        <f>IFERROR(VLOOKUP(Esselte[[#This Row],[Código]],Venda_3meses[],2,FALSE),0)</f>
        <v>0</v>
      </c>
      <c r="W89" s="44">
        <f>IFERROR(Esselte[[#This Row],[V. 3 meses]]/Esselte[[#This Row],[Proj. de V. 3 meses]],"")</f>
        <v>0</v>
      </c>
      <c r="X8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10.733333333333334</v>
      </c>
      <c r="Y89" s="39">
        <f>IFERROR(VLOOKUP(Esselte[[#This Row],[Código]],Venda_12meses[],2,FALSE),0)</f>
        <v>54</v>
      </c>
      <c r="Z89" s="44">
        <f>IFERROR(Esselte[[#This Row],[V. 12 meses]]/Esselte[[#This Row],[Proj. de V. 12 meses]],"")</f>
        <v>5.0310559006211175</v>
      </c>
      <c r="AA89" s="22"/>
    </row>
    <row r="90" spans="1:27" x14ac:dyDescent="0.25">
      <c r="A90" s="22" t="str">
        <f>VLOOKUP(Esselte[[#This Row],[Código]],BD_Produto[#All],7,FALSE)</f>
        <v>Fora de Linha</v>
      </c>
      <c r="B90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0" s="23">
        <v>33063063478</v>
      </c>
      <c r="D90" s="22" t="s">
        <v>1002</v>
      </c>
      <c r="E90" s="22" t="str">
        <f>VLOOKUP(Esselte[[#This Row],[Código]],BD_Produto[],3,FALSE)</f>
        <v>Combifile</v>
      </c>
      <c r="F90" s="22" t="str">
        <f>VLOOKUP(Esselte[[#This Row],[Código]],BD_Produto[],4,FALSE)</f>
        <v>Combifile</v>
      </c>
      <c r="G90" s="24">
        <v>6</v>
      </c>
      <c r="H90" s="25"/>
      <c r="I90" s="22"/>
      <c r="J90" s="24"/>
      <c r="K90" s="24" t="str">
        <f>IFERROR(VLOOKUP(Esselte[[#This Row],[Código]],Importação!P:R,3,FALSE),"")</f>
        <v/>
      </c>
      <c r="L90" s="24">
        <f>IFERROR(VLOOKUP(Esselte[[#This Row],[Código]],Saldo[],3,FALSE),0)</f>
        <v>3671</v>
      </c>
      <c r="M90" s="24">
        <f>SUM(Esselte[[#This Row],[Produção]:[Estoque]])</f>
        <v>3671</v>
      </c>
      <c r="N90" s="24">
        <f>IFERROR(Esselte[[#This Row],[Estoque+Importação]]/Esselte[[#This Row],[Proj. de V. No prox. mes]],"Sem Projeção")</f>
        <v>27532.5</v>
      </c>
      <c r="O90" s="24" t="str">
        <f>IF(OR(Esselte[[#This Row],[Status]]="Em Linha",Esselte[[#This Row],[Status]]="Componente",Esselte[[#This Row],[Status]]="Materia Prima"),Esselte[[#This Row],[Proj. de V. No prox. mes]]*10,"-")</f>
        <v>-</v>
      </c>
      <c r="P9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0" s="75">
        <f>VLOOKUP(Esselte[[#This Row],[Código]],Projeção[#All],15,FALSE)</f>
        <v>0.13333333333333333</v>
      </c>
      <c r="R90" s="39">
        <f>VLOOKUP(Esselte[[#This Row],[Código]],Projeção[#All],14,FALSE)</f>
        <v>1.0333333333333332</v>
      </c>
      <c r="S90" s="39">
        <f>IFERROR(VLOOKUP(Esselte[[#This Row],[Código]],Venda_mes[],2,FALSE),0)</f>
        <v>0</v>
      </c>
      <c r="T90" s="44">
        <f>IFERROR(Esselte[[#This Row],[V. No mes]]/Esselte[[#This Row],[Proj. de V. No mes]],"")</f>
        <v>0</v>
      </c>
      <c r="U90" s="43">
        <f>VLOOKUP(Esselte[[#This Row],[Código]],Projeção[#All],14,FALSE)+VLOOKUP(Esselte[[#This Row],[Código]],Projeção[#All],13,FALSE)+VLOOKUP(Esselte[[#This Row],[Código]],Projeção[#All],12,FALSE)</f>
        <v>1.6999999999999997</v>
      </c>
      <c r="V90" s="39">
        <f>IFERROR(VLOOKUP(Esselte[[#This Row],[Código]],Venda_3meses[],2,FALSE),0)</f>
        <v>0</v>
      </c>
      <c r="W90" s="44">
        <f>IFERROR(Esselte[[#This Row],[V. 3 meses]]/Esselte[[#This Row],[Proj. de V. 3 meses]],"")</f>
        <v>0</v>
      </c>
      <c r="X9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12.866666666666664</v>
      </c>
      <c r="Y90" s="39">
        <f>IFERROR(VLOOKUP(Esselte[[#This Row],[Código]],Venda_12meses[],2,FALSE),0)</f>
        <v>4</v>
      </c>
      <c r="Z90" s="44">
        <f>IFERROR(Esselte[[#This Row],[V. 12 meses]]/Esselte[[#This Row],[Proj. de V. 12 meses]],"")</f>
        <v>0.31088082901554409</v>
      </c>
      <c r="AA90" s="22"/>
    </row>
    <row r="91" spans="1:27" x14ac:dyDescent="0.25">
      <c r="A91" s="22" t="str">
        <f>VLOOKUP(Esselte[[#This Row],[Código]],BD_Produto[#All],7,FALSE)</f>
        <v>Fora de Linha</v>
      </c>
      <c r="B91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1" s="23">
        <v>33063063479</v>
      </c>
      <c r="D91" s="22" t="s">
        <v>1055</v>
      </c>
      <c r="E91" s="22" t="str">
        <f>VLOOKUP(Esselte[[#This Row],[Código]],BD_Produto[],3,FALSE)</f>
        <v>Combifile</v>
      </c>
      <c r="F91" s="22" t="str">
        <f>VLOOKUP(Esselte[[#This Row],[Código]],BD_Produto[],4,FALSE)</f>
        <v>Combifile</v>
      </c>
      <c r="G91" s="24">
        <v>6</v>
      </c>
      <c r="H91" s="25"/>
      <c r="I91" s="22"/>
      <c r="J91" s="24"/>
      <c r="K91" s="24" t="str">
        <f>IFERROR(VLOOKUP(Esselte[[#This Row],[Código]],Importação!P:R,3,FALSE),"")</f>
        <v/>
      </c>
      <c r="L91" s="24">
        <f>IFERROR(VLOOKUP(Esselte[[#This Row],[Código]],Saldo[],3,FALSE),0)</f>
        <v>3704</v>
      </c>
      <c r="M91" s="24">
        <f>SUM(Esselte[[#This Row],[Produção]:[Estoque]])</f>
        <v>3704</v>
      </c>
      <c r="N91" s="24">
        <f>IFERROR(Esselte[[#This Row],[Estoque+Importação]]/Esselte[[#This Row],[Proj. de V. No prox. mes]],"Sem Projeção")</f>
        <v>27780</v>
      </c>
      <c r="O91" s="24" t="str">
        <f>IF(OR(Esselte[[#This Row],[Status]]="Em Linha",Esselte[[#This Row],[Status]]="Componente",Esselte[[#This Row],[Status]]="Materia Prima"),Esselte[[#This Row],[Proj. de V. No prox. mes]]*10,"-")</f>
        <v>-</v>
      </c>
      <c r="P9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1" s="75">
        <f>VLOOKUP(Esselte[[#This Row],[Código]],Projeção[#All],15,FALSE)</f>
        <v>0.13333333333333333</v>
      </c>
      <c r="R91" s="39">
        <f>VLOOKUP(Esselte[[#This Row],[Código]],Projeção[#All],14,FALSE)</f>
        <v>0.96666666666666656</v>
      </c>
      <c r="S91" s="39">
        <f>IFERROR(VLOOKUP(Esselte[[#This Row],[Código]],Venda_mes[],2,FALSE),0)</f>
        <v>0</v>
      </c>
      <c r="T91" s="44">
        <f>IFERROR(Esselte[[#This Row],[V. No mes]]/Esselte[[#This Row],[Proj. de V. No mes]],"")</f>
        <v>0</v>
      </c>
      <c r="U91" s="43">
        <f>VLOOKUP(Esselte[[#This Row],[Código]],Projeção[#All],14,FALSE)+VLOOKUP(Esselte[[#This Row],[Código]],Projeção[#All],13,FALSE)+VLOOKUP(Esselte[[#This Row],[Código]],Projeção[#All],12,FALSE)</f>
        <v>1.4999999999999998</v>
      </c>
      <c r="V91" s="39">
        <f>IFERROR(VLOOKUP(Esselte[[#This Row],[Código]],Venda_3meses[],2,FALSE),0)</f>
        <v>0</v>
      </c>
      <c r="W91" s="44">
        <f>IFERROR(Esselte[[#This Row],[V. 3 meses]]/Esselte[[#This Row],[Proj. de V. 3 meses]],"")</f>
        <v>0</v>
      </c>
      <c r="X9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10.399999999999999</v>
      </c>
      <c r="Y91" s="39">
        <f>IFERROR(VLOOKUP(Esselte[[#This Row],[Código]],Venda_12meses[],2,FALSE),0)</f>
        <v>4</v>
      </c>
      <c r="Z91" s="44">
        <f>IFERROR(Esselte[[#This Row],[V. 12 meses]]/Esselte[[#This Row],[Proj. de V. 12 meses]],"")</f>
        <v>0.38461538461538469</v>
      </c>
      <c r="AA91" s="22"/>
    </row>
    <row r="92" spans="1:27" x14ac:dyDescent="0.25">
      <c r="A92" s="22" t="str">
        <f>VLOOKUP(Esselte[[#This Row],[Código]],BD_Produto[#All],7,FALSE)</f>
        <v>Fora de Linha</v>
      </c>
      <c r="B92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2" s="23">
        <v>33063263356</v>
      </c>
      <c r="D92" s="22" t="s">
        <v>978</v>
      </c>
      <c r="E92" s="22" t="str">
        <f>VLOOKUP(Esselte[[#This Row],[Código]],BD_Produto[],3,FALSE)</f>
        <v>Pasta Suspensa</v>
      </c>
      <c r="F92" s="22" t="str">
        <f>VLOOKUP(Esselte[[#This Row],[Código]],BD_Produto[],4,FALSE)</f>
        <v>Pasta Suspensa</v>
      </c>
      <c r="G92" s="24">
        <v>1</v>
      </c>
      <c r="H92" s="25"/>
      <c r="I92" s="22"/>
      <c r="J92" s="24"/>
      <c r="K92" s="24" t="str">
        <f>IFERROR(VLOOKUP(Esselte[[#This Row],[Código]],Importação!P:R,3,FALSE),"")</f>
        <v/>
      </c>
      <c r="L92" s="24">
        <f>IFERROR(VLOOKUP(Esselte[[#This Row],[Código]],Saldo[],3,FALSE),0)</f>
        <v>590</v>
      </c>
      <c r="M92" s="24">
        <f>SUM(Esselte[[#This Row],[Produção]:[Estoque]])</f>
        <v>590</v>
      </c>
      <c r="N92" s="24">
        <f>IFERROR(Esselte[[#This Row],[Estoque+Importação]]/Esselte[[#This Row],[Proj. de V. No prox. mes]],"Sem Projeção")</f>
        <v>354</v>
      </c>
      <c r="O92" s="24" t="str">
        <f>IF(OR(Esselte[[#This Row],[Status]]="Em Linha",Esselte[[#This Row],[Status]]="Componente",Esselte[[#This Row],[Status]]="Materia Prima"),Esselte[[#This Row],[Proj. de V. No prox. mes]]*10,"-")</f>
        <v>-</v>
      </c>
      <c r="P9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2" s="75">
        <f>VLOOKUP(Esselte[[#This Row],[Código]],Projeção[#All],15,FALSE)</f>
        <v>1.6666666666666667</v>
      </c>
      <c r="R92" s="39">
        <f>VLOOKUP(Esselte[[#This Row],[Código]],Projeção[#All],14,FALSE)</f>
        <v>0.3</v>
      </c>
      <c r="S92" s="39">
        <f>IFERROR(VLOOKUP(Esselte[[#This Row],[Código]],Venda_mes[],2,FALSE),0)</f>
        <v>0</v>
      </c>
      <c r="T92" s="44">
        <f>IFERROR(Esselte[[#This Row],[V. No mes]]/Esselte[[#This Row],[Proj. de V. No mes]],"")</f>
        <v>0</v>
      </c>
      <c r="U92" s="43">
        <f>VLOOKUP(Esselte[[#This Row],[Código]],Projeção[#All],14,FALSE)+VLOOKUP(Esselte[[#This Row],[Código]],Projeção[#All],13,FALSE)+VLOOKUP(Esselte[[#This Row],[Código]],Projeção[#All],12,FALSE)</f>
        <v>0.96666666666666656</v>
      </c>
      <c r="V92" s="39">
        <f>IFERROR(VLOOKUP(Esselte[[#This Row],[Código]],Venda_3meses[],2,FALSE),0)</f>
        <v>0</v>
      </c>
      <c r="W92" s="44">
        <f>IFERROR(Esselte[[#This Row],[V. 3 meses]]/Esselte[[#This Row],[Proj. de V. 3 meses]],"")</f>
        <v>0</v>
      </c>
      <c r="X9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9.4666666666666668</v>
      </c>
      <c r="Y92" s="39">
        <f>IFERROR(VLOOKUP(Esselte[[#This Row],[Código]],Venda_12meses[],2,FALSE),0)</f>
        <v>50</v>
      </c>
      <c r="Z92" s="44">
        <f>IFERROR(Esselte[[#This Row],[V. 12 meses]]/Esselte[[#This Row],[Proj. de V. 12 meses]],"")</f>
        <v>5.28169014084507</v>
      </c>
      <c r="AA92" s="22"/>
    </row>
    <row r="93" spans="1:27" x14ac:dyDescent="0.25">
      <c r="A93" s="22" t="str">
        <f>VLOOKUP(Esselte[[#This Row],[Código]],BD_Produto[#All],7,FALSE)</f>
        <v>Fora de Linha</v>
      </c>
      <c r="B93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3" s="23">
        <v>33063263359</v>
      </c>
      <c r="D93" s="22" t="s">
        <v>1038</v>
      </c>
      <c r="E93" s="22" t="str">
        <f>VLOOKUP(Esselte[[#This Row],[Código]],BD_Produto[],3,FALSE)</f>
        <v>Pasta Suspensa</v>
      </c>
      <c r="F93" s="22" t="str">
        <f>VLOOKUP(Esselte[[#This Row],[Código]],BD_Produto[],4,FALSE)</f>
        <v>Pasta Suspensa</v>
      </c>
      <c r="G93" s="24">
        <v>1</v>
      </c>
      <c r="H93" s="25"/>
      <c r="I93" s="22"/>
      <c r="J93" s="24"/>
      <c r="K93" s="24" t="str">
        <f>IFERROR(VLOOKUP(Esselte[[#This Row],[Código]],Importação!P:R,3,FALSE),"")</f>
        <v/>
      </c>
      <c r="L93" s="24">
        <f>IFERROR(VLOOKUP(Esselte[[#This Row],[Código]],Saldo[],3,FALSE),0)</f>
        <v>150</v>
      </c>
      <c r="M93" s="24">
        <f>SUM(Esselte[[#This Row],[Produção]:[Estoque]])</f>
        <v>150</v>
      </c>
      <c r="N93" s="24" t="str">
        <f>IFERROR(Esselte[[#This Row],[Estoque+Importação]]/Esselte[[#This Row],[Proj. de V. No prox. mes]],"Sem Projeção")</f>
        <v>Sem Projeção</v>
      </c>
      <c r="O93" s="24" t="str">
        <f>IF(OR(Esselte[[#This Row],[Status]]="Em Linha",Esselte[[#This Row],[Status]]="Componente",Esselte[[#This Row],[Status]]="Materia Prima"),Esselte[[#This Row],[Proj. de V. No prox. mes]]*10,"-")</f>
        <v>-</v>
      </c>
      <c r="P9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3" s="75">
        <f>VLOOKUP(Esselte[[#This Row],[Código]],Projeção[#All],15,FALSE)</f>
        <v>0</v>
      </c>
      <c r="R93" s="39">
        <f>VLOOKUP(Esselte[[#This Row],[Código]],Projeção[#All],14,FALSE)</f>
        <v>3.3333333333333333E-2</v>
      </c>
      <c r="S93" s="39">
        <f>IFERROR(VLOOKUP(Esselte[[#This Row],[Código]],Venda_mes[],2,FALSE),0)</f>
        <v>0</v>
      </c>
      <c r="T93" s="44">
        <f>IFERROR(Esselte[[#This Row],[V. No mes]]/Esselte[[#This Row],[Proj. de V. No mes]],"")</f>
        <v>0</v>
      </c>
      <c r="U93" s="43">
        <f>VLOOKUP(Esselte[[#This Row],[Código]],Projeção[#All],14,FALSE)+VLOOKUP(Esselte[[#This Row],[Código]],Projeção[#All],13,FALSE)+VLOOKUP(Esselte[[#This Row],[Código]],Projeção[#All],12,FALSE)</f>
        <v>0.1</v>
      </c>
      <c r="V93" s="39">
        <f>IFERROR(VLOOKUP(Esselte[[#This Row],[Código]],Venda_3meses[],2,FALSE),0)</f>
        <v>0</v>
      </c>
      <c r="W93" s="44">
        <f>IFERROR(Esselte[[#This Row],[V. 3 meses]]/Esselte[[#This Row],[Proj. de V. 3 meses]],"")</f>
        <v>0</v>
      </c>
      <c r="X9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1.5333333333333334</v>
      </c>
      <c r="Y93" s="39">
        <f>IFERROR(VLOOKUP(Esselte[[#This Row],[Código]],Venda_12meses[],2,FALSE),0)</f>
        <v>0</v>
      </c>
      <c r="Z93" s="44">
        <f>IFERROR(Esselte[[#This Row],[V. 12 meses]]/Esselte[[#This Row],[Proj. de V. 12 meses]],"")</f>
        <v>0</v>
      </c>
      <c r="AA93" s="22"/>
    </row>
    <row r="94" spans="1:27" x14ac:dyDescent="0.25">
      <c r="A94" s="22" t="str">
        <f>VLOOKUP(Esselte[[#This Row],[Código]],BD_Produto[#All],7,FALSE)</f>
        <v>Fora de Linha</v>
      </c>
      <c r="B94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4" s="23">
        <v>33063263349</v>
      </c>
      <c r="D94" s="22" t="s">
        <v>1039</v>
      </c>
      <c r="E94" s="22" t="str">
        <f>VLOOKUP(Esselte[[#This Row],[Código]],BD_Produto[],3,FALSE)</f>
        <v>Pasta Suspensa</v>
      </c>
      <c r="F94" s="22" t="str">
        <f>VLOOKUP(Esselte[[#This Row],[Código]],BD_Produto[],4,FALSE)</f>
        <v>Pasta Suspensa</v>
      </c>
      <c r="G94" s="24">
        <v>1</v>
      </c>
      <c r="H94" s="25"/>
      <c r="I94" s="22"/>
      <c r="J94" s="24"/>
      <c r="K94" s="24" t="str">
        <f>IFERROR(VLOOKUP(Esselte[[#This Row],[Código]],Importação!P:R,3,FALSE),"")</f>
        <v/>
      </c>
      <c r="L94" s="24">
        <f>IFERROR(VLOOKUP(Esselte[[#This Row],[Código]],Saldo[],3,FALSE),0)</f>
        <v>1105</v>
      </c>
      <c r="M94" s="24">
        <f>SUM(Esselte[[#This Row],[Produção]:[Estoque]])</f>
        <v>1105</v>
      </c>
      <c r="N94" s="24">
        <f>IFERROR(Esselte[[#This Row],[Estoque+Importação]]/Esselte[[#This Row],[Proj. de V. No prox. mes]],"Sem Projeção")</f>
        <v>663</v>
      </c>
      <c r="O94" s="24" t="str">
        <f>IF(OR(Esselte[[#This Row],[Status]]="Em Linha",Esselte[[#This Row],[Status]]="Componente",Esselte[[#This Row],[Status]]="Materia Prima"),Esselte[[#This Row],[Proj. de V. No prox. mes]]*10,"-")</f>
        <v>-</v>
      </c>
      <c r="P9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4" s="75">
        <f>VLOOKUP(Esselte[[#This Row],[Código]],Projeção[#All],15,FALSE)</f>
        <v>1.6666666666666667</v>
      </c>
      <c r="R94" s="39">
        <f>VLOOKUP(Esselte[[#This Row],[Código]],Projeção[#All],14,FALSE)</f>
        <v>6.6666666666666666E-2</v>
      </c>
      <c r="S94" s="39">
        <f>IFERROR(VLOOKUP(Esselte[[#This Row],[Código]],Venda_mes[],2,FALSE),0)</f>
        <v>0</v>
      </c>
      <c r="T94" s="44">
        <f>IFERROR(Esselte[[#This Row],[V. No mes]]/Esselte[[#This Row],[Proj. de V. No mes]],"")</f>
        <v>0</v>
      </c>
      <c r="U94" s="43">
        <f>VLOOKUP(Esselte[[#This Row],[Código]],Projeção[#All],14,FALSE)+VLOOKUP(Esselte[[#This Row],[Código]],Projeção[#All],13,FALSE)+VLOOKUP(Esselte[[#This Row],[Código]],Projeção[#All],12,FALSE)</f>
        <v>0.2</v>
      </c>
      <c r="V94" s="39">
        <f>IFERROR(VLOOKUP(Esselte[[#This Row],[Código]],Venda_3meses[],2,FALSE),0)</f>
        <v>0</v>
      </c>
      <c r="W94" s="44">
        <f>IFERROR(Esselte[[#This Row],[V. 3 meses]]/Esselte[[#This Row],[Proj. de V. 3 meses]],"")</f>
        <v>0</v>
      </c>
      <c r="X9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3.4333333333333331</v>
      </c>
      <c r="Y94" s="39">
        <f>IFERROR(VLOOKUP(Esselte[[#This Row],[Código]],Venda_12meses[],2,FALSE),0)</f>
        <v>50</v>
      </c>
      <c r="Z94" s="44">
        <f>IFERROR(Esselte[[#This Row],[V. 12 meses]]/Esselte[[#This Row],[Proj. de V. 12 meses]],"")</f>
        <v>14.563106796116505</v>
      </c>
      <c r="AA94" s="22"/>
    </row>
    <row r="95" spans="1:27" x14ac:dyDescent="0.25">
      <c r="A95" s="22" t="str">
        <f>VLOOKUP(Esselte[[#This Row],[Código]],BD_Produto[#All],7,FALSE)</f>
        <v>Fora de Linha</v>
      </c>
      <c r="B95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5" s="23">
        <v>33063263353</v>
      </c>
      <c r="D95" s="22" t="s">
        <v>971</v>
      </c>
      <c r="E95" s="22" t="str">
        <f>VLOOKUP(Esselte[[#This Row],[Código]],BD_Produto[],3,FALSE)</f>
        <v>Pasta Suspensa</v>
      </c>
      <c r="F95" s="22" t="str">
        <f>VLOOKUP(Esselte[[#This Row],[Código]],BD_Produto[],4,FALSE)</f>
        <v>Pasta Suspensa</v>
      </c>
      <c r="G95" s="24">
        <v>1</v>
      </c>
      <c r="H95" s="25"/>
      <c r="I95" s="22"/>
      <c r="J95" s="24"/>
      <c r="K95" s="24" t="str">
        <f>IFERROR(VLOOKUP(Esselte[[#This Row],[Código]],Importação!P:R,3,FALSE),"")</f>
        <v/>
      </c>
      <c r="L95" s="24">
        <f>IFERROR(VLOOKUP(Esselte[[#This Row],[Código]],Saldo[],3,FALSE),0)</f>
        <v>577</v>
      </c>
      <c r="M95" s="24">
        <f>SUM(Esselte[[#This Row],[Produção]:[Estoque]])</f>
        <v>577</v>
      </c>
      <c r="N95" s="24">
        <f>IFERROR(Esselte[[#This Row],[Estoque+Importação]]/Esselte[[#This Row],[Proj. de V. No prox. mes]],"Sem Projeção")</f>
        <v>303.68421052631578</v>
      </c>
      <c r="O95" s="24" t="str">
        <f>IF(OR(Esselte[[#This Row],[Status]]="Em Linha",Esselte[[#This Row],[Status]]="Componente",Esselte[[#This Row],[Status]]="Materia Prima"),Esselte[[#This Row],[Proj. de V. No prox. mes]]*10,"-")</f>
        <v>-</v>
      </c>
      <c r="P9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5" s="75">
        <f>VLOOKUP(Esselte[[#This Row],[Código]],Projeção[#All],15,FALSE)</f>
        <v>1.9</v>
      </c>
      <c r="R95" s="39">
        <f>VLOOKUP(Esselte[[#This Row],[Código]],Projeção[#All],14,FALSE)</f>
        <v>0.16666666666666666</v>
      </c>
      <c r="S95" s="39">
        <f>IFERROR(VLOOKUP(Esselte[[#This Row],[Código]],Venda_mes[],2,FALSE),0)</f>
        <v>0</v>
      </c>
      <c r="T95" s="44">
        <f>IFERROR(Esselte[[#This Row],[V. No mes]]/Esselte[[#This Row],[Proj. de V. No mes]],"")</f>
        <v>0</v>
      </c>
      <c r="U95" s="43">
        <f>VLOOKUP(Esselte[[#This Row],[Código]],Projeção[#All],14,FALSE)+VLOOKUP(Esselte[[#This Row],[Código]],Projeção[#All],13,FALSE)+VLOOKUP(Esselte[[#This Row],[Código]],Projeção[#All],12,FALSE)</f>
        <v>0.5</v>
      </c>
      <c r="V95" s="39">
        <f>IFERROR(VLOOKUP(Esselte[[#This Row],[Código]],Venda_3meses[],2,FALSE),0)</f>
        <v>1</v>
      </c>
      <c r="W95" s="44">
        <f>IFERROR(Esselte[[#This Row],[V. 3 meses]]/Esselte[[#This Row],[Proj. de V. 3 meses]],"")</f>
        <v>2</v>
      </c>
      <c r="X9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4.333333333333333</v>
      </c>
      <c r="Y95" s="39">
        <f>IFERROR(VLOOKUP(Esselte[[#This Row],[Código]],Venda_12meses[],2,FALSE),0)</f>
        <v>51</v>
      </c>
      <c r="Z95" s="44">
        <f>IFERROR(Esselte[[#This Row],[V. 12 meses]]/Esselte[[#This Row],[Proj. de V. 12 meses]],"")</f>
        <v>11.76923076923077</v>
      </c>
      <c r="AA95" s="22"/>
    </row>
    <row r="96" spans="1:27" x14ac:dyDescent="0.25">
      <c r="A96" s="22" t="str">
        <f>VLOOKUP(Esselte[[#This Row],[Código]],BD_Produto[#All],7,FALSE)</f>
        <v>Fora de Linha</v>
      </c>
      <c r="B96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6" s="23">
        <v>33063263351</v>
      </c>
      <c r="D96" s="22" t="s">
        <v>933</v>
      </c>
      <c r="E96" s="22" t="str">
        <f>VLOOKUP(Esselte[[#This Row],[Código]],BD_Produto[],3,FALSE)</f>
        <v>Pasta Suspensa</v>
      </c>
      <c r="F96" s="22" t="str">
        <f>VLOOKUP(Esselte[[#This Row],[Código]],BD_Produto[],4,FALSE)</f>
        <v>Pasta Suspensa</v>
      </c>
      <c r="G96" s="24">
        <v>1</v>
      </c>
      <c r="H96" s="25"/>
      <c r="I96" s="22"/>
      <c r="J96" s="24"/>
      <c r="K96" s="24" t="str">
        <f>IFERROR(VLOOKUP(Esselte[[#This Row],[Código]],Importação!P:R,3,FALSE),"")</f>
        <v/>
      </c>
      <c r="L96" s="24">
        <f>IFERROR(VLOOKUP(Esselte[[#This Row],[Código]],Saldo[],3,FALSE),0)</f>
        <v>1194</v>
      </c>
      <c r="M96" s="24">
        <f>SUM(Esselte[[#This Row],[Produção]:[Estoque]])</f>
        <v>1194</v>
      </c>
      <c r="N96" s="24">
        <f>IFERROR(Esselte[[#This Row],[Estoque+Importação]]/Esselte[[#This Row],[Proj. de V. No prox. mes]],"Sem Projeção")</f>
        <v>716.4</v>
      </c>
      <c r="O96" s="24" t="str">
        <f>IF(OR(Esselte[[#This Row],[Status]]="Em Linha",Esselte[[#This Row],[Status]]="Componente",Esselte[[#This Row],[Status]]="Materia Prima"),Esselte[[#This Row],[Proj. de V. No prox. mes]]*10,"-")</f>
        <v>-</v>
      </c>
      <c r="P9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6" s="83">
        <f>VLOOKUP(Esselte[[#This Row],[Código]],Projeção[#All],15,FALSE)</f>
        <v>1.6666666666666667</v>
      </c>
      <c r="R96" s="43">
        <f>VLOOKUP(Esselte[[#This Row],[Código]],Projeção[#All],14,FALSE)</f>
        <v>3.3333333333333333E-2</v>
      </c>
      <c r="S96" s="39">
        <f>IFERROR(VLOOKUP(Esselte[[#This Row],[Código]],Venda_mes[],2,FALSE),0)</f>
        <v>0</v>
      </c>
      <c r="T96" s="44">
        <f>IFERROR(Esselte[[#This Row],[V. No mes]]/Esselte[[#This Row],[Proj. de V. No mes]],"")</f>
        <v>0</v>
      </c>
      <c r="U96" s="43">
        <f>VLOOKUP(Esselte[[#This Row],[Código]],Projeção[#All],14,FALSE)+VLOOKUP(Esselte[[#This Row],[Código]],Projeção[#All],13,FALSE)+VLOOKUP(Esselte[[#This Row],[Código]],Projeção[#All],12,FALSE)</f>
        <v>0.1</v>
      </c>
      <c r="V96" s="39">
        <f>IFERROR(VLOOKUP(Esselte[[#This Row],[Código]],Venda_3meses[],2,FALSE),0)</f>
        <v>0</v>
      </c>
      <c r="W96" s="44">
        <f>IFERROR(Esselte[[#This Row],[V. 3 meses]]/Esselte[[#This Row],[Proj. de V. 3 meses]],"")</f>
        <v>0</v>
      </c>
      <c r="X9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1.6666666666666667</v>
      </c>
      <c r="Y96" s="39">
        <f>IFERROR(VLOOKUP(Esselte[[#This Row],[Código]],Venda_12meses[],2,FALSE),0)</f>
        <v>50</v>
      </c>
      <c r="Z96" s="44">
        <f>IFERROR(Esselte[[#This Row],[V. 12 meses]]/Esselte[[#This Row],[Proj. de V. 12 meses]],"")</f>
        <v>30</v>
      </c>
      <c r="AA96" s="22"/>
    </row>
    <row r="97" spans="1:27" x14ac:dyDescent="0.25">
      <c r="A97" s="22" t="str">
        <f>VLOOKUP(Esselte[[#This Row],[Código]],BD_Produto[#All],7,FALSE)</f>
        <v>Fora de Linha</v>
      </c>
      <c r="B97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7" s="23">
        <v>33063263354</v>
      </c>
      <c r="D97" s="22" t="s">
        <v>932</v>
      </c>
      <c r="E97" s="22" t="str">
        <f>VLOOKUP(Esselte[[#This Row],[Código]],BD_Produto[],3,FALSE)</f>
        <v>Pasta Suspensa</v>
      </c>
      <c r="F97" s="22" t="str">
        <f>VLOOKUP(Esselte[[#This Row],[Código]],BD_Produto[],4,FALSE)</f>
        <v>Pasta Suspensa</v>
      </c>
      <c r="G97" s="24">
        <v>1</v>
      </c>
      <c r="H97" s="25"/>
      <c r="I97" s="22"/>
      <c r="J97" s="24"/>
      <c r="K97" s="24" t="str">
        <f>IFERROR(VLOOKUP(Esselte[[#This Row],[Código]],Importação!P:R,3,FALSE),"")</f>
        <v/>
      </c>
      <c r="L97" s="24">
        <f>IFERROR(VLOOKUP(Esselte[[#This Row],[Código]],Saldo[],3,FALSE),0)</f>
        <v>585</v>
      </c>
      <c r="M97" s="24">
        <f>SUM(Esselte[[#This Row],[Produção]:[Estoque]])</f>
        <v>585</v>
      </c>
      <c r="N97" s="24">
        <f>IFERROR(Esselte[[#This Row],[Estoque+Importação]]/Esselte[[#This Row],[Proj. de V. No prox. mes]],"Sem Projeção")</f>
        <v>307.89473684210526</v>
      </c>
      <c r="O97" s="24" t="str">
        <f>IF(OR(Esselte[[#This Row],[Status]]="Em Linha",Esselte[[#This Row],[Status]]="Componente",Esselte[[#This Row],[Status]]="Materia Prima"),Esselte[[#This Row],[Proj. de V. No prox. mes]]*10,"-")</f>
        <v>-</v>
      </c>
      <c r="P9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7" s="83">
        <f>VLOOKUP(Esselte[[#This Row],[Código]],Projeção[#All],15,FALSE)</f>
        <v>1.9</v>
      </c>
      <c r="R97" s="43">
        <f>VLOOKUP(Esselte[[#This Row],[Código]],Projeção[#All],14,FALSE)</f>
        <v>0.13333333333333333</v>
      </c>
      <c r="S97" s="39">
        <f>IFERROR(VLOOKUP(Esselte[[#This Row],[Código]],Venda_mes[],2,FALSE),0)</f>
        <v>0</v>
      </c>
      <c r="T97" s="44">
        <f>IFERROR(Esselte[[#This Row],[V. No mes]]/Esselte[[#This Row],[Proj. de V. No mes]],"")</f>
        <v>0</v>
      </c>
      <c r="U97" s="43">
        <f>VLOOKUP(Esselte[[#This Row],[Código]],Projeção[#All],14,FALSE)+VLOOKUP(Esselte[[#This Row],[Código]],Projeção[#All],13,FALSE)+VLOOKUP(Esselte[[#This Row],[Código]],Projeção[#All],12,FALSE)</f>
        <v>0.4</v>
      </c>
      <c r="V97" s="39">
        <f>IFERROR(VLOOKUP(Esselte[[#This Row],[Código]],Venda_3meses[],2,FALSE),0)</f>
        <v>1</v>
      </c>
      <c r="W97" s="44">
        <f>IFERROR(Esselte[[#This Row],[V. 3 meses]]/Esselte[[#This Row],[Proj. de V. 3 meses]],"")</f>
        <v>2.5</v>
      </c>
      <c r="X9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2.9666666666666672</v>
      </c>
      <c r="Y97" s="39">
        <f>IFERROR(VLOOKUP(Esselte[[#This Row],[Código]],Venda_12meses[],2,FALSE),0)</f>
        <v>51</v>
      </c>
      <c r="Z97" s="44">
        <f>IFERROR(Esselte[[#This Row],[V. 12 meses]]/Esselte[[#This Row],[Proj. de V. 12 meses]],"")</f>
        <v>17.191011235955052</v>
      </c>
      <c r="AA97" s="22"/>
    </row>
    <row r="98" spans="1:27" x14ac:dyDescent="0.25">
      <c r="A98" s="22" t="str">
        <f>VLOOKUP(Esselte[[#This Row],[Código]],BD_Produto[#All],7,FALSE)</f>
        <v>Fora de Linha</v>
      </c>
      <c r="B98" s="22" t="str">
        <f>IF(OR(Esselte[[#This Row],[Status]]="Em linha",Esselte[[#This Row],[Status]]="Materia Prima",Esselte[[#This Row],[Status]]="Componente"),"ok",IF(Esselte[[#This Row],[Estoque+Importação]]&lt;1,"Tirar","ok"))</f>
        <v>ok</v>
      </c>
      <c r="C98" s="23">
        <v>33063063468</v>
      </c>
      <c r="D98" s="22" t="s">
        <v>1064</v>
      </c>
      <c r="E98" s="22" t="str">
        <f>VLOOKUP(Esselte[[#This Row],[Código]],BD_Produto[],3,FALSE)</f>
        <v>Pasta Organizadora (A/Z)</v>
      </c>
      <c r="F98" s="22" t="str">
        <f>VLOOKUP(Esselte[[#This Row],[Código]],BD_Produto[],4,FALSE)</f>
        <v>Pasta Organizadora (A/Z)</v>
      </c>
      <c r="G98" s="24">
        <v>5</v>
      </c>
      <c r="H98" s="25"/>
      <c r="I98" s="22"/>
      <c r="J98" s="24"/>
      <c r="K98" s="24" t="str">
        <f>IFERROR(VLOOKUP(Esselte[[#This Row],[Código]],Importação!P:R,3,FALSE),"")</f>
        <v/>
      </c>
      <c r="L98" s="24">
        <f>IFERROR(VLOOKUP(Esselte[[#This Row],[Código]],Saldo[],3,FALSE),0)</f>
        <v>591</v>
      </c>
      <c r="M98" s="24">
        <f>SUM(Esselte[[#This Row],[Produção]:[Estoque]])</f>
        <v>591</v>
      </c>
      <c r="N98" s="24">
        <f>IFERROR(Esselte[[#This Row],[Estoque+Importação]]/Esselte[[#This Row],[Proj. de V. No prox. mes]],"Sem Projeção")</f>
        <v>124.85915492957746</v>
      </c>
      <c r="O98" s="24" t="str">
        <f>IF(OR(Esselte[[#This Row],[Status]]="Em Linha",Esselte[[#This Row],[Status]]="Componente",Esselte[[#This Row],[Status]]="Materia Prima"),Esselte[[#This Row],[Proj. de V. No prox. mes]]*10,"-")</f>
        <v>-</v>
      </c>
      <c r="P9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8" s="83">
        <f>VLOOKUP(Esselte[[#This Row],[Código]],Projeção[#All],15,FALSE)</f>
        <v>4.7333333333333334</v>
      </c>
      <c r="R98" s="43">
        <f>VLOOKUP(Esselte[[#This Row],[Código]],Projeção[#All],14,FALSE)</f>
        <v>0</v>
      </c>
      <c r="S98" s="39">
        <f>IFERROR(VLOOKUP(Esselte[[#This Row],[Código]],Venda_mes[],2,FALSE),0)</f>
        <v>0</v>
      </c>
      <c r="T98" s="44" t="str">
        <f>IFERROR(Esselte[[#This Row],[V. No mes]]/Esselte[[#This Row],[Proj. de V. No mes]],"")</f>
        <v/>
      </c>
      <c r="U98" s="43">
        <f>VLOOKUP(Esselte[[#This Row],[Código]],Projeção[#All],14,FALSE)+VLOOKUP(Esselte[[#This Row],[Código]],Projeção[#All],13,FALSE)+VLOOKUP(Esselte[[#This Row],[Código]],Projeção[#All],12,FALSE)</f>
        <v>0</v>
      </c>
      <c r="V98" s="39">
        <f>IFERROR(VLOOKUP(Esselte[[#This Row],[Código]],Venda_3meses[],2,FALSE),0)</f>
        <v>10</v>
      </c>
      <c r="W98" s="44" t="str">
        <f>IFERROR(Esselte[[#This Row],[V. 3 meses]]/Esselte[[#This Row],[Proj. de V. 3 meses]],"")</f>
        <v/>
      </c>
      <c r="X9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98" s="39">
        <f>IFERROR(VLOOKUP(Esselte[[#This Row],[Código]],Venda_12meses[],2,FALSE),0)</f>
        <v>34</v>
      </c>
      <c r="Z98" s="44" t="str">
        <f>IFERROR(Esselte[[#This Row],[V. 12 meses]]/Esselte[[#This Row],[Proj. de V. 12 meses]],"")</f>
        <v/>
      </c>
      <c r="AA98" s="22"/>
    </row>
    <row r="99" spans="1:27" x14ac:dyDescent="0.25">
      <c r="A99" s="22" t="str">
        <f>VLOOKUP(Esselte[[#This Row],[Código]],BD_Produto[#All],7,FALSE)</f>
        <v>Não entrou em linha</v>
      </c>
      <c r="B9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99" s="23">
        <v>33063063525</v>
      </c>
      <c r="D99" s="22" t="s">
        <v>1534</v>
      </c>
      <c r="E99" s="22">
        <f>VLOOKUP(Esselte[[#This Row],[Código]],BD_Produto[],3,FALSE)</f>
        <v>0</v>
      </c>
      <c r="F99" s="22">
        <f>VLOOKUP(Esselte[[#This Row],[Código]],BD_Produto[],4,FALSE)</f>
        <v>0</v>
      </c>
      <c r="G99" s="24">
        <v>1</v>
      </c>
      <c r="H99" s="25"/>
      <c r="I99" s="22"/>
      <c r="J99" s="24"/>
      <c r="K99" s="24" t="str">
        <f>IFERROR(VLOOKUP(Esselte[[#This Row],[Código]],Importação!P:R,3,FALSE),"")</f>
        <v/>
      </c>
      <c r="L99" s="24">
        <f>IFERROR(VLOOKUP(Esselte[[#This Row],[Código]],Saldo[],3,FALSE),0)</f>
        <v>0</v>
      </c>
      <c r="M99" s="24">
        <f>SUM(Esselte[[#This Row],[Produção]:[Estoque]])</f>
        <v>0</v>
      </c>
      <c r="N99" s="24" t="str">
        <f>IFERROR(Esselte[[#This Row],[Estoque+Importação]]/Esselte[[#This Row],[Proj. de V. No prox. mes]],"Sem Projeção")</f>
        <v>Sem Projeção</v>
      </c>
      <c r="O99" s="24" t="str">
        <f>IF(OR(Esselte[[#This Row],[Status]]="Em Linha",Esselte[[#This Row],[Status]]="Componente",Esselte[[#This Row],[Status]]="Materia Prima"),Esselte[[#This Row],[Proj. de V. No prox. mes]]*10,"-")</f>
        <v>-</v>
      </c>
      <c r="P9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99" s="34">
        <f>VLOOKUP(Esselte[[#This Row],[Código]],Projeção[#All],15,FALSE)</f>
        <v>0</v>
      </c>
      <c r="R99" s="43">
        <f>VLOOKUP(Esselte[[#This Row],[Código]],Projeção[#All],14,FALSE)</f>
        <v>0</v>
      </c>
      <c r="S99" s="39">
        <f>IFERROR(VLOOKUP(Esselte[[#This Row],[Código]],Venda_mes[],2,FALSE),0)</f>
        <v>0</v>
      </c>
      <c r="T99" s="44" t="str">
        <f>IFERROR(Esselte[[#This Row],[V. No mes]]/Esselte[[#This Row],[Proj. de V. No mes]],"")</f>
        <v/>
      </c>
      <c r="U99" s="43">
        <f>VLOOKUP(Esselte[[#This Row],[Código]],Projeção[#All],14,FALSE)+VLOOKUP(Esselte[[#This Row],[Código]],Projeção[#All],13,FALSE)+VLOOKUP(Esselte[[#This Row],[Código]],Projeção[#All],12,FALSE)</f>
        <v>0</v>
      </c>
      <c r="V99" s="39">
        <f>IFERROR(VLOOKUP(Esselte[[#This Row],[Código]],Venda_3meses[],2,FALSE),0)</f>
        <v>0</v>
      </c>
      <c r="W99" s="44" t="str">
        <f>IFERROR(Esselte[[#This Row],[V. 3 meses]]/Esselte[[#This Row],[Proj. de V. 3 meses]],"")</f>
        <v/>
      </c>
      <c r="X9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99" s="39">
        <f>IFERROR(VLOOKUP(Esselte[[#This Row],[Código]],Venda_12meses[],2,FALSE),0)</f>
        <v>0</v>
      </c>
      <c r="Z99" s="44" t="str">
        <f>IFERROR(Esselte[[#This Row],[V. 12 meses]]/Esselte[[#This Row],[Proj. de V. 12 meses]],"")</f>
        <v/>
      </c>
      <c r="AA99" s="22"/>
    </row>
    <row r="100" spans="1:27" x14ac:dyDescent="0.25">
      <c r="A100" s="22" t="str">
        <f>VLOOKUP(Esselte[[#This Row],[Código]],BD_Produto[#All],7,FALSE)</f>
        <v>Não entrou em linha</v>
      </c>
      <c r="B10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0" s="23">
        <v>33063063526</v>
      </c>
      <c r="D100" s="22" t="s">
        <v>1535</v>
      </c>
      <c r="E100" s="22">
        <f>VLOOKUP(Esselte[[#This Row],[Código]],BD_Produto[],3,FALSE)</f>
        <v>0</v>
      </c>
      <c r="F100" s="22">
        <f>VLOOKUP(Esselte[[#This Row],[Código]],BD_Produto[],4,FALSE)</f>
        <v>0</v>
      </c>
      <c r="G100" s="24">
        <v>1</v>
      </c>
      <c r="H100" s="25"/>
      <c r="I100" s="22"/>
      <c r="J100" s="24"/>
      <c r="K100" s="24" t="str">
        <f>IFERROR(VLOOKUP(Esselte[[#This Row],[Código]],Importação!P:R,3,FALSE),"")</f>
        <v/>
      </c>
      <c r="L100" s="24">
        <f>IFERROR(VLOOKUP(Esselte[[#This Row],[Código]],Saldo[],3,FALSE),0)</f>
        <v>0</v>
      </c>
      <c r="M100" s="24">
        <f>SUM(Esselte[[#This Row],[Produção]:[Estoque]])</f>
        <v>0</v>
      </c>
      <c r="N100" s="24" t="str">
        <f>IFERROR(Esselte[[#This Row],[Estoque+Importação]]/Esselte[[#This Row],[Proj. de V. No prox. mes]],"Sem Projeção")</f>
        <v>Sem Projeção</v>
      </c>
      <c r="O100" s="24" t="str">
        <f>IF(OR(Esselte[[#This Row],[Status]]="Em Linha",Esselte[[#This Row],[Status]]="Componente",Esselte[[#This Row],[Status]]="Materia Prima"),Esselte[[#This Row],[Proj. de V. No prox. mes]]*10,"-")</f>
        <v>-</v>
      </c>
      <c r="P10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0" s="34">
        <f>VLOOKUP(Esselte[[#This Row],[Código]],Projeção[#All],15,FALSE)</f>
        <v>0</v>
      </c>
      <c r="R100" s="43">
        <f>VLOOKUP(Esselte[[#This Row],[Código]],Projeção[#All],14,FALSE)</f>
        <v>0</v>
      </c>
      <c r="S100" s="39">
        <f>IFERROR(VLOOKUP(Esselte[[#This Row],[Código]],Venda_mes[],2,FALSE),0)</f>
        <v>0</v>
      </c>
      <c r="T100" s="44" t="str">
        <f>IFERROR(Esselte[[#This Row],[V. No mes]]/Esselte[[#This Row],[Proj. de V. No mes]],"")</f>
        <v/>
      </c>
      <c r="U100" s="43">
        <f>VLOOKUP(Esselte[[#This Row],[Código]],Projeção[#All],14,FALSE)+VLOOKUP(Esselte[[#This Row],[Código]],Projeção[#All],13,FALSE)+VLOOKUP(Esselte[[#This Row],[Código]],Projeção[#All],12,FALSE)</f>
        <v>0</v>
      </c>
      <c r="V100" s="39">
        <f>IFERROR(VLOOKUP(Esselte[[#This Row],[Código]],Venda_3meses[],2,FALSE),0)</f>
        <v>0</v>
      </c>
      <c r="W100" s="44" t="str">
        <f>IFERROR(Esselte[[#This Row],[V. 3 meses]]/Esselte[[#This Row],[Proj. de V. 3 meses]],"")</f>
        <v/>
      </c>
      <c r="X10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0" s="39">
        <f>IFERROR(VLOOKUP(Esselte[[#This Row],[Código]],Venda_12meses[],2,FALSE),0)</f>
        <v>0</v>
      </c>
      <c r="Z100" s="44" t="str">
        <f>IFERROR(Esselte[[#This Row],[V. 12 meses]]/Esselte[[#This Row],[Proj. de V. 12 meses]],"")</f>
        <v/>
      </c>
      <c r="AA100" s="22"/>
    </row>
    <row r="101" spans="1:27" x14ac:dyDescent="0.25">
      <c r="A101" s="22" t="str">
        <f>VLOOKUP(Esselte[[#This Row],[Código]],BD_Produto[#All],7,FALSE)</f>
        <v>Não entrou em linha</v>
      </c>
      <c r="B10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1" s="23">
        <v>41063863527</v>
      </c>
      <c r="D101" s="22" t="s">
        <v>1536</v>
      </c>
      <c r="E101" s="22">
        <f>VLOOKUP(Esselte[[#This Row],[Código]],BD_Produto[],3,FALSE)</f>
        <v>0</v>
      </c>
      <c r="F101" s="22">
        <f>VLOOKUP(Esselte[[#This Row],[Código]],BD_Produto[],4,FALSE)</f>
        <v>0</v>
      </c>
      <c r="G101" s="24">
        <v>1</v>
      </c>
      <c r="H101" s="25"/>
      <c r="I101" s="22"/>
      <c r="J101" s="24"/>
      <c r="K101" s="24" t="str">
        <f>IFERROR(VLOOKUP(Esselte[[#This Row],[Código]],Importação!P:R,3,FALSE),"")</f>
        <v/>
      </c>
      <c r="L101" s="24">
        <f>IFERROR(VLOOKUP(Esselte[[#This Row],[Código]],Saldo[],3,FALSE),0)</f>
        <v>0</v>
      </c>
      <c r="M101" s="24">
        <f>SUM(Esselte[[#This Row],[Produção]:[Estoque]])</f>
        <v>0</v>
      </c>
      <c r="N101" s="24" t="str">
        <f>IFERROR(Esselte[[#This Row],[Estoque+Importação]]/Esselte[[#This Row],[Proj. de V. No prox. mes]],"Sem Projeção")</f>
        <v>Sem Projeção</v>
      </c>
      <c r="O101" s="24" t="str">
        <f>IF(OR(Esselte[[#This Row],[Status]]="Em Linha",Esselte[[#This Row],[Status]]="Componente",Esselte[[#This Row],[Status]]="Materia Prima"),Esselte[[#This Row],[Proj. de V. No prox. mes]]*10,"-")</f>
        <v>-</v>
      </c>
      <c r="P10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1" s="34">
        <f>VLOOKUP(Esselte[[#This Row],[Código]],Projeção[#All],15,FALSE)</f>
        <v>0</v>
      </c>
      <c r="R101" s="43">
        <f>VLOOKUP(Esselte[[#This Row],[Código]],Projeção[#All],14,FALSE)</f>
        <v>0</v>
      </c>
      <c r="S101" s="39">
        <f>IFERROR(VLOOKUP(Esselte[[#This Row],[Código]],Venda_mes[],2,FALSE),0)</f>
        <v>0</v>
      </c>
      <c r="T101" s="44" t="str">
        <f>IFERROR(Esselte[[#This Row],[V. No mes]]/Esselte[[#This Row],[Proj. de V. No mes]],"")</f>
        <v/>
      </c>
      <c r="U101" s="43">
        <f>VLOOKUP(Esselte[[#This Row],[Código]],Projeção[#All],14,FALSE)+VLOOKUP(Esselte[[#This Row],[Código]],Projeção[#All],13,FALSE)+VLOOKUP(Esselte[[#This Row],[Código]],Projeção[#All],12,FALSE)</f>
        <v>0</v>
      </c>
      <c r="V101" s="39">
        <f>IFERROR(VLOOKUP(Esselte[[#This Row],[Código]],Venda_3meses[],2,FALSE),0)</f>
        <v>0</v>
      </c>
      <c r="W101" s="44" t="str">
        <f>IFERROR(Esselte[[#This Row],[V. 3 meses]]/Esselte[[#This Row],[Proj. de V. 3 meses]],"")</f>
        <v/>
      </c>
      <c r="X10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1" s="39">
        <f>IFERROR(VLOOKUP(Esselte[[#This Row],[Código]],Venda_12meses[],2,FALSE),0)</f>
        <v>0</v>
      </c>
      <c r="Z101" s="44" t="str">
        <f>IFERROR(Esselte[[#This Row],[V. 12 meses]]/Esselte[[#This Row],[Proj. de V. 12 meses]],"")</f>
        <v/>
      </c>
      <c r="AA101" s="22"/>
    </row>
    <row r="102" spans="1:27" x14ac:dyDescent="0.25">
      <c r="A102" s="22" t="str">
        <f>VLOOKUP(Esselte[[#This Row],[Código]],BD_Produto[#All],7,FALSE)</f>
        <v>Não entrou em linha</v>
      </c>
      <c r="B10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2" s="23">
        <v>41063863528</v>
      </c>
      <c r="D102" s="22" t="s">
        <v>1537</v>
      </c>
      <c r="E102" s="22">
        <f>VLOOKUP(Esselte[[#This Row],[Código]],BD_Produto[],3,FALSE)</f>
        <v>0</v>
      </c>
      <c r="F102" s="22">
        <f>VLOOKUP(Esselte[[#This Row],[Código]],BD_Produto[],4,FALSE)</f>
        <v>0</v>
      </c>
      <c r="G102" s="24">
        <v>1</v>
      </c>
      <c r="H102" s="25"/>
      <c r="I102" s="22"/>
      <c r="J102" s="24"/>
      <c r="K102" s="24" t="str">
        <f>IFERROR(VLOOKUP(Esselte[[#This Row],[Código]],Importação!P:R,3,FALSE),"")</f>
        <v/>
      </c>
      <c r="L102" s="24">
        <f>IFERROR(VLOOKUP(Esselte[[#This Row],[Código]],Saldo[],3,FALSE),0)</f>
        <v>0</v>
      </c>
      <c r="M102" s="24">
        <f>SUM(Esselte[[#This Row],[Produção]:[Estoque]])</f>
        <v>0</v>
      </c>
      <c r="N102" s="24" t="str">
        <f>IFERROR(Esselte[[#This Row],[Estoque+Importação]]/Esselte[[#This Row],[Proj. de V. No prox. mes]],"Sem Projeção")</f>
        <v>Sem Projeção</v>
      </c>
      <c r="O102" s="24" t="str">
        <f>IF(OR(Esselte[[#This Row],[Status]]="Em Linha",Esselte[[#This Row],[Status]]="Componente",Esselte[[#This Row],[Status]]="Materia Prima"),Esselte[[#This Row],[Proj. de V. No prox. mes]]*10,"-")</f>
        <v>-</v>
      </c>
      <c r="P10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2" s="34">
        <f>VLOOKUP(Esselte[[#This Row],[Código]],Projeção[#All],15,FALSE)</f>
        <v>0</v>
      </c>
      <c r="R102" s="43">
        <f>VLOOKUP(Esselte[[#This Row],[Código]],Projeção[#All],14,FALSE)</f>
        <v>0</v>
      </c>
      <c r="S102" s="39">
        <f>IFERROR(VLOOKUP(Esselte[[#This Row],[Código]],Venda_mes[],2,FALSE),0)</f>
        <v>0</v>
      </c>
      <c r="T102" s="44" t="str">
        <f>IFERROR(Esselte[[#This Row],[V. No mes]]/Esselte[[#This Row],[Proj. de V. No mes]],"")</f>
        <v/>
      </c>
      <c r="U102" s="43">
        <f>VLOOKUP(Esselte[[#This Row],[Código]],Projeção[#All],14,FALSE)+VLOOKUP(Esselte[[#This Row],[Código]],Projeção[#All],13,FALSE)+VLOOKUP(Esselte[[#This Row],[Código]],Projeção[#All],12,FALSE)</f>
        <v>0</v>
      </c>
      <c r="V102" s="39">
        <f>IFERROR(VLOOKUP(Esselte[[#This Row],[Código]],Venda_3meses[],2,FALSE),0)</f>
        <v>0</v>
      </c>
      <c r="W102" s="44" t="str">
        <f>IFERROR(Esselte[[#This Row],[V. 3 meses]]/Esselte[[#This Row],[Proj. de V. 3 meses]],"")</f>
        <v/>
      </c>
      <c r="X10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2" s="39">
        <f>IFERROR(VLOOKUP(Esselte[[#This Row],[Código]],Venda_12meses[],2,FALSE),0)</f>
        <v>0</v>
      </c>
      <c r="Z102" s="44" t="str">
        <f>IFERROR(Esselte[[#This Row],[V. 12 meses]]/Esselte[[#This Row],[Proj. de V. 12 meses]],"")</f>
        <v/>
      </c>
      <c r="AA102" s="22"/>
    </row>
    <row r="103" spans="1:27" x14ac:dyDescent="0.25">
      <c r="A103" s="22" t="str">
        <f>VLOOKUP(Esselte[[#This Row],[Código]],BD_Produto[#All],7,FALSE)</f>
        <v>Não entrou em linha</v>
      </c>
      <c r="B10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3" s="23">
        <v>41063863529</v>
      </c>
      <c r="D103" s="22" t="s">
        <v>1538</v>
      </c>
      <c r="E103" s="22">
        <f>VLOOKUP(Esselte[[#This Row],[Código]],BD_Produto[],3,FALSE)</f>
        <v>0</v>
      </c>
      <c r="F103" s="22">
        <f>VLOOKUP(Esselte[[#This Row],[Código]],BD_Produto[],4,FALSE)</f>
        <v>0</v>
      </c>
      <c r="G103" s="24">
        <v>1</v>
      </c>
      <c r="H103" s="25"/>
      <c r="I103" s="22"/>
      <c r="J103" s="24"/>
      <c r="K103" s="24" t="str">
        <f>IFERROR(VLOOKUP(Esselte[[#This Row],[Código]],Importação!P:R,3,FALSE),"")</f>
        <v/>
      </c>
      <c r="L103" s="24">
        <f>IFERROR(VLOOKUP(Esselte[[#This Row],[Código]],Saldo[],3,FALSE),0)</f>
        <v>0</v>
      </c>
      <c r="M103" s="24">
        <f>SUM(Esselte[[#This Row],[Produção]:[Estoque]])</f>
        <v>0</v>
      </c>
      <c r="N103" s="24" t="str">
        <f>IFERROR(Esselte[[#This Row],[Estoque+Importação]]/Esselte[[#This Row],[Proj. de V. No prox. mes]],"Sem Projeção")</f>
        <v>Sem Projeção</v>
      </c>
      <c r="O103" s="24" t="str">
        <f>IF(OR(Esselte[[#This Row],[Status]]="Em Linha",Esselte[[#This Row],[Status]]="Componente",Esselte[[#This Row],[Status]]="Materia Prima"),Esselte[[#This Row],[Proj. de V. No prox. mes]]*10,"-")</f>
        <v>-</v>
      </c>
      <c r="P10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3" s="34">
        <f>VLOOKUP(Esselte[[#This Row],[Código]],Projeção[#All],15,FALSE)</f>
        <v>0</v>
      </c>
      <c r="R103" s="43">
        <f>VLOOKUP(Esselte[[#This Row],[Código]],Projeção[#All],14,FALSE)</f>
        <v>0</v>
      </c>
      <c r="S103" s="39">
        <f>IFERROR(VLOOKUP(Esselte[[#This Row],[Código]],Venda_mes[],2,FALSE),0)</f>
        <v>0</v>
      </c>
      <c r="T103" s="44" t="str">
        <f>IFERROR(Esselte[[#This Row],[V. No mes]]/Esselte[[#This Row],[Proj. de V. No mes]],"")</f>
        <v/>
      </c>
      <c r="U103" s="43">
        <f>VLOOKUP(Esselte[[#This Row],[Código]],Projeção[#All],14,FALSE)+VLOOKUP(Esselte[[#This Row],[Código]],Projeção[#All],13,FALSE)+VLOOKUP(Esselte[[#This Row],[Código]],Projeção[#All],12,FALSE)</f>
        <v>0</v>
      </c>
      <c r="V103" s="39">
        <f>IFERROR(VLOOKUP(Esselte[[#This Row],[Código]],Venda_3meses[],2,FALSE),0)</f>
        <v>0</v>
      </c>
      <c r="W103" s="44" t="str">
        <f>IFERROR(Esselte[[#This Row],[V. 3 meses]]/Esselte[[#This Row],[Proj. de V. 3 meses]],"")</f>
        <v/>
      </c>
      <c r="X10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3" s="39">
        <f>IFERROR(VLOOKUP(Esselte[[#This Row],[Código]],Venda_12meses[],2,FALSE),0)</f>
        <v>0</v>
      </c>
      <c r="Z103" s="44" t="str">
        <f>IFERROR(Esselte[[#This Row],[V. 12 meses]]/Esselte[[#This Row],[Proj. de V. 12 meses]],"")</f>
        <v/>
      </c>
      <c r="AA103" s="22"/>
    </row>
    <row r="104" spans="1:27" x14ac:dyDescent="0.25">
      <c r="A104" s="22" t="str">
        <f>VLOOKUP(Esselte[[#This Row],[Código]],BD_Produto[#All],7,FALSE)</f>
        <v>Não entrou em linha</v>
      </c>
      <c r="B10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4" s="23">
        <v>41063863530</v>
      </c>
      <c r="D104" s="22" t="s">
        <v>1539</v>
      </c>
      <c r="E104" s="22">
        <f>VLOOKUP(Esselte[[#This Row],[Código]],BD_Produto[],3,FALSE)</f>
        <v>0</v>
      </c>
      <c r="F104" s="22">
        <f>VLOOKUP(Esselte[[#This Row],[Código]],BD_Produto[],4,FALSE)</f>
        <v>0</v>
      </c>
      <c r="G104" s="24">
        <v>1</v>
      </c>
      <c r="H104" s="25"/>
      <c r="I104" s="22"/>
      <c r="J104" s="24"/>
      <c r="K104" s="24" t="str">
        <f>IFERROR(VLOOKUP(Esselte[[#This Row],[Código]],Importação!P:R,3,FALSE),"")</f>
        <v/>
      </c>
      <c r="L104" s="24">
        <f>IFERROR(VLOOKUP(Esselte[[#This Row],[Código]],Saldo[],3,FALSE),0)</f>
        <v>0</v>
      </c>
      <c r="M104" s="24">
        <f>SUM(Esselte[[#This Row],[Produção]:[Estoque]])</f>
        <v>0</v>
      </c>
      <c r="N104" s="24" t="str">
        <f>IFERROR(Esselte[[#This Row],[Estoque+Importação]]/Esselte[[#This Row],[Proj. de V. No prox. mes]],"Sem Projeção")</f>
        <v>Sem Projeção</v>
      </c>
      <c r="O104" s="24" t="str">
        <f>IF(OR(Esselte[[#This Row],[Status]]="Em Linha",Esselte[[#This Row],[Status]]="Componente",Esselte[[#This Row],[Status]]="Materia Prima"),Esselte[[#This Row],[Proj. de V. No prox. mes]]*10,"-")</f>
        <v>-</v>
      </c>
      <c r="P10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4" s="34">
        <f>VLOOKUP(Esselte[[#This Row],[Código]],Projeção[#All],15,FALSE)</f>
        <v>0</v>
      </c>
      <c r="R104" s="43">
        <f>VLOOKUP(Esselte[[#This Row],[Código]],Projeção[#All],14,FALSE)</f>
        <v>0</v>
      </c>
      <c r="S104" s="39">
        <f>IFERROR(VLOOKUP(Esselte[[#This Row],[Código]],Venda_mes[],2,FALSE),0)</f>
        <v>0</v>
      </c>
      <c r="T104" s="44" t="str">
        <f>IFERROR(Esselte[[#This Row],[V. No mes]]/Esselte[[#This Row],[Proj. de V. No mes]],"")</f>
        <v/>
      </c>
      <c r="U104" s="43">
        <f>VLOOKUP(Esselte[[#This Row],[Código]],Projeção[#All],14,FALSE)+VLOOKUP(Esselte[[#This Row],[Código]],Projeção[#All],13,FALSE)+VLOOKUP(Esselte[[#This Row],[Código]],Projeção[#All],12,FALSE)</f>
        <v>0</v>
      </c>
      <c r="V104" s="39">
        <f>IFERROR(VLOOKUP(Esselte[[#This Row],[Código]],Venda_3meses[],2,FALSE),0)</f>
        <v>0</v>
      </c>
      <c r="W104" s="44" t="str">
        <f>IFERROR(Esselte[[#This Row],[V. 3 meses]]/Esselte[[#This Row],[Proj. de V. 3 meses]],"")</f>
        <v/>
      </c>
      <c r="X10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4" s="39">
        <f>IFERROR(VLOOKUP(Esselte[[#This Row],[Código]],Venda_12meses[],2,FALSE),0)</f>
        <v>0</v>
      </c>
      <c r="Z104" s="44" t="str">
        <f>IFERROR(Esselte[[#This Row],[V. 12 meses]]/Esselte[[#This Row],[Proj. de V. 12 meses]],"")</f>
        <v/>
      </c>
      <c r="AA104" s="22"/>
    </row>
    <row r="105" spans="1:27" x14ac:dyDescent="0.25">
      <c r="A105" s="22" t="str">
        <f>VLOOKUP(Esselte[[#This Row],[Código]],BD_Produto[#All],7,FALSE)</f>
        <v>Não entrou em linha</v>
      </c>
      <c r="B10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5" s="23">
        <v>41063863531</v>
      </c>
      <c r="D105" s="22" t="s">
        <v>1540</v>
      </c>
      <c r="E105" s="22">
        <f>VLOOKUP(Esselte[[#This Row],[Código]],BD_Produto[],3,FALSE)</f>
        <v>0</v>
      </c>
      <c r="F105" s="22">
        <f>VLOOKUP(Esselte[[#This Row],[Código]],BD_Produto[],4,FALSE)</f>
        <v>0</v>
      </c>
      <c r="G105" s="24">
        <v>1</v>
      </c>
      <c r="H105" s="25"/>
      <c r="I105" s="22"/>
      <c r="J105" s="24"/>
      <c r="K105" s="24" t="str">
        <f>IFERROR(VLOOKUP(Esselte[[#This Row],[Código]],Importação!P:R,3,FALSE),"")</f>
        <v/>
      </c>
      <c r="L105" s="24">
        <f>IFERROR(VLOOKUP(Esselte[[#This Row],[Código]],Saldo[],3,FALSE),0)</f>
        <v>0</v>
      </c>
      <c r="M105" s="24">
        <f>SUM(Esselte[[#This Row],[Produção]:[Estoque]])</f>
        <v>0</v>
      </c>
      <c r="N105" s="24" t="str">
        <f>IFERROR(Esselte[[#This Row],[Estoque+Importação]]/Esselte[[#This Row],[Proj. de V. No prox. mes]],"Sem Projeção")</f>
        <v>Sem Projeção</v>
      </c>
      <c r="O105" s="24" t="str">
        <f>IF(OR(Esselte[[#This Row],[Status]]="Em Linha",Esselte[[#This Row],[Status]]="Componente",Esselte[[#This Row],[Status]]="Materia Prima"),Esselte[[#This Row],[Proj. de V. No prox. mes]]*10,"-")</f>
        <v>-</v>
      </c>
      <c r="P10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5" s="34">
        <f>VLOOKUP(Esselte[[#This Row],[Código]],Projeção[#All],15,FALSE)</f>
        <v>0</v>
      </c>
      <c r="R105" s="43">
        <f>VLOOKUP(Esselte[[#This Row],[Código]],Projeção[#All],14,FALSE)</f>
        <v>0</v>
      </c>
      <c r="S105" s="39">
        <f>IFERROR(VLOOKUP(Esselte[[#This Row],[Código]],Venda_mes[],2,FALSE),0)</f>
        <v>0</v>
      </c>
      <c r="T105" s="44" t="str">
        <f>IFERROR(Esselte[[#This Row],[V. No mes]]/Esselte[[#This Row],[Proj. de V. No mes]],"")</f>
        <v/>
      </c>
      <c r="U105" s="43">
        <f>VLOOKUP(Esselte[[#This Row],[Código]],Projeção[#All],14,FALSE)+VLOOKUP(Esselte[[#This Row],[Código]],Projeção[#All],13,FALSE)+VLOOKUP(Esselte[[#This Row],[Código]],Projeção[#All],12,FALSE)</f>
        <v>0</v>
      </c>
      <c r="V105" s="39">
        <f>IFERROR(VLOOKUP(Esselte[[#This Row],[Código]],Venda_3meses[],2,FALSE),0)</f>
        <v>0</v>
      </c>
      <c r="W105" s="44" t="str">
        <f>IFERROR(Esselte[[#This Row],[V. 3 meses]]/Esselte[[#This Row],[Proj. de V. 3 meses]],"")</f>
        <v/>
      </c>
      <c r="X10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5" s="39">
        <f>IFERROR(VLOOKUP(Esselte[[#This Row],[Código]],Venda_12meses[],2,FALSE),0)</f>
        <v>0</v>
      </c>
      <c r="Z105" s="44" t="str">
        <f>IFERROR(Esselte[[#This Row],[V. 12 meses]]/Esselte[[#This Row],[Proj. de V. 12 meses]],"")</f>
        <v/>
      </c>
      <c r="AA105" s="22"/>
    </row>
    <row r="106" spans="1:27" x14ac:dyDescent="0.25">
      <c r="A106" s="22" t="str">
        <f>VLOOKUP(Esselte[[#This Row],[Código]],BD_Produto[#All],7,FALSE)</f>
        <v>Não entrou em linha</v>
      </c>
      <c r="B10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6" s="23">
        <v>33063263693</v>
      </c>
      <c r="D106" s="22" t="s">
        <v>1541</v>
      </c>
      <c r="E106" s="22" t="str">
        <f>VLOOKUP(Esselte[[#This Row],[Código]],BD_Produto[],3,FALSE)</f>
        <v>Pasta Suspensa</v>
      </c>
      <c r="F106" s="22" t="str">
        <f>VLOOKUP(Esselte[[#This Row],[Código]],BD_Produto[],4,FALSE)</f>
        <v>Pasta Suspensa</v>
      </c>
      <c r="G106" s="24">
        <v>1</v>
      </c>
      <c r="H106" s="25"/>
      <c r="I106" s="22"/>
      <c r="J106" s="24"/>
      <c r="K106" s="24" t="str">
        <f>IFERROR(VLOOKUP(Esselte[[#This Row],[Código]],Importação!P:R,3,FALSE),"")</f>
        <v/>
      </c>
      <c r="L106" s="24">
        <f>IFERROR(VLOOKUP(Esselte[[#This Row],[Código]],Saldo[],3,FALSE),0)</f>
        <v>0</v>
      </c>
      <c r="M106" s="24">
        <f>SUM(Esselte[[#This Row],[Produção]:[Estoque]])</f>
        <v>0</v>
      </c>
      <c r="N106" s="24" t="str">
        <f>IFERROR(Esselte[[#This Row],[Estoque+Importação]]/Esselte[[#This Row],[Proj. de V. No prox. mes]],"Sem Projeção")</f>
        <v>Sem Projeção</v>
      </c>
      <c r="O106" s="24" t="str">
        <f>IF(OR(Esselte[[#This Row],[Status]]="Em Linha",Esselte[[#This Row],[Status]]="Componente",Esselte[[#This Row],[Status]]="Materia Prima"),Esselte[[#This Row],[Proj. de V. No prox. mes]]*10,"-")</f>
        <v>-</v>
      </c>
      <c r="P10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6" s="34">
        <f>VLOOKUP(Esselte[[#This Row],[Código]],Projeção[#All],15,FALSE)</f>
        <v>0</v>
      </c>
      <c r="R106" s="43">
        <f>VLOOKUP(Esselte[[#This Row],[Código]],Projeção[#All],14,FALSE)</f>
        <v>0</v>
      </c>
      <c r="S106" s="39">
        <f>IFERROR(VLOOKUP(Esselte[[#This Row],[Código]],Venda_mes[],2,FALSE),0)</f>
        <v>0</v>
      </c>
      <c r="T106" s="44" t="str">
        <f>IFERROR(Esselte[[#This Row],[V. No mes]]/Esselte[[#This Row],[Proj. de V. No mes]],"")</f>
        <v/>
      </c>
      <c r="U106" s="43">
        <f>VLOOKUP(Esselte[[#This Row],[Código]],Projeção[#All],14,FALSE)+VLOOKUP(Esselte[[#This Row],[Código]],Projeção[#All],13,FALSE)+VLOOKUP(Esselte[[#This Row],[Código]],Projeção[#All],12,FALSE)</f>
        <v>0</v>
      </c>
      <c r="V106" s="39">
        <f>IFERROR(VLOOKUP(Esselte[[#This Row],[Código]],Venda_3meses[],2,FALSE),0)</f>
        <v>0</v>
      </c>
      <c r="W106" s="44" t="str">
        <f>IFERROR(Esselte[[#This Row],[V. 3 meses]]/Esselte[[#This Row],[Proj. de V. 3 meses]],"")</f>
        <v/>
      </c>
      <c r="X10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6" s="39">
        <f>IFERROR(VLOOKUP(Esselte[[#This Row],[Código]],Venda_12meses[],2,FALSE),0)</f>
        <v>0</v>
      </c>
      <c r="Z106" s="44" t="str">
        <f>IFERROR(Esselte[[#This Row],[V. 12 meses]]/Esselte[[#This Row],[Proj. de V. 12 meses]],"")</f>
        <v/>
      </c>
      <c r="AA106" s="22"/>
    </row>
    <row r="107" spans="1:27" x14ac:dyDescent="0.25">
      <c r="A107" s="22" t="str">
        <f>VLOOKUP(Esselte[[#This Row],[Código]],BD_Produto[#All],7,FALSE)</f>
        <v>Não entrou em linha</v>
      </c>
      <c r="B10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7" s="23">
        <v>33063263692</v>
      </c>
      <c r="D107" s="22" t="s">
        <v>1542</v>
      </c>
      <c r="E107" s="22" t="str">
        <f>VLOOKUP(Esselte[[#This Row],[Código]],BD_Produto[],3,FALSE)</f>
        <v>Pasta Suspensa</v>
      </c>
      <c r="F107" s="22" t="str">
        <f>VLOOKUP(Esselte[[#This Row],[Código]],BD_Produto[],4,FALSE)</f>
        <v>Pasta Suspensa</v>
      </c>
      <c r="G107" s="24">
        <v>1</v>
      </c>
      <c r="H107" s="25"/>
      <c r="I107" s="22"/>
      <c r="J107" s="24"/>
      <c r="K107" s="24" t="str">
        <f>IFERROR(VLOOKUP(Esselte[[#This Row],[Código]],Importação!P:R,3,FALSE),"")</f>
        <v/>
      </c>
      <c r="L107" s="24">
        <f>IFERROR(VLOOKUP(Esselte[[#This Row],[Código]],Saldo[],3,FALSE),0)</f>
        <v>0</v>
      </c>
      <c r="M107" s="24">
        <f>SUM(Esselte[[#This Row],[Produção]:[Estoque]])</f>
        <v>0</v>
      </c>
      <c r="N107" s="24" t="str">
        <f>IFERROR(Esselte[[#This Row],[Estoque+Importação]]/Esselte[[#This Row],[Proj. de V. No prox. mes]],"Sem Projeção")</f>
        <v>Sem Projeção</v>
      </c>
      <c r="O107" s="24" t="str">
        <f>IF(OR(Esselte[[#This Row],[Status]]="Em Linha",Esselte[[#This Row],[Status]]="Componente",Esselte[[#This Row],[Status]]="Materia Prima"),Esselte[[#This Row],[Proj. de V. No prox. mes]]*10,"-")</f>
        <v>-</v>
      </c>
      <c r="P10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7" s="34">
        <f>VLOOKUP(Esselte[[#This Row],[Código]],Projeção[#All],15,FALSE)</f>
        <v>0</v>
      </c>
      <c r="R107" s="43">
        <f>VLOOKUP(Esselte[[#This Row],[Código]],Projeção[#All],14,FALSE)</f>
        <v>0</v>
      </c>
      <c r="S107" s="39">
        <f>IFERROR(VLOOKUP(Esselte[[#This Row],[Código]],Venda_mes[],2,FALSE),0)</f>
        <v>0</v>
      </c>
      <c r="T107" s="44" t="str">
        <f>IFERROR(Esselte[[#This Row],[V. No mes]]/Esselte[[#This Row],[Proj. de V. No mes]],"")</f>
        <v/>
      </c>
      <c r="U107" s="43">
        <f>VLOOKUP(Esselte[[#This Row],[Código]],Projeção[#All],14,FALSE)+VLOOKUP(Esselte[[#This Row],[Código]],Projeção[#All],13,FALSE)+VLOOKUP(Esselte[[#This Row],[Código]],Projeção[#All],12,FALSE)</f>
        <v>0</v>
      </c>
      <c r="V107" s="39">
        <f>IFERROR(VLOOKUP(Esselte[[#This Row],[Código]],Venda_3meses[],2,FALSE),0)</f>
        <v>0</v>
      </c>
      <c r="W107" s="44" t="str">
        <f>IFERROR(Esselte[[#This Row],[V. 3 meses]]/Esselte[[#This Row],[Proj. de V. 3 meses]],"")</f>
        <v/>
      </c>
      <c r="X10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7" s="39">
        <f>IFERROR(VLOOKUP(Esselte[[#This Row],[Código]],Venda_12meses[],2,FALSE),0)</f>
        <v>0</v>
      </c>
      <c r="Z107" s="44" t="str">
        <f>IFERROR(Esselte[[#This Row],[V. 12 meses]]/Esselte[[#This Row],[Proj. de V. 12 meses]],"")</f>
        <v/>
      </c>
      <c r="AA107" s="22"/>
    </row>
    <row r="108" spans="1:27" x14ac:dyDescent="0.25">
      <c r="A108" s="22" t="str">
        <f>VLOOKUP(Esselte[[#This Row],[Código]],BD_Produto[#All],7,FALSE)</f>
        <v>Não entrou em linha</v>
      </c>
      <c r="B10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8" s="23">
        <v>33063063586</v>
      </c>
      <c r="D108" s="22" t="s">
        <v>1543</v>
      </c>
      <c r="E108" s="22">
        <f>VLOOKUP(Esselte[[#This Row],[Código]],BD_Produto[],3,FALSE)</f>
        <v>0</v>
      </c>
      <c r="F108" s="22">
        <f>VLOOKUP(Esselte[[#This Row],[Código]],BD_Produto[],4,FALSE)</f>
        <v>0</v>
      </c>
      <c r="G108" s="24">
        <v>1</v>
      </c>
      <c r="H108" s="25"/>
      <c r="I108" s="22"/>
      <c r="J108" s="24"/>
      <c r="K108" s="24" t="str">
        <f>IFERROR(VLOOKUP(Esselte[[#This Row],[Código]],Importação!P:R,3,FALSE),"")</f>
        <v/>
      </c>
      <c r="L108" s="24">
        <f>IFERROR(VLOOKUP(Esselte[[#This Row],[Código]],Saldo[],3,FALSE),0)</f>
        <v>0</v>
      </c>
      <c r="M108" s="24">
        <f>SUM(Esselte[[#This Row],[Produção]:[Estoque]])</f>
        <v>0</v>
      </c>
      <c r="N108" s="24" t="str">
        <f>IFERROR(Esselte[[#This Row],[Estoque+Importação]]/Esselte[[#This Row],[Proj. de V. No prox. mes]],"Sem Projeção")</f>
        <v>Sem Projeção</v>
      </c>
      <c r="O108" s="24" t="str">
        <f>IF(OR(Esselte[[#This Row],[Status]]="Em Linha",Esselte[[#This Row],[Status]]="Componente",Esselte[[#This Row],[Status]]="Materia Prima"),Esselte[[#This Row],[Proj. de V. No prox. mes]]*10,"-")</f>
        <v>-</v>
      </c>
      <c r="P10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8" s="34">
        <f>VLOOKUP(Esselte[[#This Row],[Código]],Projeção[#All],15,FALSE)</f>
        <v>0</v>
      </c>
      <c r="R108" s="43">
        <f>VLOOKUP(Esselte[[#This Row],[Código]],Projeção[#All],14,FALSE)</f>
        <v>0</v>
      </c>
      <c r="S108" s="39">
        <f>IFERROR(VLOOKUP(Esselte[[#This Row],[Código]],Venda_mes[],2,FALSE),0)</f>
        <v>0</v>
      </c>
      <c r="T108" s="44" t="str">
        <f>IFERROR(Esselte[[#This Row],[V. No mes]]/Esselte[[#This Row],[Proj. de V. No mes]],"")</f>
        <v/>
      </c>
      <c r="U108" s="43">
        <f>VLOOKUP(Esselte[[#This Row],[Código]],Projeção[#All],14,FALSE)+VLOOKUP(Esselte[[#This Row],[Código]],Projeção[#All],13,FALSE)+VLOOKUP(Esselte[[#This Row],[Código]],Projeção[#All],12,FALSE)</f>
        <v>0</v>
      </c>
      <c r="V108" s="39">
        <f>IFERROR(VLOOKUP(Esselte[[#This Row],[Código]],Venda_3meses[],2,FALSE),0)</f>
        <v>0</v>
      </c>
      <c r="W108" s="44" t="str">
        <f>IFERROR(Esselte[[#This Row],[V. 3 meses]]/Esselte[[#This Row],[Proj. de V. 3 meses]],"")</f>
        <v/>
      </c>
      <c r="X10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8" s="39">
        <f>IFERROR(VLOOKUP(Esselte[[#This Row],[Código]],Venda_12meses[],2,FALSE),0)</f>
        <v>0</v>
      </c>
      <c r="Z108" s="44" t="str">
        <f>IFERROR(Esselte[[#This Row],[V. 12 meses]]/Esselte[[#This Row],[Proj. de V. 12 meses]],"")</f>
        <v/>
      </c>
      <c r="AA108" s="22"/>
    </row>
    <row r="109" spans="1:27" x14ac:dyDescent="0.25">
      <c r="A109" s="22" t="str">
        <f>VLOOKUP(Esselte[[#This Row],[Código]],BD_Produto[#All],7,FALSE)</f>
        <v>Não entrou em linha</v>
      </c>
      <c r="B10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09" s="23">
        <v>33063063587</v>
      </c>
      <c r="D109" s="22" t="s">
        <v>1544</v>
      </c>
      <c r="E109" s="22">
        <f>VLOOKUP(Esselte[[#This Row],[Código]],BD_Produto[],3,FALSE)</f>
        <v>0</v>
      </c>
      <c r="F109" s="22">
        <f>VLOOKUP(Esselte[[#This Row],[Código]],BD_Produto[],4,FALSE)</f>
        <v>0</v>
      </c>
      <c r="G109" s="24">
        <v>1</v>
      </c>
      <c r="H109" s="25"/>
      <c r="I109" s="22"/>
      <c r="J109" s="24"/>
      <c r="K109" s="24" t="str">
        <f>IFERROR(VLOOKUP(Esselte[[#This Row],[Código]],Importação!P:R,3,FALSE),"")</f>
        <v/>
      </c>
      <c r="L109" s="24">
        <f>IFERROR(VLOOKUP(Esselte[[#This Row],[Código]],Saldo[],3,FALSE),0)</f>
        <v>0</v>
      </c>
      <c r="M109" s="24">
        <f>SUM(Esselte[[#This Row],[Produção]:[Estoque]])</f>
        <v>0</v>
      </c>
      <c r="N109" s="24" t="str">
        <f>IFERROR(Esselte[[#This Row],[Estoque+Importação]]/Esselte[[#This Row],[Proj. de V. No prox. mes]],"Sem Projeção")</f>
        <v>Sem Projeção</v>
      </c>
      <c r="O109" s="24" t="str">
        <f>IF(OR(Esselte[[#This Row],[Status]]="Em Linha",Esselte[[#This Row],[Status]]="Componente",Esselte[[#This Row],[Status]]="Materia Prima"),Esselte[[#This Row],[Proj. de V. No prox. mes]]*10,"-")</f>
        <v>-</v>
      </c>
      <c r="P10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09" s="34">
        <f>VLOOKUP(Esselte[[#This Row],[Código]],Projeção[#All],15,FALSE)</f>
        <v>0</v>
      </c>
      <c r="R109" s="43">
        <f>VLOOKUP(Esselte[[#This Row],[Código]],Projeção[#All],14,FALSE)</f>
        <v>0</v>
      </c>
      <c r="S109" s="39">
        <f>IFERROR(VLOOKUP(Esselte[[#This Row],[Código]],Venda_mes[],2,FALSE),0)</f>
        <v>0</v>
      </c>
      <c r="T109" s="44" t="str">
        <f>IFERROR(Esselte[[#This Row],[V. No mes]]/Esselte[[#This Row],[Proj. de V. No mes]],"")</f>
        <v/>
      </c>
      <c r="U109" s="43">
        <f>VLOOKUP(Esselte[[#This Row],[Código]],Projeção[#All],14,FALSE)+VLOOKUP(Esselte[[#This Row],[Código]],Projeção[#All],13,FALSE)+VLOOKUP(Esselte[[#This Row],[Código]],Projeção[#All],12,FALSE)</f>
        <v>0</v>
      </c>
      <c r="V109" s="39">
        <f>IFERROR(VLOOKUP(Esselte[[#This Row],[Código]],Venda_3meses[],2,FALSE),0)</f>
        <v>0</v>
      </c>
      <c r="W109" s="44" t="str">
        <f>IFERROR(Esselte[[#This Row],[V. 3 meses]]/Esselte[[#This Row],[Proj. de V. 3 meses]],"")</f>
        <v/>
      </c>
      <c r="X10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09" s="39">
        <f>IFERROR(VLOOKUP(Esselte[[#This Row],[Código]],Venda_12meses[],2,FALSE),0)</f>
        <v>0</v>
      </c>
      <c r="Z109" s="44" t="str">
        <f>IFERROR(Esselte[[#This Row],[V. 12 meses]]/Esselte[[#This Row],[Proj. de V. 12 meses]],"")</f>
        <v/>
      </c>
      <c r="AA109" s="22"/>
    </row>
    <row r="110" spans="1:27" x14ac:dyDescent="0.25">
      <c r="A110" s="22" t="str">
        <f>VLOOKUP(Esselte[[#This Row],[Código]],BD_Produto[#All],7,FALSE)</f>
        <v>Não entrou em linha</v>
      </c>
      <c r="B11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0" s="23">
        <v>33063063588</v>
      </c>
      <c r="D110" s="22" t="s">
        <v>1545</v>
      </c>
      <c r="E110" s="22">
        <f>VLOOKUP(Esselte[[#This Row],[Código]],BD_Produto[],3,FALSE)</f>
        <v>0</v>
      </c>
      <c r="F110" s="22">
        <f>VLOOKUP(Esselte[[#This Row],[Código]],BD_Produto[],4,FALSE)</f>
        <v>0</v>
      </c>
      <c r="G110" s="24">
        <v>1</v>
      </c>
      <c r="H110" s="25"/>
      <c r="I110" s="22"/>
      <c r="J110" s="24"/>
      <c r="K110" s="24" t="str">
        <f>IFERROR(VLOOKUP(Esselte[[#This Row],[Código]],Importação!P:R,3,FALSE),"")</f>
        <v/>
      </c>
      <c r="L110" s="24">
        <f>IFERROR(VLOOKUP(Esselte[[#This Row],[Código]],Saldo[],3,FALSE),0)</f>
        <v>0</v>
      </c>
      <c r="M110" s="24">
        <f>SUM(Esselte[[#This Row],[Produção]:[Estoque]])</f>
        <v>0</v>
      </c>
      <c r="N110" s="24" t="str">
        <f>IFERROR(Esselte[[#This Row],[Estoque+Importação]]/Esselte[[#This Row],[Proj. de V. No prox. mes]],"Sem Projeção")</f>
        <v>Sem Projeção</v>
      </c>
      <c r="O110" s="24" t="str">
        <f>IF(OR(Esselte[[#This Row],[Status]]="Em Linha",Esselte[[#This Row],[Status]]="Componente",Esselte[[#This Row],[Status]]="Materia Prima"),Esselte[[#This Row],[Proj. de V. No prox. mes]]*10,"-")</f>
        <v>-</v>
      </c>
      <c r="P11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0" s="34">
        <f>VLOOKUP(Esselte[[#This Row],[Código]],Projeção[#All],15,FALSE)</f>
        <v>0</v>
      </c>
      <c r="R110" s="43">
        <f>VLOOKUP(Esselte[[#This Row],[Código]],Projeção[#All],14,FALSE)</f>
        <v>0</v>
      </c>
      <c r="S110" s="39">
        <f>IFERROR(VLOOKUP(Esselte[[#This Row],[Código]],Venda_mes[],2,FALSE),0)</f>
        <v>0</v>
      </c>
      <c r="T110" s="44" t="str">
        <f>IFERROR(Esselte[[#This Row],[V. No mes]]/Esselte[[#This Row],[Proj. de V. No mes]],"")</f>
        <v/>
      </c>
      <c r="U110" s="43">
        <f>VLOOKUP(Esselte[[#This Row],[Código]],Projeção[#All],14,FALSE)+VLOOKUP(Esselte[[#This Row],[Código]],Projeção[#All],13,FALSE)+VLOOKUP(Esselte[[#This Row],[Código]],Projeção[#All],12,FALSE)</f>
        <v>0</v>
      </c>
      <c r="V110" s="39">
        <f>IFERROR(VLOOKUP(Esselte[[#This Row],[Código]],Venda_3meses[],2,FALSE),0)</f>
        <v>0</v>
      </c>
      <c r="W110" s="44" t="str">
        <f>IFERROR(Esselte[[#This Row],[V. 3 meses]]/Esselte[[#This Row],[Proj. de V. 3 meses]],"")</f>
        <v/>
      </c>
      <c r="X11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0" s="39">
        <f>IFERROR(VLOOKUP(Esselte[[#This Row],[Código]],Venda_12meses[],2,FALSE),0)</f>
        <v>0</v>
      </c>
      <c r="Z110" s="44" t="str">
        <f>IFERROR(Esselte[[#This Row],[V. 12 meses]]/Esselte[[#This Row],[Proj. de V. 12 meses]],"")</f>
        <v/>
      </c>
      <c r="AA110" s="22"/>
    </row>
    <row r="111" spans="1:27" x14ac:dyDescent="0.25">
      <c r="A111" s="22" t="str">
        <f>VLOOKUP(Esselte[[#This Row],[Código]],BD_Produto[#All],7,FALSE)</f>
        <v>Não entrou em linha</v>
      </c>
      <c r="B11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1" s="23">
        <v>33063063589</v>
      </c>
      <c r="D111" s="22" t="s">
        <v>1546</v>
      </c>
      <c r="E111" s="22">
        <f>VLOOKUP(Esselte[[#This Row],[Código]],BD_Produto[],3,FALSE)</f>
        <v>0</v>
      </c>
      <c r="F111" s="22">
        <f>VLOOKUP(Esselte[[#This Row],[Código]],BD_Produto[],4,FALSE)</f>
        <v>0</v>
      </c>
      <c r="G111" s="24">
        <v>1</v>
      </c>
      <c r="H111" s="25"/>
      <c r="I111" s="22"/>
      <c r="J111" s="24"/>
      <c r="K111" s="24" t="str">
        <f>IFERROR(VLOOKUP(Esselte[[#This Row],[Código]],Importação!P:R,3,FALSE),"")</f>
        <v/>
      </c>
      <c r="L111" s="24">
        <f>IFERROR(VLOOKUP(Esselte[[#This Row],[Código]],Saldo[],3,FALSE),0)</f>
        <v>0</v>
      </c>
      <c r="M111" s="24">
        <f>SUM(Esselte[[#This Row],[Produção]:[Estoque]])</f>
        <v>0</v>
      </c>
      <c r="N111" s="24" t="str">
        <f>IFERROR(Esselte[[#This Row],[Estoque+Importação]]/Esselte[[#This Row],[Proj. de V. No prox. mes]],"Sem Projeção")</f>
        <v>Sem Projeção</v>
      </c>
      <c r="O111" s="24" t="str">
        <f>IF(OR(Esselte[[#This Row],[Status]]="Em Linha",Esselte[[#This Row],[Status]]="Componente",Esselte[[#This Row],[Status]]="Materia Prima"),Esselte[[#This Row],[Proj. de V. No prox. mes]]*10,"-")</f>
        <v>-</v>
      </c>
      <c r="P11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1" s="34">
        <f>VLOOKUP(Esselte[[#This Row],[Código]],Projeção[#All],15,FALSE)</f>
        <v>0</v>
      </c>
      <c r="R111" s="43">
        <f>VLOOKUP(Esselte[[#This Row],[Código]],Projeção[#All],14,FALSE)</f>
        <v>0</v>
      </c>
      <c r="S111" s="39">
        <f>IFERROR(VLOOKUP(Esselte[[#This Row],[Código]],Venda_mes[],2,FALSE),0)</f>
        <v>0</v>
      </c>
      <c r="T111" s="44" t="str">
        <f>IFERROR(Esselte[[#This Row],[V. No mes]]/Esselte[[#This Row],[Proj. de V. No mes]],"")</f>
        <v/>
      </c>
      <c r="U111" s="43">
        <f>VLOOKUP(Esselte[[#This Row],[Código]],Projeção[#All],14,FALSE)+VLOOKUP(Esselte[[#This Row],[Código]],Projeção[#All],13,FALSE)+VLOOKUP(Esselte[[#This Row],[Código]],Projeção[#All],12,FALSE)</f>
        <v>0</v>
      </c>
      <c r="V111" s="39">
        <f>IFERROR(VLOOKUP(Esselte[[#This Row],[Código]],Venda_3meses[],2,FALSE),0)</f>
        <v>0</v>
      </c>
      <c r="W111" s="44" t="str">
        <f>IFERROR(Esselte[[#This Row],[V. 3 meses]]/Esselte[[#This Row],[Proj. de V. 3 meses]],"")</f>
        <v/>
      </c>
      <c r="X11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1" s="39">
        <f>IFERROR(VLOOKUP(Esselte[[#This Row],[Código]],Venda_12meses[],2,FALSE),0)</f>
        <v>0</v>
      </c>
      <c r="Z111" s="44" t="str">
        <f>IFERROR(Esselte[[#This Row],[V. 12 meses]]/Esselte[[#This Row],[Proj. de V. 12 meses]],"")</f>
        <v/>
      </c>
      <c r="AA111" s="22"/>
    </row>
    <row r="112" spans="1:27" x14ac:dyDescent="0.25">
      <c r="A112" s="22" t="str">
        <f>VLOOKUP(Esselte[[#This Row],[Código]],BD_Produto[#All],7,FALSE)</f>
        <v>Não entrou em linha</v>
      </c>
      <c r="B11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2" s="23">
        <v>33063063590</v>
      </c>
      <c r="D112" s="22" t="s">
        <v>1547</v>
      </c>
      <c r="E112" s="22">
        <f>VLOOKUP(Esselte[[#This Row],[Código]],BD_Produto[],3,FALSE)</f>
        <v>0</v>
      </c>
      <c r="F112" s="22">
        <f>VLOOKUP(Esselte[[#This Row],[Código]],BD_Produto[],4,FALSE)</f>
        <v>0</v>
      </c>
      <c r="G112" s="24">
        <v>1</v>
      </c>
      <c r="H112" s="25"/>
      <c r="I112" s="22"/>
      <c r="J112" s="24"/>
      <c r="K112" s="24" t="str">
        <f>IFERROR(VLOOKUP(Esselte[[#This Row],[Código]],Importação!P:R,3,FALSE),"")</f>
        <v/>
      </c>
      <c r="L112" s="24">
        <f>IFERROR(VLOOKUP(Esselte[[#This Row],[Código]],Saldo[],3,FALSE),0)</f>
        <v>0</v>
      </c>
      <c r="M112" s="24">
        <f>SUM(Esselte[[#This Row],[Produção]:[Estoque]])</f>
        <v>0</v>
      </c>
      <c r="N112" s="24" t="str">
        <f>IFERROR(Esselte[[#This Row],[Estoque+Importação]]/Esselte[[#This Row],[Proj. de V. No prox. mes]],"Sem Projeção")</f>
        <v>Sem Projeção</v>
      </c>
      <c r="O112" s="24" t="str">
        <f>IF(OR(Esselte[[#This Row],[Status]]="Em Linha",Esselte[[#This Row],[Status]]="Componente",Esselte[[#This Row],[Status]]="Materia Prima"),Esselte[[#This Row],[Proj. de V. No prox. mes]]*10,"-")</f>
        <v>-</v>
      </c>
      <c r="P11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2" s="34">
        <f>VLOOKUP(Esselte[[#This Row],[Código]],Projeção[#All],15,FALSE)</f>
        <v>0</v>
      </c>
      <c r="R112" s="43">
        <f>VLOOKUP(Esselte[[#This Row],[Código]],Projeção[#All],14,FALSE)</f>
        <v>0</v>
      </c>
      <c r="S112" s="39">
        <f>IFERROR(VLOOKUP(Esselte[[#This Row],[Código]],Venda_mes[],2,FALSE),0)</f>
        <v>0</v>
      </c>
      <c r="T112" s="44" t="str">
        <f>IFERROR(Esselte[[#This Row],[V. No mes]]/Esselte[[#This Row],[Proj. de V. No mes]],"")</f>
        <v/>
      </c>
      <c r="U112" s="43">
        <f>VLOOKUP(Esselte[[#This Row],[Código]],Projeção[#All],14,FALSE)+VLOOKUP(Esselte[[#This Row],[Código]],Projeção[#All],13,FALSE)+VLOOKUP(Esselte[[#This Row],[Código]],Projeção[#All],12,FALSE)</f>
        <v>0</v>
      </c>
      <c r="V112" s="39">
        <f>IFERROR(VLOOKUP(Esselte[[#This Row],[Código]],Venda_3meses[],2,FALSE),0)</f>
        <v>0</v>
      </c>
      <c r="W112" s="44" t="str">
        <f>IFERROR(Esselte[[#This Row],[V. 3 meses]]/Esselte[[#This Row],[Proj. de V. 3 meses]],"")</f>
        <v/>
      </c>
      <c r="X11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2" s="39">
        <f>IFERROR(VLOOKUP(Esselte[[#This Row],[Código]],Venda_12meses[],2,FALSE),0)</f>
        <v>0</v>
      </c>
      <c r="Z112" s="44" t="str">
        <f>IFERROR(Esselte[[#This Row],[V. 12 meses]]/Esselte[[#This Row],[Proj. de V. 12 meses]],"")</f>
        <v/>
      </c>
      <c r="AA112" s="22"/>
    </row>
    <row r="113" spans="1:27" x14ac:dyDescent="0.25">
      <c r="A113" s="22" t="str">
        <f>VLOOKUP(Esselte[[#This Row],[Código]],BD_Produto[#All],7,FALSE)</f>
        <v>Não entrou em linha</v>
      </c>
      <c r="B11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3" s="23">
        <v>33063063591</v>
      </c>
      <c r="D113" s="22" t="s">
        <v>1548</v>
      </c>
      <c r="E113" s="22">
        <f>VLOOKUP(Esselte[[#This Row],[Código]],BD_Produto[],3,FALSE)</f>
        <v>0</v>
      </c>
      <c r="F113" s="22">
        <f>VLOOKUP(Esselte[[#This Row],[Código]],BD_Produto[],4,FALSE)</f>
        <v>0</v>
      </c>
      <c r="G113" s="24">
        <v>1</v>
      </c>
      <c r="H113" s="25"/>
      <c r="I113" s="22"/>
      <c r="J113" s="24"/>
      <c r="K113" s="24" t="str">
        <f>IFERROR(VLOOKUP(Esselte[[#This Row],[Código]],Importação!P:R,3,FALSE),"")</f>
        <v/>
      </c>
      <c r="L113" s="24">
        <f>IFERROR(VLOOKUP(Esselte[[#This Row],[Código]],Saldo[],3,FALSE),0)</f>
        <v>0</v>
      </c>
      <c r="M113" s="24">
        <f>SUM(Esselte[[#This Row],[Produção]:[Estoque]])</f>
        <v>0</v>
      </c>
      <c r="N113" s="24" t="str">
        <f>IFERROR(Esselte[[#This Row],[Estoque+Importação]]/Esselte[[#This Row],[Proj. de V. No prox. mes]],"Sem Projeção")</f>
        <v>Sem Projeção</v>
      </c>
      <c r="O113" s="24" t="str">
        <f>IF(OR(Esselte[[#This Row],[Status]]="Em Linha",Esselte[[#This Row],[Status]]="Componente",Esselte[[#This Row],[Status]]="Materia Prima"),Esselte[[#This Row],[Proj. de V. No prox. mes]]*10,"-")</f>
        <v>-</v>
      </c>
      <c r="P11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3" s="34">
        <f>VLOOKUP(Esselte[[#This Row],[Código]],Projeção[#All],15,FALSE)</f>
        <v>0</v>
      </c>
      <c r="R113" s="43">
        <f>VLOOKUP(Esselte[[#This Row],[Código]],Projeção[#All],14,FALSE)</f>
        <v>0</v>
      </c>
      <c r="S113" s="39">
        <f>IFERROR(VLOOKUP(Esselte[[#This Row],[Código]],Venda_mes[],2,FALSE),0)</f>
        <v>0</v>
      </c>
      <c r="T113" s="44" t="str">
        <f>IFERROR(Esselte[[#This Row],[V. No mes]]/Esselte[[#This Row],[Proj. de V. No mes]],"")</f>
        <v/>
      </c>
      <c r="U113" s="43">
        <f>VLOOKUP(Esselte[[#This Row],[Código]],Projeção[#All],14,FALSE)+VLOOKUP(Esselte[[#This Row],[Código]],Projeção[#All],13,FALSE)+VLOOKUP(Esselte[[#This Row],[Código]],Projeção[#All],12,FALSE)</f>
        <v>0</v>
      </c>
      <c r="V113" s="39">
        <f>IFERROR(VLOOKUP(Esselte[[#This Row],[Código]],Venda_3meses[],2,FALSE),0)</f>
        <v>0</v>
      </c>
      <c r="W113" s="44" t="str">
        <f>IFERROR(Esselte[[#This Row],[V. 3 meses]]/Esselte[[#This Row],[Proj. de V. 3 meses]],"")</f>
        <v/>
      </c>
      <c r="X11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3" s="39">
        <f>IFERROR(VLOOKUP(Esselte[[#This Row],[Código]],Venda_12meses[],2,FALSE),0)</f>
        <v>0</v>
      </c>
      <c r="Z113" s="44" t="str">
        <f>IFERROR(Esselte[[#This Row],[V. 12 meses]]/Esselte[[#This Row],[Proj. de V. 12 meses]],"")</f>
        <v/>
      </c>
      <c r="AA113" s="22"/>
    </row>
    <row r="114" spans="1:27" x14ac:dyDescent="0.25">
      <c r="A114" s="22" t="str">
        <f>VLOOKUP(Esselte[[#This Row],[Código]],BD_Produto[#All],7,FALSE)</f>
        <v>Não entrou em linha</v>
      </c>
      <c r="B11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4" s="23">
        <v>33063063592</v>
      </c>
      <c r="D114" s="22" t="s">
        <v>1549</v>
      </c>
      <c r="E114" s="22">
        <f>VLOOKUP(Esselte[[#This Row],[Código]],BD_Produto[],3,FALSE)</f>
        <v>0</v>
      </c>
      <c r="F114" s="22">
        <f>VLOOKUP(Esselte[[#This Row],[Código]],BD_Produto[],4,FALSE)</f>
        <v>0</v>
      </c>
      <c r="G114" s="24">
        <v>1</v>
      </c>
      <c r="H114" s="25"/>
      <c r="I114" s="22"/>
      <c r="J114" s="24"/>
      <c r="K114" s="24" t="str">
        <f>IFERROR(VLOOKUP(Esselte[[#This Row],[Código]],Importação!P:R,3,FALSE),"")</f>
        <v/>
      </c>
      <c r="L114" s="24">
        <f>IFERROR(VLOOKUP(Esselte[[#This Row],[Código]],Saldo[],3,FALSE),0)</f>
        <v>0</v>
      </c>
      <c r="M114" s="24">
        <f>SUM(Esselte[[#This Row],[Produção]:[Estoque]])</f>
        <v>0</v>
      </c>
      <c r="N114" s="24" t="str">
        <f>IFERROR(Esselte[[#This Row],[Estoque+Importação]]/Esselte[[#This Row],[Proj. de V. No prox. mes]],"Sem Projeção")</f>
        <v>Sem Projeção</v>
      </c>
      <c r="O114" s="24" t="str">
        <f>IF(OR(Esselte[[#This Row],[Status]]="Em Linha",Esselte[[#This Row],[Status]]="Componente",Esselte[[#This Row],[Status]]="Materia Prima"),Esselte[[#This Row],[Proj. de V. No prox. mes]]*10,"-")</f>
        <v>-</v>
      </c>
      <c r="P11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4" s="34">
        <f>VLOOKUP(Esselte[[#This Row],[Código]],Projeção[#All],15,FALSE)</f>
        <v>0</v>
      </c>
      <c r="R114" s="43">
        <f>VLOOKUP(Esselte[[#This Row],[Código]],Projeção[#All],14,FALSE)</f>
        <v>0</v>
      </c>
      <c r="S114" s="39">
        <f>IFERROR(VLOOKUP(Esselte[[#This Row],[Código]],Venda_mes[],2,FALSE),0)</f>
        <v>0</v>
      </c>
      <c r="T114" s="44" t="str">
        <f>IFERROR(Esselte[[#This Row],[V. No mes]]/Esselte[[#This Row],[Proj. de V. No mes]],"")</f>
        <v/>
      </c>
      <c r="U114" s="43">
        <f>VLOOKUP(Esselte[[#This Row],[Código]],Projeção[#All],14,FALSE)+VLOOKUP(Esselte[[#This Row],[Código]],Projeção[#All],13,FALSE)+VLOOKUP(Esselte[[#This Row],[Código]],Projeção[#All],12,FALSE)</f>
        <v>0</v>
      </c>
      <c r="V114" s="39">
        <f>IFERROR(VLOOKUP(Esselte[[#This Row],[Código]],Venda_3meses[],2,FALSE),0)</f>
        <v>0</v>
      </c>
      <c r="W114" s="44" t="str">
        <f>IFERROR(Esselte[[#This Row],[V. 3 meses]]/Esselte[[#This Row],[Proj. de V. 3 meses]],"")</f>
        <v/>
      </c>
      <c r="X11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4" s="39">
        <f>IFERROR(VLOOKUP(Esselte[[#This Row],[Código]],Venda_12meses[],2,FALSE),0)</f>
        <v>0</v>
      </c>
      <c r="Z114" s="44" t="str">
        <f>IFERROR(Esselte[[#This Row],[V. 12 meses]]/Esselte[[#This Row],[Proj. de V. 12 meses]],"")</f>
        <v/>
      </c>
      <c r="AA114" s="22"/>
    </row>
    <row r="115" spans="1:27" x14ac:dyDescent="0.25">
      <c r="A115" s="22" t="str">
        <f>VLOOKUP(Esselte[[#This Row],[Código]],BD_Produto[#All],7,FALSE)</f>
        <v>Não entrou em linha</v>
      </c>
      <c r="B11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5" s="23">
        <v>33063063593</v>
      </c>
      <c r="D115" s="22" t="s">
        <v>1550</v>
      </c>
      <c r="E115" s="22">
        <f>VLOOKUP(Esselte[[#This Row],[Código]],BD_Produto[],3,FALSE)</f>
        <v>0</v>
      </c>
      <c r="F115" s="22">
        <f>VLOOKUP(Esselte[[#This Row],[Código]],BD_Produto[],4,FALSE)</f>
        <v>0</v>
      </c>
      <c r="G115" s="24">
        <v>1</v>
      </c>
      <c r="H115" s="25"/>
      <c r="I115" s="22"/>
      <c r="J115" s="24"/>
      <c r="K115" s="24" t="str">
        <f>IFERROR(VLOOKUP(Esselte[[#This Row],[Código]],Importação!P:R,3,FALSE),"")</f>
        <v/>
      </c>
      <c r="L115" s="24">
        <f>IFERROR(VLOOKUP(Esselte[[#This Row],[Código]],Saldo[],3,FALSE),0)</f>
        <v>0</v>
      </c>
      <c r="M115" s="24">
        <f>SUM(Esselte[[#This Row],[Produção]:[Estoque]])</f>
        <v>0</v>
      </c>
      <c r="N115" s="24" t="str">
        <f>IFERROR(Esselte[[#This Row],[Estoque+Importação]]/Esselte[[#This Row],[Proj. de V. No prox. mes]],"Sem Projeção")</f>
        <v>Sem Projeção</v>
      </c>
      <c r="O115" s="24" t="str">
        <f>IF(OR(Esselte[[#This Row],[Status]]="Em Linha",Esselte[[#This Row],[Status]]="Componente",Esselte[[#This Row],[Status]]="Materia Prima"),Esselte[[#This Row],[Proj. de V. No prox. mes]]*10,"-")</f>
        <v>-</v>
      </c>
      <c r="P11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5" s="34">
        <f>VLOOKUP(Esselte[[#This Row],[Código]],Projeção[#All],15,FALSE)</f>
        <v>0</v>
      </c>
      <c r="R115" s="43">
        <f>VLOOKUP(Esselte[[#This Row],[Código]],Projeção[#All],14,FALSE)</f>
        <v>0</v>
      </c>
      <c r="S115" s="39">
        <f>IFERROR(VLOOKUP(Esselte[[#This Row],[Código]],Venda_mes[],2,FALSE),0)</f>
        <v>0</v>
      </c>
      <c r="T115" s="44" t="str">
        <f>IFERROR(Esselte[[#This Row],[V. No mes]]/Esselte[[#This Row],[Proj. de V. No mes]],"")</f>
        <v/>
      </c>
      <c r="U115" s="43">
        <f>VLOOKUP(Esselte[[#This Row],[Código]],Projeção[#All],14,FALSE)+VLOOKUP(Esselte[[#This Row],[Código]],Projeção[#All],13,FALSE)+VLOOKUP(Esselte[[#This Row],[Código]],Projeção[#All],12,FALSE)</f>
        <v>0</v>
      </c>
      <c r="V115" s="39">
        <f>IFERROR(VLOOKUP(Esselte[[#This Row],[Código]],Venda_3meses[],2,FALSE),0)</f>
        <v>0</v>
      </c>
      <c r="W115" s="44" t="str">
        <f>IFERROR(Esselte[[#This Row],[V. 3 meses]]/Esselte[[#This Row],[Proj. de V. 3 meses]],"")</f>
        <v/>
      </c>
      <c r="X11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5" s="39">
        <f>IFERROR(VLOOKUP(Esselte[[#This Row],[Código]],Venda_12meses[],2,FALSE),0)</f>
        <v>0</v>
      </c>
      <c r="Z115" s="44" t="str">
        <f>IFERROR(Esselte[[#This Row],[V. 12 meses]]/Esselte[[#This Row],[Proj. de V. 12 meses]],"")</f>
        <v/>
      </c>
      <c r="AA115" s="22"/>
    </row>
    <row r="116" spans="1:27" x14ac:dyDescent="0.25">
      <c r="A116" s="22" t="str">
        <f>VLOOKUP(Esselte[[#This Row],[Código]],BD_Produto[#All],7,FALSE)</f>
        <v>Não entrou em linha</v>
      </c>
      <c r="B11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6" s="23">
        <v>33063063594</v>
      </c>
      <c r="D116" s="22" t="s">
        <v>1551</v>
      </c>
      <c r="E116" s="22">
        <f>VLOOKUP(Esselte[[#This Row],[Código]],BD_Produto[],3,FALSE)</f>
        <v>0</v>
      </c>
      <c r="F116" s="22">
        <f>VLOOKUP(Esselte[[#This Row],[Código]],BD_Produto[],4,FALSE)</f>
        <v>0</v>
      </c>
      <c r="G116" s="24">
        <v>1</v>
      </c>
      <c r="H116" s="25"/>
      <c r="I116" s="22"/>
      <c r="J116" s="24"/>
      <c r="K116" s="24" t="str">
        <f>IFERROR(VLOOKUP(Esselte[[#This Row],[Código]],Importação!P:R,3,FALSE),"")</f>
        <v/>
      </c>
      <c r="L116" s="24">
        <f>IFERROR(VLOOKUP(Esselte[[#This Row],[Código]],Saldo[],3,FALSE),0)</f>
        <v>0</v>
      </c>
      <c r="M116" s="24">
        <f>SUM(Esselte[[#This Row],[Produção]:[Estoque]])</f>
        <v>0</v>
      </c>
      <c r="N116" s="24" t="str">
        <f>IFERROR(Esselte[[#This Row],[Estoque+Importação]]/Esselte[[#This Row],[Proj. de V. No prox. mes]],"Sem Projeção")</f>
        <v>Sem Projeção</v>
      </c>
      <c r="O116" s="24" t="str">
        <f>IF(OR(Esselte[[#This Row],[Status]]="Em Linha",Esselte[[#This Row],[Status]]="Componente",Esselte[[#This Row],[Status]]="Materia Prima"),Esselte[[#This Row],[Proj. de V. No prox. mes]]*10,"-")</f>
        <v>-</v>
      </c>
      <c r="P11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6" s="34">
        <f>VLOOKUP(Esselte[[#This Row],[Código]],Projeção[#All],15,FALSE)</f>
        <v>0</v>
      </c>
      <c r="R116" s="43">
        <f>VLOOKUP(Esselte[[#This Row],[Código]],Projeção[#All],14,FALSE)</f>
        <v>0</v>
      </c>
      <c r="S116" s="39">
        <f>IFERROR(VLOOKUP(Esselte[[#This Row],[Código]],Venda_mes[],2,FALSE),0)</f>
        <v>0</v>
      </c>
      <c r="T116" s="44" t="str">
        <f>IFERROR(Esselte[[#This Row],[V. No mes]]/Esselte[[#This Row],[Proj. de V. No mes]],"")</f>
        <v/>
      </c>
      <c r="U116" s="43">
        <f>VLOOKUP(Esselte[[#This Row],[Código]],Projeção[#All],14,FALSE)+VLOOKUP(Esselte[[#This Row],[Código]],Projeção[#All],13,FALSE)+VLOOKUP(Esselte[[#This Row],[Código]],Projeção[#All],12,FALSE)</f>
        <v>0</v>
      </c>
      <c r="V116" s="39">
        <f>IFERROR(VLOOKUP(Esselte[[#This Row],[Código]],Venda_3meses[],2,FALSE),0)</f>
        <v>0</v>
      </c>
      <c r="W116" s="44" t="str">
        <f>IFERROR(Esselte[[#This Row],[V. 3 meses]]/Esselte[[#This Row],[Proj. de V. 3 meses]],"")</f>
        <v/>
      </c>
      <c r="X11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6" s="39">
        <f>IFERROR(VLOOKUP(Esselte[[#This Row],[Código]],Venda_12meses[],2,FALSE),0)</f>
        <v>0</v>
      </c>
      <c r="Z116" s="44" t="str">
        <f>IFERROR(Esselte[[#This Row],[V. 12 meses]]/Esselte[[#This Row],[Proj. de V. 12 meses]],"")</f>
        <v/>
      </c>
      <c r="AA116" s="22"/>
    </row>
    <row r="117" spans="1:27" x14ac:dyDescent="0.25">
      <c r="A117" s="22" t="str">
        <f>VLOOKUP(Esselte[[#This Row],[Código]],BD_Produto[#All],7,FALSE)</f>
        <v>Não entrou em linha</v>
      </c>
      <c r="B11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7" s="23">
        <v>33063063595</v>
      </c>
      <c r="D117" s="22" t="s">
        <v>1552</v>
      </c>
      <c r="E117" s="22">
        <f>VLOOKUP(Esselte[[#This Row],[Código]],BD_Produto[],3,FALSE)</f>
        <v>0</v>
      </c>
      <c r="F117" s="22">
        <f>VLOOKUP(Esselte[[#This Row],[Código]],BD_Produto[],4,FALSE)</f>
        <v>0</v>
      </c>
      <c r="G117" s="24">
        <v>1</v>
      </c>
      <c r="H117" s="25"/>
      <c r="I117" s="22"/>
      <c r="J117" s="24"/>
      <c r="K117" s="24" t="str">
        <f>IFERROR(VLOOKUP(Esselte[[#This Row],[Código]],Importação!P:R,3,FALSE),"")</f>
        <v/>
      </c>
      <c r="L117" s="24">
        <f>IFERROR(VLOOKUP(Esselte[[#This Row],[Código]],Saldo[],3,FALSE),0)</f>
        <v>0</v>
      </c>
      <c r="M117" s="24">
        <f>SUM(Esselte[[#This Row],[Produção]:[Estoque]])</f>
        <v>0</v>
      </c>
      <c r="N117" s="24" t="str">
        <f>IFERROR(Esselte[[#This Row],[Estoque+Importação]]/Esselte[[#This Row],[Proj. de V. No prox. mes]],"Sem Projeção")</f>
        <v>Sem Projeção</v>
      </c>
      <c r="O117" s="24" t="str">
        <f>IF(OR(Esselte[[#This Row],[Status]]="Em Linha",Esselte[[#This Row],[Status]]="Componente",Esselte[[#This Row],[Status]]="Materia Prima"),Esselte[[#This Row],[Proj. de V. No prox. mes]]*10,"-")</f>
        <v>-</v>
      </c>
      <c r="P11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7" s="34">
        <f>VLOOKUP(Esselte[[#This Row],[Código]],Projeção[#All],15,FALSE)</f>
        <v>0</v>
      </c>
      <c r="R117" s="43">
        <f>VLOOKUP(Esselte[[#This Row],[Código]],Projeção[#All],14,FALSE)</f>
        <v>0</v>
      </c>
      <c r="S117" s="39">
        <f>IFERROR(VLOOKUP(Esselte[[#This Row],[Código]],Venda_mes[],2,FALSE),0)</f>
        <v>0</v>
      </c>
      <c r="T117" s="44" t="str">
        <f>IFERROR(Esselte[[#This Row],[V. No mes]]/Esselte[[#This Row],[Proj. de V. No mes]],"")</f>
        <v/>
      </c>
      <c r="U117" s="43">
        <f>VLOOKUP(Esselte[[#This Row],[Código]],Projeção[#All],14,FALSE)+VLOOKUP(Esselte[[#This Row],[Código]],Projeção[#All],13,FALSE)+VLOOKUP(Esselte[[#This Row],[Código]],Projeção[#All],12,FALSE)</f>
        <v>0</v>
      </c>
      <c r="V117" s="39">
        <f>IFERROR(VLOOKUP(Esselte[[#This Row],[Código]],Venda_3meses[],2,FALSE),0)</f>
        <v>0</v>
      </c>
      <c r="W117" s="44" t="str">
        <f>IFERROR(Esselte[[#This Row],[V. 3 meses]]/Esselte[[#This Row],[Proj. de V. 3 meses]],"")</f>
        <v/>
      </c>
      <c r="X11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7" s="39">
        <f>IFERROR(VLOOKUP(Esselte[[#This Row],[Código]],Venda_12meses[],2,FALSE),0)</f>
        <v>0</v>
      </c>
      <c r="Z117" s="44" t="str">
        <f>IFERROR(Esselte[[#This Row],[V. 12 meses]]/Esselte[[#This Row],[Proj. de V. 12 meses]],"")</f>
        <v/>
      </c>
      <c r="AA117" s="22"/>
    </row>
    <row r="118" spans="1:27" x14ac:dyDescent="0.25">
      <c r="A118" s="22" t="str">
        <f>VLOOKUP(Esselte[[#This Row],[Código]],BD_Produto[#All],7,FALSE)</f>
        <v>Não entrou em linha</v>
      </c>
      <c r="B11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8" s="23">
        <v>33063063596</v>
      </c>
      <c r="D118" s="22" t="s">
        <v>1553</v>
      </c>
      <c r="E118" s="22">
        <f>VLOOKUP(Esselte[[#This Row],[Código]],BD_Produto[],3,FALSE)</f>
        <v>0</v>
      </c>
      <c r="F118" s="22">
        <f>VLOOKUP(Esselte[[#This Row],[Código]],BD_Produto[],4,FALSE)</f>
        <v>0</v>
      </c>
      <c r="G118" s="24">
        <v>1</v>
      </c>
      <c r="H118" s="25"/>
      <c r="I118" s="22"/>
      <c r="J118" s="24"/>
      <c r="K118" s="24" t="str">
        <f>IFERROR(VLOOKUP(Esselte[[#This Row],[Código]],Importação!P:R,3,FALSE),"")</f>
        <v/>
      </c>
      <c r="L118" s="24">
        <f>IFERROR(VLOOKUP(Esselte[[#This Row],[Código]],Saldo[],3,FALSE),0)</f>
        <v>0</v>
      </c>
      <c r="M118" s="24">
        <f>SUM(Esselte[[#This Row],[Produção]:[Estoque]])</f>
        <v>0</v>
      </c>
      <c r="N118" s="24" t="str">
        <f>IFERROR(Esselte[[#This Row],[Estoque+Importação]]/Esselte[[#This Row],[Proj. de V. No prox. mes]],"Sem Projeção")</f>
        <v>Sem Projeção</v>
      </c>
      <c r="O118" s="24" t="str">
        <f>IF(OR(Esselte[[#This Row],[Status]]="Em Linha",Esselte[[#This Row],[Status]]="Componente",Esselte[[#This Row],[Status]]="Materia Prima"),Esselte[[#This Row],[Proj. de V. No prox. mes]]*10,"-")</f>
        <v>-</v>
      </c>
      <c r="P11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8" s="34">
        <f>VLOOKUP(Esselte[[#This Row],[Código]],Projeção[#All],15,FALSE)</f>
        <v>0</v>
      </c>
      <c r="R118" s="43">
        <f>VLOOKUP(Esselte[[#This Row],[Código]],Projeção[#All],14,FALSE)</f>
        <v>0</v>
      </c>
      <c r="S118" s="39">
        <f>IFERROR(VLOOKUP(Esselte[[#This Row],[Código]],Venda_mes[],2,FALSE),0)</f>
        <v>0</v>
      </c>
      <c r="T118" s="44" t="str">
        <f>IFERROR(Esselte[[#This Row],[V. No mes]]/Esselte[[#This Row],[Proj. de V. No mes]],"")</f>
        <v/>
      </c>
      <c r="U118" s="43">
        <f>VLOOKUP(Esselte[[#This Row],[Código]],Projeção[#All],14,FALSE)+VLOOKUP(Esselte[[#This Row],[Código]],Projeção[#All],13,FALSE)+VLOOKUP(Esselte[[#This Row],[Código]],Projeção[#All],12,FALSE)</f>
        <v>0</v>
      </c>
      <c r="V118" s="39">
        <f>IFERROR(VLOOKUP(Esselte[[#This Row],[Código]],Venda_3meses[],2,FALSE),0)</f>
        <v>0</v>
      </c>
      <c r="W118" s="44" t="str">
        <f>IFERROR(Esselte[[#This Row],[V. 3 meses]]/Esselte[[#This Row],[Proj. de V. 3 meses]],"")</f>
        <v/>
      </c>
      <c r="X11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8" s="39">
        <f>IFERROR(VLOOKUP(Esselte[[#This Row],[Código]],Venda_12meses[],2,FALSE),0)</f>
        <v>0</v>
      </c>
      <c r="Z118" s="44" t="str">
        <f>IFERROR(Esselte[[#This Row],[V. 12 meses]]/Esselte[[#This Row],[Proj. de V. 12 meses]],"")</f>
        <v/>
      </c>
      <c r="AA118" s="22"/>
    </row>
    <row r="119" spans="1:27" x14ac:dyDescent="0.25">
      <c r="A119" s="22" t="str">
        <f>VLOOKUP(Esselte[[#This Row],[Código]],BD_Produto[#All],7,FALSE)</f>
        <v>Não entrou em linha</v>
      </c>
      <c r="B11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19" s="23">
        <v>33063063597</v>
      </c>
      <c r="D119" s="22" t="s">
        <v>1554</v>
      </c>
      <c r="E119" s="22">
        <f>VLOOKUP(Esselte[[#This Row],[Código]],BD_Produto[],3,FALSE)</f>
        <v>0</v>
      </c>
      <c r="F119" s="22">
        <f>VLOOKUP(Esselte[[#This Row],[Código]],BD_Produto[],4,FALSE)</f>
        <v>0</v>
      </c>
      <c r="G119" s="24">
        <v>1</v>
      </c>
      <c r="H119" s="25"/>
      <c r="I119" s="22"/>
      <c r="J119" s="24"/>
      <c r="K119" s="24" t="str">
        <f>IFERROR(VLOOKUP(Esselte[[#This Row],[Código]],Importação!P:R,3,FALSE),"")</f>
        <v/>
      </c>
      <c r="L119" s="24">
        <f>IFERROR(VLOOKUP(Esselte[[#This Row],[Código]],Saldo[],3,FALSE),0)</f>
        <v>0</v>
      </c>
      <c r="M119" s="24">
        <f>SUM(Esselte[[#This Row],[Produção]:[Estoque]])</f>
        <v>0</v>
      </c>
      <c r="N119" s="24" t="str">
        <f>IFERROR(Esselte[[#This Row],[Estoque+Importação]]/Esselte[[#This Row],[Proj. de V. No prox. mes]],"Sem Projeção")</f>
        <v>Sem Projeção</v>
      </c>
      <c r="O119" s="24" t="str">
        <f>IF(OR(Esselte[[#This Row],[Status]]="Em Linha",Esselte[[#This Row],[Status]]="Componente",Esselte[[#This Row],[Status]]="Materia Prima"),Esselte[[#This Row],[Proj. de V. No prox. mes]]*10,"-")</f>
        <v>-</v>
      </c>
      <c r="P11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19" s="34">
        <f>VLOOKUP(Esselte[[#This Row],[Código]],Projeção[#All],15,FALSE)</f>
        <v>0</v>
      </c>
      <c r="R119" s="43">
        <f>VLOOKUP(Esselte[[#This Row],[Código]],Projeção[#All],14,FALSE)</f>
        <v>0</v>
      </c>
      <c r="S119" s="39">
        <f>IFERROR(VLOOKUP(Esselte[[#This Row],[Código]],Venda_mes[],2,FALSE),0)</f>
        <v>0</v>
      </c>
      <c r="T119" s="44" t="str">
        <f>IFERROR(Esselte[[#This Row],[V. No mes]]/Esselte[[#This Row],[Proj. de V. No mes]],"")</f>
        <v/>
      </c>
      <c r="U119" s="43">
        <f>VLOOKUP(Esselte[[#This Row],[Código]],Projeção[#All],14,FALSE)+VLOOKUP(Esselte[[#This Row],[Código]],Projeção[#All],13,FALSE)+VLOOKUP(Esselte[[#This Row],[Código]],Projeção[#All],12,FALSE)</f>
        <v>0</v>
      </c>
      <c r="V119" s="39">
        <f>IFERROR(VLOOKUP(Esselte[[#This Row],[Código]],Venda_3meses[],2,FALSE),0)</f>
        <v>0</v>
      </c>
      <c r="W119" s="44" t="str">
        <f>IFERROR(Esselte[[#This Row],[V. 3 meses]]/Esselte[[#This Row],[Proj. de V. 3 meses]],"")</f>
        <v/>
      </c>
      <c r="X11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19" s="39">
        <f>IFERROR(VLOOKUP(Esselte[[#This Row],[Código]],Venda_12meses[],2,FALSE),0)</f>
        <v>0</v>
      </c>
      <c r="Z119" s="44" t="str">
        <f>IFERROR(Esselte[[#This Row],[V. 12 meses]]/Esselte[[#This Row],[Proj. de V. 12 meses]],"")</f>
        <v/>
      </c>
      <c r="AA119" s="22"/>
    </row>
    <row r="120" spans="1:27" x14ac:dyDescent="0.25">
      <c r="A120" s="22" t="str">
        <f>VLOOKUP(Esselte[[#This Row],[Código]],BD_Produto[#All],7,FALSE)</f>
        <v>Não entrou em linha</v>
      </c>
      <c r="B12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0" s="23">
        <v>33063063598</v>
      </c>
      <c r="D120" s="22" t="s">
        <v>1555</v>
      </c>
      <c r="E120" s="22">
        <f>VLOOKUP(Esselte[[#This Row],[Código]],BD_Produto[],3,FALSE)</f>
        <v>0</v>
      </c>
      <c r="F120" s="22">
        <f>VLOOKUP(Esselte[[#This Row],[Código]],BD_Produto[],4,FALSE)</f>
        <v>0</v>
      </c>
      <c r="G120" s="24">
        <v>1</v>
      </c>
      <c r="H120" s="25"/>
      <c r="I120" s="22"/>
      <c r="J120" s="24"/>
      <c r="K120" s="24" t="str">
        <f>IFERROR(VLOOKUP(Esselte[[#This Row],[Código]],Importação!P:R,3,FALSE),"")</f>
        <v/>
      </c>
      <c r="L120" s="24">
        <f>IFERROR(VLOOKUP(Esselte[[#This Row],[Código]],Saldo[],3,FALSE),0)</f>
        <v>0</v>
      </c>
      <c r="M120" s="24">
        <f>SUM(Esselte[[#This Row],[Produção]:[Estoque]])</f>
        <v>0</v>
      </c>
      <c r="N120" s="24" t="str">
        <f>IFERROR(Esselte[[#This Row],[Estoque+Importação]]/Esselte[[#This Row],[Proj. de V. No prox. mes]],"Sem Projeção")</f>
        <v>Sem Projeção</v>
      </c>
      <c r="O120" s="24" t="str">
        <f>IF(OR(Esselte[[#This Row],[Status]]="Em Linha",Esselte[[#This Row],[Status]]="Componente",Esselte[[#This Row],[Status]]="Materia Prima"),Esselte[[#This Row],[Proj. de V. No prox. mes]]*10,"-")</f>
        <v>-</v>
      </c>
      <c r="P12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0" s="34">
        <f>VLOOKUP(Esselte[[#This Row],[Código]],Projeção[#All],15,FALSE)</f>
        <v>0</v>
      </c>
      <c r="R120" s="43">
        <f>VLOOKUP(Esselte[[#This Row],[Código]],Projeção[#All],14,FALSE)</f>
        <v>0</v>
      </c>
      <c r="S120" s="39">
        <f>IFERROR(VLOOKUP(Esselte[[#This Row],[Código]],Venda_mes[],2,FALSE),0)</f>
        <v>0</v>
      </c>
      <c r="T120" s="44" t="str">
        <f>IFERROR(Esselte[[#This Row],[V. No mes]]/Esselte[[#This Row],[Proj. de V. No mes]],"")</f>
        <v/>
      </c>
      <c r="U120" s="43">
        <f>VLOOKUP(Esselte[[#This Row],[Código]],Projeção[#All],14,FALSE)+VLOOKUP(Esselte[[#This Row],[Código]],Projeção[#All],13,FALSE)+VLOOKUP(Esselte[[#This Row],[Código]],Projeção[#All],12,FALSE)</f>
        <v>0</v>
      </c>
      <c r="V120" s="39">
        <f>IFERROR(VLOOKUP(Esselte[[#This Row],[Código]],Venda_3meses[],2,FALSE),0)</f>
        <v>0</v>
      </c>
      <c r="W120" s="44" t="str">
        <f>IFERROR(Esselte[[#This Row],[V. 3 meses]]/Esselte[[#This Row],[Proj. de V. 3 meses]],"")</f>
        <v/>
      </c>
      <c r="X12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0" s="39">
        <f>IFERROR(VLOOKUP(Esselte[[#This Row],[Código]],Venda_12meses[],2,FALSE),0)</f>
        <v>0</v>
      </c>
      <c r="Z120" s="44" t="str">
        <f>IFERROR(Esselte[[#This Row],[V. 12 meses]]/Esselte[[#This Row],[Proj. de V. 12 meses]],"")</f>
        <v/>
      </c>
      <c r="AA120" s="22"/>
    </row>
    <row r="121" spans="1:27" x14ac:dyDescent="0.25">
      <c r="A121" s="22" t="str">
        <f>VLOOKUP(Esselte[[#This Row],[Código]],BD_Produto[#All],7,FALSE)</f>
        <v>Não entrou em linha</v>
      </c>
      <c r="B12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1" s="23">
        <v>33063063599</v>
      </c>
      <c r="D121" s="22" t="s">
        <v>1556</v>
      </c>
      <c r="E121" s="22">
        <f>VLOOKUP(Esselte[[#This Row],[Código]],BD_Produto[],3,FALSE)</f>
        <v>0</v>
      </c>
      <c r="F121" s="22">
        <f>VLOOKUP(Esselte[[#This Row],[Código]],BD_Produto[],4,FALSE)</f>
        <v>0</v>
      </c>
      <c r="G121" s="24">
        <v>1</v>
      </c>
      <c r="H121" s="25"/>
      <c r="I121" s="22"/>
      <c r="J121" s="24"/>
      <c r="K121" s="24" t="str">
        <f>IFERROR(VLOOKUP(Esselte[[#This Row],[Código]],Importação!P:R,3,FALSE),"")</f>
        <v/>
      </c>
      <c r="L121" s="24">
        <f>IFERROR(VLOOKUP(Esselte[[#This Row],[Código]],Saldo[],3,FALSE),0)</f>
        <v>0</v>
      </c>
      <c r="M121" s="24">
        <f>SUM(Esselte[[#This Row],[Produção]:[Estoque]])</f>
        <v>0</v>
      </c>
      <c r="N121" s="24" t="str">
        <f>IFERROR(Esselte[[#This Row],[Estoque+Importação]]/Esselte[[#This Row],[Proj. de V. No prox. mes]],"Sem Projeção")</f>
        <v>Sem Projeção</v>
      </c>
      <c r="O121" s="24" t="str">
        <f>IF(OR(Esselte[[#This Row],[Status]]="Em Linha",Esselte[[#This Row],[Status]]="Componente",Esselte[[#This Row],[Status]]="Materia Prima"),Esselte[[#This Row],[Proj. de V. No prox. mes]]*10,"-")</f>
        <v>-</v>
      </c>
      <c r="P12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1" s="34">
        <f>VLOOKUP(Esselte[[#This Row],[Código]],Projeção[#All],15,FALSE)</f>
        <v>0</v>
      </c>
      <c r="R121" s="43">
        <f>VLOOKUP(Esselte[[#This Row],[Código]],Projeção[#All],14,FALSE)</f>
        <v>0</v>
      </c>
      <c r="S121" s="39">
        <f>IFERROR(VLOOKUP(Esselte[[#This Row],[Código]],Venda_mes[],2,FALSE),0)</f>
        <v>0</v>
      </c>
      <c r="T121" s="44" t="str">
        <f>IFERROR(Esselte[[#This Row],[V. No mes]]/Esselte[[#This Row],[Proj. de V. No mes]],"")</f>
        <v/>
      </c>
      <c r="U121" s="43">
        <f>VLOOKUP(Esselte[[#This Row],[Código]],Projeção[#All],14,FALSE)+VLOOKUP(Esselte[[#This Row],[Código]],Projeção[#All],13,FALSE)+VLOOKUP(Esselte[[#This Row],[Código]],Projeção[#All],12,FALSE)</f>
        <v>0</v>
      </c>
      <c r="V121" s="39">
        <f>IFERROR(VLOOKUP(Esselte[[#This Row],[Código]],Venda_3meses[],2,FALSE),0)</f>
        <v>0</v>
      </c>
      <c r="W121" s="44" t="str">
        <f>IFERROR(Esselte[[#This Row],[V. 3 meses]]/Esselte[[#This Row],[Proj. de V. 3 meses]],"")</f>
        <v/>
      </c>
      <c r="X12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1" s="39">
        <f>IFERROR(VLOOKUP(Esselte[[#This Row],[Código]],Venda_12meses[],2,FALSE),0)</f>
        <v>0</v>
      </c>
      <c r="Z121" s="44" t="str">
        <f>IFERROR(Esselte[[#This Row],[V. 12 meses]]/Esselte[[#This Row],[Proj. de V. 12 meses]],"")</f>
        <v/>
      </c>
      <c r="AA121" s="22"/>
    </row>
    <row r="122" spans="1:27" x14ac:dyDescent="0.25">
      <c r="A122" s="22" t="str">
        <f>VLOOKUP(Esselte[[#This Row],[Código]],BD_Produto[#All],7,FALSE)</f>
        <v>Não entrou em linha</v>
      </c>
      <c r="B12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2" s="23">
        <v>33063063600</v>
      </c>
      <c r="D122" s="22" t="s">
        <v>1557</v>
      </c>
      <c r="E122" s="22">
        <f>VLOOKUP(Esselte[[#This Row],[Código]],BD_Produto[],3,FALSE)</f>
        <v>0</v>
      </c>
      <c r="F122" s="22">
        <f>VLOOKUP(Esselte[[#This Row],[Código]],BD_Produto[],4,FALSE)</f>
        <v>0</v>
      </c>
      <c r="G122" s="24">
        <v>1</v>
      </c>
      <c r="H122" s="25"/>
      <c r="I122" s="22"/>
      <c r="J122" s="24"/>
      <c r="K122" s="24" t="str">
        <f>IFERROR(VLOOKUP(Esselte[[#This Row],[Código]],Importação!P:R,3,FALSE),"")</f>
        <v/>
      </c>
      <c r="L122" s="24">
        <f>IFERROR(VLOOKUP(Esselte[[#This Row],[Código]],Saldo[],3,FALSE),0)</f>
        <v>0</v>
      </c>
      <c r="M122" s="24">
        <f>SUM(Esselte[[#This Row],[Produção]:[Estoque]])</f>
        <v>0</v>
      </c>
      <c r="N122" s="24" t="str">
        <f>IFERROR(Esselte[[#This Row],[Estoque+Importação]]/Esselte[[#This Row],[Proj. de V. No prox. mes]],"Sem Projeção")</f>
        <v>Sem Projeção</v>
      </c>
      <c r="O122" s="24" t="str">
        <f>IF(OR(Esselte[[#This Row],[Status]]="Em Linha",Esselte[[#This Row],[Status]]="Componente",Esselte[[#This Row],[Status]]="Materia Prima"),Esselte[[#This Row],[Proj. de V. No prox. mes]]*10,"-")</f>
        <v>-</v>
      </c>
      <c r="P12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2" s="34">
        <f>VLOOKUP(Esselte[[#This Row],[Código]],Projeção[#All],15,FALSE)</f>
        <v>0</v>
      </c>
      <c r="R122" s="43">
        <f>VLOOKUP(Esselte[[#This Row],[Código]],Projeção[#All],14,FALSE)</f>
        <v>0</v>
      </c>
      <c r="S122" s="39">
        <f>IFERROR(VLOOKUP(Esselte[[#This Row],[Código]],Venda_mes[],2,FALSE),0)</f>
        <v>0</v>
      </c>
      <c r="T122" s="44" t="str">
        <f>IFERROR(Esselte[[#This Row],[V. No mes]]/Esselte[[#This Row],[Proj. de V. No mes]],"")</f>
        <v/>
      </c>
      <c r="U122" s="43">
        <f>VLOOKUP(Esselte[[#This Row],[Código]],Projeção[#All],14,FALSE)+VLOOKUP(Esselte[[#This Row],[Código]],Projeção[#All],13,FALSE)+VLOOKUP(Esselte[[#This Row],[Código]],Projeção[#All],12,FALSE)</f>
        <v>0</v>
      </c>
      <c r="V122" s="39">
        <f>IFERROR(VLOOKUP(Esselte[[#This Row],[Código]],Venda_3meses[],2,FALSE),0)</f>
        <v>0</v>
      </c>
      <c r="W122" s="44" t="str">
        <f>IFERROR(Esselte[[#This Row],[V. 3 meses]]/Esselte[[#This Row],[Proj. de V. 3 meses]],"")</f>
        <v/>
      </c>
      <c r="X12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2" s="39">
        <f>IFERROR(VLOOKUP(Esselte[[#This Row],[Código]],Venda_12meses[],2,FALSE),0)</f>
        <v>0</v>
      </c>
      <c r="Z122" s="44" t="str">
        <f>IFERROR(Esselte[[#This Row],[V. 12 meses]]/Esselte[[#This Row],[Proj. de V. 12 meses]],"")</f>
        <v/>
      </c>
      <c r="AA122" s="22"/>
    </row>
    <row r="123" spans="1:27" x14ac:dyDescent="0.25">
      <c r="A123" s="22" t="str">
        <f>VLOOKUP(Esselte[[#This Row],[Código]],BD_Produto[#All],7,FALSE)</f>
        <v>Não entrou em linha</v>
      </c>
      <c r="B12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3" s="23">
        <v>33063063601</v>
      </c>
      <c r="D123" s="22" t="s">
        <v>1558</v>
      </c>
      <c r="E123" s="22">
        <f>VLOOKUP(Esselte[[#This Row],[Código]],BD_Produto[],3,FALSE)</f>
        <v>0</v>
      </c>
      <c r="F123" s="22">
        <f>VLOOKUP(Esselte[[#This Row],[Código]],BD_Produto[],4,FALSE)</f>
        <v>0</v>
      </c>
      <c r="G123" s="24">
        <v>1</v>
      </c>
      <c r="H123" s="25"/>
      <c r="I123" s="22"/>
      <c r="J123" s="24"/>
      <c r="K123" s="24" t="str">
        <f>IFERROR(VLOOKUP(Esselte[[#This Row],[Código]],Importação!P:R,3,FALSE),"")</f>
        <v/>
      </c>
      <c r="L123" s="24">
        <f>IFERROR(VLOOKUP(Esselte[[#This Row],[Código]],Saldo[],3,FALSE),0)</f>
        <v>0</v>
      </c>
      <c r="M123" s="24">
        <f>SUM(Esselte[[#This Row],[Produção]:[Estoque]])</f>
        <v>0</v>
      </c>
      <c r="N123" s="24" t="str">
        <f>IFERROR(Esselte[[#This Row],[Estoque+Importação]]/Esselte[[#This Row],[Proj. de V. No prox. mes]],"Sem Projeção")</f>
        <v>Sem Projeção</v>
      </c>
      <c r="O123" s="24" t="str">
        <f>IF(OR(Esselte[[#This Row],[Status]]="Em Linha",Esselte[[#This Row],[Status]]="Componente",Esselte[[#This Row],[Status]]="Materia Prima"),Esselte[[#This Row],[Proj. de V. No prox. mes]]*10,"-")</f>
        <v>-</v>
      </c>
      <c r="P12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3" s="34">
        <f>VLOOKUP(Esselte[[#This Row],[Código]],Projeção[#All],15,FALSE)</f>
        <v>0</v>
      </c>
      <c r="R123" s="43">
        <f>VLOOKUP(Esselte[[#This Row],[Código]],Projeção[#All],14,FALSE)</f>
        <v>0</v>
      </c>
      <c r="S123" s="39">
        <f>IFERROR(VLOOKUP(Esselte[[#This Row],[Código]],Venda_mes[],2,FALSE),0)</f>
        <v>0</v>
      </c>
      <c r="T123" s="44" t="str">
        <f>IFERROR(Esselte[[#This Row],[V. No mes]]/Esselte[[#This Row],[Proj. de V. No mes]],"")</f>
        <v/>
      </c>
      <c r="U123" s="43">
        <f>VLOOKUP(Esselte[[#This Row],[Código]],Projeção[#All],14,FALSE)+VLOOKUP(Esselte[[#This Row],[Código]],Projeção[#All],13,FALSE)+VLOOKUP(Esselte[[#This Row],[Código]],Projeção[#All],12,FALSE)</f>
        <v>0</v>
      </c>
      <c r="V123" s="39">
        <f>IFERROR(VLOOKUP(Esselte[[#This Row],[Código]],Venda_3meses[],2,FALSE),0)</f>
        <v>0</v>
      </c>
      <c r="W123" s="44" t="str">
        <f>IFERROR(Esselte[[#This Row],[V. 3 meses]]/Esselte[[#This Row],[Proj. de V. 3 meses]],"")</f>
        <v/>
      </c>
      <c r="X12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3" s="39">
        <f>IFERROR(VLOOKUP(Esselte[[#This Row],[Código]],Venda_12meses[],2,FALSE),0)</f>
        <v>0</v>
      </c>
      <c r="Z123" s="44" t="str">
        <f>IFERROR(Esselte[[#This Row],[V. 12 meses]]/Esselte[[#This Row],[Proj. de V. 12 meses]],"")</f>
        <v/>
      </c>
      <c r="AA123" s="22"/>
    </row>
    <row r="124" spans="1:27" x14ac:dyDescent="0.25">
      <c r="A124" s="22" t="str">
        <f>VLOOKUP(Esselte[[#This Row],[Código]],BD_Produto[#All],7,FALSE)</f>
        <v>Não entrou em linha</v>
      </c>
      <c r="B12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4" s="23">
        <v>33063063602</v>
      </c>
      <c r="D124" s="22" t="s">
        <v>1559</v>
      </c>
      <c r="E124" s="22">
        <f>VLOOKUP(Esselte[[#This Row],[Código]],BD_Produto[],3,FALSE)</f>
        <v>0</v>
      </c>
      <c r="F124" s="22">
        <f>VLOOKUP(Esselte[[#This Row],[Código]],BD_Produto[],4,FALSE)</f>
        <v>0</v>
      </c>
      <c r="G124" s="24">
        <v>1</v>
      </c>
      <c r="H124" s="25"/>
      <c r="I124" s="22"/>
      <c r="J124" s="24"/>
      <c r="K124" s="24" t="str">
        <f>IFERROR(VLOOKUP(Esselte[[#This Row],[Código]],Importação!P:R,3,FALSE),"")</f>
        <v/>
      </c>
      <c r="L124" s="24">
        <f>IFERROR(VLOOKUP(Esselte[[#This Row],[Código]],Saldo[],3,FALSE),0)</f>
        <v>0</v>
      </c>
      <c r="M124" s="24">
        <f>SUM(Esselte[[#This Row],[Produção]:[Estoque]])</f>
        <v>0</v>
      </c>
      <c r="N124" s="24" t="str">
        <f>IFERROR(Esselte[[#This Row],[Estoque+Importação]]/Esselte[[#This Row],[Proj. de V. No prox. mes]],"Sem Projeção")</f>
        <v>Sem Projeção</v>
      </c>
      <c r="O124" s="24" t="str">
        <f>IF(OR(Esselte[[#This Row],[Status]]="Em Linha",Esselte[[#This Row],[Status]]="Componente",Esselte[[#This Row],[Status]]="Materia Prima"),Esselte[[#This Row],[Proj. de V. No prox. mes]]*10,"-")</f>
        <v>-</v>
      </c>
      <c r="P12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4" s="34">
        <f>VLOOKUP(Esselte[[#This Row],[Código]],Projeção[#All],15,FALSE)</f>
        <v>0</v>
      </c>
      <c r="R124" s="43">
        <f>VLOOKUP(Esselte[[#This Row],[Código]],Projeção[#All],14,FALSE)</f>
        <v>0</v>
      </c>
      <c r="S124" s="39">
        <f>IFERROR(VLOOKUP(Esselte[[#This Row],[Código]],Venda_mes[],2,FALSE),0)</f>
        <v>0</v>
      </c>
      <c r="T124" s="44" t="str">
        <f>IFERROR(Esselte[[#This Row],[V. No mes]]/Esselte[[#This Row],[Proj. de V. No mes]],"")</f>
        <v/>
      </c>
      <c r="U124" s="43">
        <f>VLOOKUP(Esselte[[#This Row],[Código]],Projeção[#All],14,FALSE)+VLOOKUP(Esselte[[#This Row],[Código]],Projeção[#All],13,FALSE)+VLOOKUP(Esselte[[#This Row],[Código]],Projeção[#All],12,FALSE)</f>
        <v>0</v>
      </c>
      <c r="V124" s="39">
        <f>IFERROR(VLOOKUP(Esselte[[#This Row],[Código]],Venda_3meses[],2,FALSE),0)</f>
        <v>0</v>
      </c>
      <c r="W124" s="44" t="str">
        <f>IFERROR(Esselte[[#This Row],[V. 3 meses]]/Esselte[[#This Row],[Proj. de V. 3 meses]],"")</f>
        <v/>
      </c>
      <c r="X12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4" s="39">
        <f>IFERROR(VLOOKUP(Esselte[[#This Row],[Código]],Venda_12meses[],2,FALSE),0)</f>
        <v>0</v>
      </c>
      <c r="Z124" s="44" t="str">
        <f>IFERROR(Esselte[[#This Row],[V. 12 meses]]/Esselte[[#This Row],[Proj. de V. 12 meses]],"")</f>
        <v/>
      </c>
      <c r="AA124" s="22"/>
    </row>
    <row r="125" spans="1:27" x14ac:dyDescent="0.25">
      <c r="A125" s="22" t="str">
        <f>VLOOKUP(Esselte[[#This Row],[Código]],BD_Produto[#All],7,FALSE)</f>
        <v>Não entrou em linha</v>
      </c>
      <c r="B12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5" s="23">
        <v>33063063603</v>
      </c>
      <c r="D125" s="22" t="s">
        <v>1560</v>
      </c>
      <c r="E125" s="22" t="str">
        <f>VLOOKUP(Esselte[[#This Row],[Código]],BD_Produto[],3,FALSE)</f>
        <v>Pasta Organizadora (A/Z)</v>
      </c>
      <c r="F125" s="22" t="str">
        <f>VLOOKUP(Esselte[[#This Row],[Código]],BD_Produto[],4,FALSE)</f>
        <v>Pasta Organizadora (A/Z)</v>
      </c>
      <c r="G125" s="24">
        <v>1</v>
      </c>
      <c r="H125" s="25"/>
      <c r="I125" s="22"/>
      <c r="J125" s="24"/>
      <c r="K125" s="24" t="str">
        <f>IFERROR(VLOOKUP(Esselte[[#This Row],[Código]],Importação!P:R,3,FALSE),"")</f>
        <v/>
      </c>
      <c r="L125" s="24">
        <f>IFERROR(VLOOKUP(Esselte[[#This Row],[Código]],Saldo[],3,FALSE),0)</f>
        <v>0</v>
      </c>
      <c r="M125" s="24">
        <f>SUM(Esselte[[#This Row],[Produção]:[Estoque]])</f>
        <v>0</v>
      </c>
      <c r="N125" s="24" t="str">
        <f>IFERROR(Esselte[[#This Row],[Estoque+Importação]]/Esselte[[#This Row],[Proj. de V. No prox. mes]],"Sem Projeção")</f>
        <v>Sem Projeção</v>
      </c>
      <c r="O125" s="24" t="str">
        <f>IF(OR(Esselte[[#This Row],[Status]]="Em Linha",Esselte[[#This Row],[Status]]="Componente",Esselte[[#This Row],[Status]]="Materia Prima"),Esselte[[#This Row],[Proj. de V. No prox. mes]]*10,"-")</f>
        <v>-</v>
      </c>
      <c r="P12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5" s="34">
        <f>VLOOKUP(Esselte[[#This Row],[Código]],Projeção[#All],15,FALSE)</f>
        <v>0</v>
      </c>
      <c r="R125" s="43">
        <f>VLOOKUP(Esselte[[#This Row],[Código]],Projeção[#All],14,FALSE)</f>
        <v>0</v>
      </c>
      <c r="S125" s="39">
        <f>IFERROR(VLOOKUP(Esselte[[#This Row],[Código]],Venda_mes[],2,FALSE),0)</f>
        <v>0</v>
      </c>
      <c r="T125" s="44" t="str">
        <f>IFERROR(Esselte[[#This Row],[V. No mes]]/Esselte[[#This Row],[Proj. de V. No mes]],"")</f>
        <v/>
      </c>
      <c r="U125" s="43">
        <f>VLOOKUP(Esselte[[#This Row],[Código]],Projeção[#All],14,FALSE)+VLOOKUP(Esselte[[#This Row],[Código]],Projeção[#All],13,FALSE)+VLOOKUP(Esselte[[#This Row],[Código]],Projeção[#All],12,FALSE)</f>
        <v>0</v>
      </c>
      <c r="V125" s="39">
        <f>IFERROR(VLOOKUP(Esselte[[#This Row],[Código]],Venda_3meses[],2,FALSE),0)</f>
        <v>0</v>
      </c>
      <c r="W125" s="44" t="str">
        <f>IFERROR(Esselte[[#This Row],[V. 3 meses]]/Esselte[[#This Row],[Proj. de V. 3 meses]],"")</f>
        <v/>
      </c>
      <c r="X12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5" s="39">
        <f>IFERROR(VLOOKUP(Esselte[[#This Row],[Código]],Venda_12meses[],2,FALSE),0)</f>
        <v>0</v>
      </c>
      <c r="Z125" s="44" t="str">
        <f>IFERROR(Esselte[[#This Row],[V. 12 meses]]/Esselte[[#This Row],[Proj. de V. 12 meses]],"")</f>
        <v/>
      </c>
      <c r="AA125" s="22"/>
    </row>
    <row r="126" spans="1:27" x14ac:dyDescent="0.25">
      <c r="A126" s="22" t="str">
        <f>VLOOKUP(Esselte[[#This Row],[Código]],BD_Produto[#All],7,FALSE)</f>
        <v>Não entrou em linha</v>
      </c>
      <c r="B12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6" s="23">
        <v>33063063604</v>
      </c>
      <c r="D126" s="22" t="s">
        <v>1561</v>
      </c>
      <c r="E126" s="22" t="str">
        <f>VLOOKUP(Esselte[[#This Row],[Código]],BD_Produto[],3,FALSE)</f>
        <v>Pasta Organizadora (A/Z)</v>
      </c>
      <c r="F126" s="22" t="str">
        <f>VLOOKUP(Esselte[[#This Row],[Código]],BD_Produto[],4,FALSE)</f>
        <v>Pasta Organizadora (A/Z)</v>
      </c>
      <c r="G126" s="24">
        <v>1</v>
      </c>
      <c r="H126" s="25"/>
      <c r="I126" s="22"/>
      <c r="J126" s="24"/>
      <c r="K126" s="24" t="str">
        <f>IFERROR(VLOOKUP(Esselte[[#This Row],[Código]],Importação!P:R,3,FALSE),"")</f>
        <v/>
      </c>
      <c r="L126" s="24">
        <f>IFERROR(VLOOKUP(Esselte[[#This Row],[Código]],Saldo[],3,FALSE),0)</f>
        <v>0</v>
      </c>
      <c r="M126" s="24">
        <f>SUM(Esselte[[#This Row],[Produção]:[Estoque]])</f>
        <v>0</v>
      </c>
      <c r="N126" s="24" t="str">
        <f>IFERROR(Esselte[[#This Row],[Estoque+Importação]]/Esselte[[#This Row],[Proj. de V. No prox. mes]],"Sem Projeção")</f>
        <v>Sem Projeção</v>
      </c>
      <c r="O126" s="24" t="str">
        <f>IF(OR(Esselte[[#This Row],[Status]]="Em Linha",Esselte[[#This Row],[Status]]="Componente",Esselte[[#This Row],[Status]]="Materia Prima"),Esselte[[#This Row],[Proj. de V. No prox. mes]]*10,"-")</f>
        <v>-</v>
      </c>
      <c r="P12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6" s="34">
        <f>VLOOKUP(Esselte[[#This Row],[Código]],Projeção[#All],15,FALSE)</f>
        <v>0</v>
      </c>
      <c r="R126" s="43">
        <f>VLOOKUP(Esselte[[#This Row],[Código]],Projeção[#All],14,FALSE)</f>
        <v>0</v>
      </c>
      <c r="S126" s="39">
        <f>IFERROR(VLOOKUP(Esselte[[#This Row],[Código]],Venda_mes[],2,FALSE),0)</f>
        <v>0</v>
      </c>
      <c r="T126" s="44" t="str">
        <f>IFERROR(Esselte[[#This Row],[V. No mes]]/Esselte[[#This Row],[Proj. de V. No mes]],"")</f>
        <v/>
      </c>
      <c r="U126" s="43">
        <f>VLOOKUP(Esselte[[#This Row],[Código]],Projeção[#All],14,FALSE)+VLOOKUP(Esselte[[#This Row],[Código]],Projeção[#All],13,FALSE)+VLOOKUP(Esselte[[#This Row],[Código]],Projeção[#All],12,FALSE)</f>
        <v>0</v>
      </c>
      <c r="V126" s="39">
        <f>IFERROR(VLOOKUP(Esselte[[#This Row],[Código]],Venda_3meses[],2,FALSE),0)</f>
        <v>0</v>
      </c>
      <c r="W126" s="44" t="str">
        <f>IFERROR(Esselte[[#This Row],[V. 3 meses]]/Esselte[[#This Row],[Proj. de V. 3 meses]],"")</f>
        <v/>
      </c>
      <c r="X12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6" s="39">
        <f>IFERROR(VLOOKUP(Esselte[[#This Row],[Código]],Venda_12meses[],2,FALSE),0)</f>
        <v>0</v>
      </c>
      <c r="Z126" s="44" t="str">
        <f>IFERROR(Esselte[[#This Row],[V. 12 meses]]/Esselte[[#This Row],[Proj. de V. 12 meses]],"")</f>
        <v/>
      </c>
      <c r="AA126" s="22"/>
    </row>
    <row r="127" spans="1:27" x14ac:dyDescent="0.25">
      <c r="A127" s="22" t="str">
        <f>VLOOKUP(Esselte[[#This Row],[Código]],BD_Produto[#All],7,FALSE)</f>
        <v>Não entrou em linha</v>
      </c>
      <c r="B12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7" s="23">
        <v>33063063605</v>
      </c>
      <c r="D127" s="22" t="s">
        <v>1562</v>
      </c>
      <c r="E127" s="22" t="str">
        <f>VLOOKUP(Esselte[[#This Row],[Código]],BD_Produto[],3,FALSE)</f>
        <v>Pasta Sanfonada</v>
      </c>
      <c r="F127" s="22" t="str">
        <f>VLOOKUP(Esselte[[#This Row],[Código]],BD_Produto[],4,FALSE)</f>
        <v>Pasta Sanfonada</v>
      </c>
      <c r="G127" s="24">
        <v>1</v>
      </c>
      <c r="H127" s="25"/>
      <c r="I127" s="22"/>
      <c r="J127" s="24"/>
      <c r="K127" s="24" t="str">
        <f>IFERROR(VLOOKUP(Esselte[[#This Row],[Código]],Importação!P:R,3,FALSE),"")</f>
        <v/>
      </c>
      <c r="L127" s="24">
        <f>IFERROR(VLOOKUP(Esselte[[#This Row],[Código]],Saldo[],3,FALSE),0)</f>
        <v>0</v>
      </c>
      <c r="M127" s="24">
        <f>SUM(Esselte[[#This Row],[Produção]:[Estoque]])</f>
        <v>0</v>
      </c>
      <c r="N127" s="24" t="str">
        <f>IFERROR(Esselte[[#This Row],[Estoque+Importação]]/Esselte[[#This Row],[Proj. de V. No prox. mes]],"Sem Projeção")</f>
        <v>Sem Projeção</v>
      </c>
      <c r="O127" s="24" t="str">
        <f>IF(OR(Esselte[[#This Row],[Status]]="Em Linha",Esselte[[#This Row],[Status]]="Componente",Esselte[[#This Row],[Status]]="Materia Prima"),Esselte[[#This Row],[Proj. de V. No prox. mes]]*10,"-")</f>
        <v>-</v>
      </c>
      <c r="P12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7" s="34">
        <f>VLOOKUP(Esselte[[#This Row],[Código]],Projeção[#All],15,FALSE)</f>
        <v>0</v>
      </c>
      <c r="R127" s="43">
        <f>VLOOKUP(Esselte[[#This Row],[Código]],Projeção[#All],14,FALSE)</f>
        <v>0</v>
      </c>
      <c r="S127" s="39">
        <f>IFERROR(VLOOKUP(Esselte[[#This Row],[Código]],Venda_mes[],2,FALSE),0)</f>
        <v>0</v>
      </c>
      <c r="T127" s="44" t="str">
        <f>IFERROR(Esselte[[#This Row],[V. No mes]]/Esselte[[#This Row],[Proj. de V. No mes]],"")</f>
        <v/>
      </c>
      <c r="U127" s="43">
        <f>VLOOKUP(Esselte[[#This Row],[Código]],Projeção[#All],14,FALSE)+VLOOKUP(Esselte[[#This Row],[Código]],Projeção[#All],13,FALSE)+VLOOKUP(Esselte[[#This Row],[Código]],Projeção[#All],12,FALSE)</f>
        <v>0</v>
      </c>
      <c r="V127" s="39">
        <f>IFERROR(VLOOKUP(Esselte[[#This Row],[Código]],Venda_3meses[],2,FALSE),0)</f>
        <v>0</v>
      </c>
      <c r="W127" s="44" t="str">
        <f>IFERROR(Esselte[[#This Row],[V. 3 meses]]/Esselte[[#This Row],[Proj. de V. 3 meses]],"")</f>
        <v/>
      </c>
      <c r="X12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7" s="39">
        <f>IFERROR(VLOOKUP(Esselte[[#This Row],[Código]],Venda_12meses[],2,FALSE),0)</f>
        <v>0</v>
      </c>
      <c r="Z127" s="44" t="str">
        <f>IFERROR(Esselte[[#This Row],[V. 12 meses]]/Esselte[[#This Row],[Proj. de V. 12 meses]],"")</f>
        <v/>
      </c>
      <c r="AA127" s="22"/>
    </row>
    <row r="128" spans="1:27" x14ac:dyDescent="0.25">
      <c r="A128" s="22" t="str">
        <f>VLOOKUP(Esselte[[#This Row],[Código]],BD_Produto[#All],7,FALSE)</f>
        <v>Não entrou em linha</v>
      </c>
      <c r="B12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8" s="23">
        <v>33063063606</v>
      </c>
      <c r="D128" s="22" t="s">
        <v>1563</v>
      </c>
      <c r="E128" s="22">
        <f>VLOOKUP(Esselte[[#This Row],[Código]],BD_Produto[],3,FALSE)</f>
        <v>0</v>
      </c>
      <c r="F128" s="22">
        <f>VLOOKUP(Esselte[[#This Row],[Código]],BD_Produto[],4,FALSE)</f>
        <v>0</v>
      </c>
      <c r="G128" s="24">
        <v>1</v>
      </c>
      <c r="H128" s="25"/>
      <c r="I128" s="22"/>
      <c r="J128" s="24"/>
      <c r="K128" s="24" t="str">
        <f>IFERROR(VLOOKUP(Esselte[[#This Row],[Código]],Importação!P:R,3,FALSE),"")</f>
        <v/>
      </c>
      <c r="L128" s="24">
        <f>IFERROR(VLOOKUP(Esselte[[#This Row],[Código]],Saldo[],3,FALSE),0)</f>
        <v>0</v>
      </c>
      <c r="M128" s="24">
        <f>SUM(Esselte[[#This Row],[Produção]:[Estoque]])</f>
        <v>0</v>
      </c>
      <c r="N128" s="24" t="str">
        <f>IFERROR(Esselte[[#This Row],[Estoque+Importação]]/Esselte[[#This Row],[Proj. de V. No prox. mes]],"Sem Projeção")</f>
        <v>Sem Projeção</v>
      </c>
      <c r="O128" s="24" t="str">
        <f>IF(OR(Esselte[[#This Row],[Status]]="Em Linha",Esselte[[#This Row],[Status]]="Componente",Esselte[[#This Row],[Status]]="Materia Prima"),Esselte[[#This Row],[Proj. de V. No prox. mes]]*10,"-")</f>
        <v>-</v>
      </c>
      <c r="P12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8" s="34">
        <f>VLOOKUP(Esselte[[#This Row],[Código]],Projeção[#All],15,FALSE)</f>
        <v>0</v>
      </c>
      <c r="R128" s="43">
        <f>VLOOKUP(Esselte[[#This Row],[Código]],Projeção[#All],14,FALSE)</f>
        <v>0</v>
      </c>
      <c r="S128" s="39">
        <f>IFERROR(VLOOKUP(Esselte[[#This Row],[Código]],Venda_mes[],2,FALSE),0)</f>
        <v>0</v>
      </c>
      <c r="T128" s="44" t="str">
        <f>IFERROR(Esselte[[#This Row],[V. No mes]]/Esselte[[#This Row],[Proj. de V. No mes]],"")</f>
        <v/>
      </c>
      <c r="U128" s="43">
        <f>VLOOKUP(Esselte[[#This Row],[Código]],Projeção[#All],14,FALSE)+VLOOKUP(Esselte[[#This Row],[Código]],Projeção[#All],13,FALSE)+VLOOKUP(Esselte[[#This Row],[Código]],Projeção[#All],12,FALSE)</f>
        <v>0</v>
      </c>
      <c r="V128" s="39">
        <f>IFERROR(VLOOKUP(Esselte[[#This Row],[Código]],Venda_3meses[],2,FALSE),0)</f>
        <v>0</v>
      </c>
      <c r="W128" s="44" t="str">
        <f>IFERROR(Esselte[[#This Row],[V. 3 meses]]/Esselte[[#This Row],[Proj. de V. 3 meses]],"")</f>
        <v/>
      </c>
      <c r="X12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8" s="39">
        <f>IFERROR(VLOOKUP(Esselte[[#This Row],[Código]],Venda_12meses[],2,FALSE),0)</f>
        <v>0</v>
      </c>
      <c r="Z128" s="44" t="str">
        <f>IFERROR(Esselte[[#This Row],[V. 12 meses]]/Esselte[[#This Row],[Proj. de V. 12 meses]],"")</f>
        <v/>
      </c>
      <c r="AA128" s="22"/>
    </row>
    <row r="129" spans="1:27" x14ac:dyDescent="0.25">
      <c r="A129" s="22" t="str">
        <f>VLOOKUP(Esselte[[#This Row],[Código]],BD_Produto[#All],7,FALSE)</f>
        <v>Não entrou em linha</v>
      </c>
      <c r="B12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29" s="23">
        <v>33063063607</v>
      </c>
      <c r="D129" s="22" t="s">
        <v>1564</v>
      </c>
      <c r="E129" s="22">
        <f>VLOOKUP(Esselte[[#This Row],[Código]],BD_Produto[],3,FALSE)</f>
        <v>0</v>
      </c>
      <c r="F129" s="22">
        <f>VLOOKUP(Esselte[[#This Row],[Código]],BD_Produto[],4,FALSE)</f>
        <v>0</v>
      </c>
      <c r="G129" s="24">
        <v>1</v>
      </c>
      <c r="H129" s="25"/>
      <c r="I129" s="22"/>
      <c r="J129" s="24"/>
      <c r="K129" s="24" t="str">
        <f>IFERROR(VLOOKUP(Esselte[[#This Row],[Código]],Importação!P:R,3,FALSE),"")</f>
        <v/>
      </c>
      <c r="L129" s="24">
        <f>IFERROR(VLOOKUP(Esselte[[#This Row],[Código]],Saldo[],3,FALSE),0)</f>
        <v>0</v>
      </c>
      <c r="M129" s="24">
        <f>SUM(Esselte[[#This Row],[Produção]:[Estoque]])</f>
        <v>0</v>
      </c>
      <c r="N129" s="24" t="str">
        <f>IFERROR(Esselte[[#This Row],[Estoque+Importação]]/Esselte[[#This Row],[Proj. de V. No prox. mes]],"Sem Projeção")</f>
        <v>Sem Projeção</v>
      </c>
      <c r="O129" s="24" t="str">
        <f>IF(OR(Esselte[[#This Row],[Status]]="Em Linha",Esselte[[#This Row],[Status]]="Componente",Esselte[[#This Row],[Status]]="Materia Prima"),Esselte[[#This Row],[Proj. de V. No prox. mes]]*10,"-")</f>
        <v>-</v>
      </c>
      <c r="P12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29" s="34">
        <f>VLOOKUP(Esselte[[#This Row],[Código]],Projeção[#All],15,FALSE)</f>
        <v>0</v>
      </c>
      <c r="R129" s="43">
        <f>VLOOKUP(Esselte[[#This Row],[Código]],Projeção[#All],14,FALSE)</f>
        <v>0</v>
      </c>
      <c r="S129" s="39">
        <f>IFERROR(VLOOKUP(Esselte[[#This Row],[Código]],Venda_mes[],2,FALSE),0)</f>
        <v>0</v>
      </c>
      <c r="T129" s="44" t="str">
        <f>IFERROR(Esselte[[#This Row],[V. No mes]]/Esselte[[#This Row],[Proj. de V. No mes]],"")</f>
        <v/>
      </c>
      <c r="U129" s="43">
        <f>VLOOKUP(Esselte[[#This Row],[Código]],Projeção[#All],14,FALSE)+VLOOKUP(Esselte[[#This Row],[Código]],Projeção[#All],13,FALSE)+VLOOKUP(Esselte[[#This Row],[Código]],Projeção[#All],12,FALSE)</f>
        <v>0</v>
      </c>
      <c r="V129" s="39">
        <f>IFERROR(VLOOKUP(Esselte[[#This Row],[Código]],Venda_3meses[],2,FALSE),0)</f>
        <v>0</v>
      </c>
      <c r="W129" s="44" t="str">
        <f>IFERROR(Esselte[[#This Row],[V. 3 meses]]/Esselte[[#This Row],[Proj. de V. 3 meses]],"")</f>
        <v/>
      </c>
      <c r="X12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29" s="39">
        <f>IFERROR(VLOOKUP(Esselte[[#This Row],[Código]],Venda_12meses[],2,FALSE),0)</f>
        <v>0</v>
      </c>
      <c r="Z129" s="44" t="str">
        <f>IFERROR(Esselte[[#This Row],[V. 12 meses]]/Esselte[[#This Row],[Proj. de V. 12 meses]],"")</f>
        <v/>
      </c>
      <c r="AA129" s="22"/>
    </row>
    <row r="130" spans="1:27" x14ac:dyDescent="0.25">
      <c r="A130" s="22" t="str">
        <f>VLOOKUP(Esselte[[#This Row],[Código]],BD_Produto[#All],7,FALSE)</f>
        <v>Não entrou em linha</v>
      </c>
      <c r="B13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0" s="23">
        <v>33063563608</v>
      </c>
      <c r="D130" s="22" t="s">
        <v>1565</v>
      </c>
      <c r="E130" s="22">
        <f>VLOOKUP(Esselte[[#This Row],[Código]],BD_Produto[],3,FALSE)</f>
        <v>0</v>
      </c>
      <c r="F130" s="22">
        <f>VLOOKUP(Esselte[[#This Row],[Código]],BD_Produto[],4,FALSE)</f>
        <v>0</v>
      </c>
      <c r="G130" s="24">
        <v>1</v>
      </c>
      <c r="H130" s="25"/>
      <c r="I130" s="22"/>
      <c r="J130" s="24"/>
      <c r="K130" s="24" t="str">
        <f>IFERROR(VLOOKUP(Esselte[[#This Row],[Código]],Importação!P:R,3,FALSE),"")</f>
        <v/>
      </c>
      <c r="L130" s="24">
        <f>IFERROR(VLOOKUP(Esselte[[#This Row],[Código]],Saldo[],3,FALSE),0)</f>
        <v>0</v>
      </c>
      <c r="M130" s="24">
        <f>SUM(Esselte[[#This Row],[Produção]:[Estoque]])</f>
        <v>0</v>
      </c>
      <c r="N130" s="24" t="str">
        <f>IFERROR(Esselte[[#This Row],[Estoque+Importação]]/Esselte[[#This Row],[Proj. de V. No prox. mes]],"Sem Projeção")</f>
        <v>Sem Projeção</v>
      </c>
      <c r="O130" s="24" t="str">
        <f>IF(OR(Esselte[[#This Row],[Status]]="Em Linha",Esselte[[#This Row],[Status]]="Componente",Esselte[[#This Row],[Status]]="Materia Prima"),Esselte[[#This Row],[Proj. de V. No prox. mes]]*10,"-")</f>
        <v>-</v>
      </c>
      <c r="P13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0" s="34">
        <f>VLOOKUP(Esselte[[#This Row],[Código]],Projeção[#All],15,FALSE)</f>
        <v>0</v>
      </c>
      <c r="R130" s="43">
        <f>VLOOKUP(Esselte[[#This Row],[Código]],Projeção[#All],14,FALSE)</f>
        <v>0</v>
      </c>
      <c r="S130" s="39">
        <f>IFERROR(VLOOKUP(Esselte[[#This Row],[Código]],Venda_mes[],2,FALSE),0)</f>
        <v>0</v>
      </c>
      <c r="T130" s="44" t="str">
        <f>IFERROR(Esselte[[#This Row],[V. No mes]]/Esselte[[#This Row],[Proj. de V. No mes]],"")</f>
        <v/>
      </c>
      <c r="U130" s="43">
        <f>VLOOKUP(Esselte[[#This Row],[Código]],Projeção[#All],14,FALSE)+VLOOKUP(Esselte[[#This Row],[Código]],Projeção[#All],13,FALSE)+VLOOKUP(Esselte[[#This Row],[Código]],Projeção[#All],12,FALSE)</f>
        <v>0</v>
      </c>
      <c r="V130" s="39">
        <f>IFERROR(VLOOKUP(Esselte[[#This Row],[Código]],Venda_3meses[],2,FALSE),0)</f>
        <v>0</v>
      </c>
      <c r="W130" s="44" t="str">
        <f>IFERROR(Esselte[[#This Row],[V. 3 meses]]/Esselte[[#This Row],[Proj. de V. 3 meses]],"")</f>
        <v/>
      </c>
      <c r="X13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0" s="39">
        <f>IFERROR(VLOOKUP(Esselte[[#This Row],[Código]],Venda_12meses[],2,FALSE),0)</f>
        <v>0</v>
      </c>
      <c r="Z130" s="44" t="str">
        <f>IFERROR(Esselte[[#This Row],[V. 12 meses]]/Esselte[[#This Row],[Proj. de V. 12 meses]],"")</f>
        <v/>
      </c>
      <c r="AA130" s="22"/>
    </row>
    <row r="131" spans="1:27" x14ac:dyDescent="0.25">
      <c r="A131" s="22" t="str">
        <f>VLOOKUP(Esselte[[#This Row],[Código]],BD_Produto[#All],7,FALSE)</f>
        <v>Não entrou em linha</v>
      </c>
      <c r="B13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1" s="23">
        <v>33063563609</v>
      </c>
      <c r="D131" s="22" t="s">
        <v>1566</v>
      </c>
      <c r="E131" s="22">
        <f>VLOOKUP(Esselte[[#This Row],[Código]],BD_Produto[],3,FALSE)</f>
        <v>0</v>
      </c>
      <c r="F131" s="22">
        <f>VLOOKUP(Esselte[[#This Row],[Código]],BD_Produto[],4,FALSE)</f>
        <v>0</v>
      </c>
      <c r="G131" s="24">
        <v>1</v>
      </c>
      <c r="H131" s="25"/>
      <c r="I131" s="22"/>
      <c r="J131" s="24"/>
      <c r="K131" s="24" t="str">
        <f>IFERROR(VLOOKUP(Esselte[[#This Row],[Código]],Importação!P:R,3,FALSE),"")</f>
        <v/>
      </c>
      <c r="L131" s="24">
        <f>IFERROR(VLOOKUP(Esselte[[#This Row],[Código]],Saldo[],3,FALSE),0)</f>
        <v>0</v>
      </c>
      <c r="M131" s="24">
        <f>SUM(Esselte[[#This Row],[Produção]:[Estoque]])</f>
        <v>0</v>
      </c>
      <c r="N131" s="24" t="str">
        <f>IFERROR(Esselte[[#This Row],[Estoque+Importação]]/Esselte[[#This Row],[Proj. de V. No prox. mes]],"Sem Projeção")</f>
        <v>Sem Projeção</v>
      </c>
      <c r="O131" s="24" t="str">
        <f>IF(OR(Esselte[[#This Row],[Status]]="Em Linha",Esselte[[#This Row],[Status]]="Componente",Esselte[[#This Row],[Status]]="Materia Prima"),Esselte[[#This Row],[Proj. de V. No prox. mes]]*10,"-")</f>
        <v>-</v>
      </c>
      <c r="P13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1" s="34">
        <f>VLOOKUP(Esselte[[#This Row],[Código]],Projeção[#All],15,FALSE)</f>
        <v>0</v>
      </c>
      <c r="R131" s="43">
        <f>VLOOKUP(Esselte[[#This Row],[Código]],Projeção[#All],14,FALSE)</f>
        <v>0</v>
      </c>
      <c r="S131" s="39">
        <f>IFERROR(VLOOKUP(Esselte[[#This Row],[Código]],Venda_mes[],2,FALSE),0)</f>
        <v>0</v>
      </c>
      <c r="T131" s="44" t="str">
        <f>IFERROR(Esselte[[#This Row],[V. No mes]]/Esselte[[#This Row],[Proj. de V. No mes]],"")</f>
        <v/>
      </c>
      <c r="U131" s="43">
        <f>VLOOKUP(Esselte[[#This Row],[Código]],Projeção[#All],14,FALSE)+VLOOKUP(Esselte[[#This Row],[Código]],Projeção[#All],13,FALSE)+VLOOKUP(Esselte[[#This Row],[Código]],Projeção[#All],12,FALSE)</f>
        <v>0</v>
      </c>
      <c r="V131" s="39">
        <f>IFERROR(VLOOKUP(Esselte[[#This Row],[Código]],Venda_3meses[],2,FALSE),0)</f>
        <v>0</v>
      </c>
      <c r="W131" s="44" t="str">
        <f>IFERROR(Esselte[[#This Row],[V. 3 meses]]/Esselte[[#This Row],[Proj. de V. 3 meses]],"")</f>
        <v/>
      </c>
      <c r="X13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1" s="39">
        <f>IFERROR(VLOOKUP(Esselte[[#This Row],[Código]],Venda_12meses[],2,FALSE),0)</f>
        <v>0</v>
      </c>
      <c r="Z131" s="44" t="str">
        <f>IFERROR(Esselte[[#This Row],[V. 12 meses]]/Esselte[[#This Row],[Proj. de V. 12 meses]],"")</f>
        <v/>
      </c>
      <c r="AA131" s="22"/>
    </row>
    <row r="132" spans="1:27" x14ac:dyDescent="0.25">
      <c r="A132" s="22" t="str">
        <f>VLOOKUP(Esselte[[#This Row],[Código]],BD_Produto[#All],7,FALSE)</f>
        <v>Não entrou em linha</v>
      </c>
      <c r="B13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2" s="23">
        <v>33063563610</v>
      </c>
      <c r="D132" s="22" t="s">
        <v>1567</v>
      </c>
      <c r="E132" s="22">
        <f>VLOOKUP(Esselte[[#This Row],[Código]],BD_Produto[],3,FALSE)</f>
        <v>0</v>
      </c>
      <c r="F132" s="22">
        <f>VLOOKUP(Esselte[[#This Row],[Código]],BD_Produto[],4,FALSE)</f>
        <v>0</v>
      </c>
      <c r="G132" s="24">
        <v>1</v>
      </c>
      <c r="H132" s="25"/>
      <c r="I132" s="22"/>
      <c r="J132" s="24"/>
      <c r="K132" s="24" t="str">
        <f>IFERROR(VLOOKUP(Esselte[[#This Row],[Código]],Importação!P:R,3,FALSE),"")</f>
        <v/>
      </c>
      <c r="L132" s="24">
        <f>IFERROR(VLOOKUP(Esselte[[#This Row],[Código]],Saldo[],3,FALSE),0)</f>
        <v>0</v>
      </c>
      <c r="M132" s="24">
        <f>SUM(Esselte[[#This Row],[Produção]:[Estoque]])</f>
        <v>0</v>
      </c>
      <c r="N132" s="24" t="str">
        <f>IFERROR(Esselte[[#This Row],[Estoque+Importação]]/Esselte[[#This Row],[Proj. de V. No prox. mes]],"Sem Projeção")</f>
        <v>Sem Projeção</v>
      </c>
      <c r="O132" s="24" t="str">
        <f>IF(OR(Esselte[[#This Row],[Status]]="Em Linha",Esselte[[#This Row],[Status]]="Componente",Esselte[[#This Row],[Status]]="Materia Prima"),Esselte[[#This Row],[Proj. de V. No prox. mes]]*10,"-")</f>
        <v>-</v>
      </c>
      <c r="P13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2" s="34">
        <f>VLOOKUP(Esselte[[#This Row],[Código]],Projeção[#All],15,FALSE)</f>
        <v>0</v>
      </c>
      <c r="R132" s="43">
        <f>VLOOKUP(Esselte[[#This Row],[Código]],Projeção[#All],14,FALSE)</f>
        <v>0</v>
      </c>
      <c r="S132" s="39">
        <f>IFERROR(VLOOKUP(Esselte[[#This Row],[Código]],Venda_mes[],2,FALSE),0)</f>
        <v>0</v>
      </c>
      <c r="T132" s="44" t="str">
        <f>IFERROR(Esselte[[#This Row],[V. No mes]]/Esselte[[#This Row],[Proj. de V. No mes]],"")</f>
        <v/>
      </c>
      <c r="U132" s="43">
        <f>VLOOKUP(Esselte[[#This Row],[Código]],Projeção[#All],14,FALSE)+VLOOKUP(Esselte[[#This Row],[Código]],Projeção[#All],13,FALSE)+VLOOKUP(Esselte[[#This Row],[Código]],Projeção[#All],12,FALSE)</f>
        <v>0</v>
      </c>
      <c r="V132" s="39">
        <f>IFERROR(VLOOKUP(Esselte[[#This Row],[Código]],Venda_3meses[],2,FALSE),0)</f>
        <v>0</v>
      </c>
      <c r="W132" s="44" t="str">
        <f>IFERROR(Esselte[[#This Row],[V. 3 meses]]/Esselte[[#This Row],[Proj. de V. 3 meses]],"")</f>
        <v/>
      </c>
      <c r="X13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2" s="39">
        <f>IFERROR(VLOOKUP(Esselte[[#This Row],[Código]],Venda_12meses[],2,FALSE),0)</f>
        <v>0</v>
      </c>
      <c r="Z132" s="44" t="str">
        <f>IFERROR(Esselte[[#This Row],[V. 12 meses]]/Esselte[[#This Row],[Proj. de V. 12 meses]],"")</f>
        <v/>
      </c>
      <c r="AA132" s="22"/>
    </row>
    <row r="133" spans="1:27" x14ac:dyDescent="0.25">
      <c r="A133" s="22" t="str">
        <f>VLOOKUP(Esselte[[#This Row],[Código]],BD_Produto[#All],7,FALSE)</f>
        <v>Não entrou em linha</v>
      </c>
      <c r="B13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3" s="23">
        <v>33063563611</v>
      </c>
      <c r="D133" s="22" t="s">
        <v>1568</v>
      </c>
      <c r="E133" s="22">
        <f>VLOOKUP(Esselte[[#This Row],[Código]],BD_Produto[],3,FALSE)</f>
        <v>0</v>
      </c>
      <c r="F133" s="22">
        <f>VLOOKUP(Esselte[[#This Row],[Código]],BD_Produto[],4,FALSE)</f>
        <v>0</v>
      </c>
      <c r="G133" s="24">
        <v>1</v>
      </c>
      <c r="H133" s="25"/>
      <c r="I133" s="22"/>
      <c r="J133" s="24"/>
      <c r="K133" s="24" t="str">
        <f>IFERROR(VLOOKUP(Esselte[[#This Row],[Código]],Importação!P:R,3,FALSE),"")</f>
        <v/>
      </c>
      <c r="L133" s="24">
        <f>IFERROR(VLOOKUP(Esselte[[#This Row],[Código]],Saldo[],3,FALSE),0)</f>
        <v>0</v>
      </c>
      <c r="M133" s="24">
        <f>SUM(Esselte[[#This Row],[Produção]:[Estoque]])</f>
        <v>0</v>
      </c>
      <c r="N133" s="24" t="str">
        <f>IFERROR(Esselte[[#This Row],[Estoque+Importação]]/Esselte[[#This Row],[Proj. de V. No prox. mes]],"Sem Projeção")</f>
        <v>Sem Projeção</v>
      </c>
      <c r="O133" s="24" t="str">
        <f>IF(OR(Esselte[[#This Row],[Status]]="Em Linha",Esselte[[#This Row],[Status]]="Componente",Esselte[[#This Row],[Status]]="Materia Prima"),Esselte[[#This Row],[Proj. de V. No prox. mes]]*10,"-")</f>
        <v>-</v>
      </c>
      <c r="P13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3" s="34">
        <f>VLOOKUP(Esselte[[#This Row],[Código]],Projeção[#All],15,FALSE)</f>
        <v>0</v>
      </c>
      <c r="R133" s="43">
        <f>VLOOKUP(Esselte[[#This Row],[Código]],Projeção[#All],14,FALSE)</f>
        <v>0</v>
      </c>
      <c r="S133" s="39">
        <f>IFERROR(VLOOKUP(Esselte[[#This Row],[Código]],Venda_mes[],2,FALSE),0)</f>
        <v>0</v>
      </c>
      <c r="T133" s="44" t="str">
        <f>IFERROR(Esselte[[#This Row],[V. No mes]]/Esselte[[#This Row],[Proj. de V. No mes]],"")</f>
        <v/>
      </c>
      <c r="U133" s="43">
        <f>VLOOKUP(Esselte[[#This Row],[Código]],Projeção[#All],14,FALSE)+VLOOKUP(Esselte[[#This Row],[Código]],Projeção[#All],13,FALSE)+VLOOKUP(Esselte[[#This Row],[Código]],Projeção[#All],12,FALSE)</f>
        <v>0</v>
      </c>
      <c r="V133" s="39">
        <f>IFERROR(VLOOKUP(Esselte[[#This Row],[Código]],Venda_3meses[],2,FALSE),0)</f>
        <v>0</v>
      </c>
      <c r="W133" s="44" t="str">
        <f>IFERROR(Esselte[[#This Row],[V. 3 meses]]/Esselte[[#This Row],[Proj. de V. 3 meses]],"")</f>
        <v/>
      </c>
      <c r="X13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3" s="39">
        <f>IFERROR(VLOOKUP(Esselte[[#This Row],[Código]],Venda_12meses[],2,FALSE),0)</f>
        <v>0</v>
      </c>
      <c r="Z133" s="44" t="str">
        <f>IFERROR(Esselte[[#This Row],[V. 12 meses]]/Esselte[[#This Row],[Proj. de V. 12 meses]],"")</f>
        <v/>
      </c>
      <c r="AA133" s="22"/>
    </row>
    <row r="134" spans="1:27" x14ac:dyDescent="0.25">
      <c r="A134" s="22" t="str">
        <f>VLOOKUP(Esselte[[#This Row],[Código]],BD_Produto[#All],7,FALSE)</f>
        <v>Não entrou em linha</v>
      </c>
      <c r="B13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4" s="23">
        <v>33063563612</v>
      </c>
      <c r="D134" s="22" t="s">
        <v>1569</v>
      </c>
      <c r="E134" s="22">
        <f>VLOOKUP(Esselte[[#This Row],[Código]],BD_Produto[],3,FALSE)</f>
        <v>0</v>
      </c>
      <c r="F134" s="22">
        <f>VLOOKUP(Esselte[[#This Row],[Código]],BD_Produto[],4,FALSE)</f>
        <v>0</v>
      </c>
      <c r="G134" s="24">
        <v>1</v>
      </c>
      <c r="H134" s="25"/>
      <c r="I134" s="22"/>
      <c r="J134" s="24"/>
      <c r="K134" s="24" t="str">
        <f>IFERROR(VLOOKUP(Esselte[[#This Row],[Código]],Importação!P:R,3,FALSE),"")</f>
        <v/>
      </c>
      <c r="L134" s="24">
        <f>IFERROR(VLOOKUP(Esselte[[#This Row],[Código]],Saldo[],3,FALSE),0)</f>
        <v>0</v>
      </c>
      <c r="M134" s="24">
        <f>SUM(Esselte[[#This Row],[Produção]:[Estoque]])</f>
        <v>0</v>
      </c>
      <c r="N134" s="24" t="str">
        <f>IFERROR(Esselte[[#This Row],[Estoque+Importação]]/Esselte[[#This Row],[Proj. de V. No prox. mes]],"Sem Projeção")</f>
        <v>Sem Projeção</v>
      </c>
      <c r="O134" s="24" t="str">
        <f>IF(OR(Esselte[[#This Row],[Status]]="Em Linha",Esselte[[#This Row],[Status]]="Componente",Esselte[[#This Row],[Status]]="Materia Prima"),Esselte[[#This Row],[Proj. de V. No prox. mes]]*10,"-")</f>
        <v>-</v>
      </c>
      <c r="P13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4" s="34">
        <f>VLOOKUP(Esselte[[#This Row],[Código]],Projeção[#All],15,FALSE)</f>
        <v>0</v>
      </c>
      <c r="R134" s="43">
        <f>VLOOKUP(Esselte[[#This Row],[Código]],Projeção[#All],14,FALSE)</f>
        <v>0</v>
      </c>
      <c r="S134" s="39">
        <f>IFERROR(VLOOKUP(Esselte[[#This Row],[Código]],Venda_mes[],2,FALSE),0)</f>
        <v>0</v>
      </c>
      <c r="T134" s="44" t="str">
        <f>IFERROR(Esselte[[#This Row],[V. No mes]]/Esselte[[#This Row],[Proj. de V. No mes]],"")</f>
        <v/>
      </c>
      <c r="U134" s="43">
        <f>VLOOKUP(Esselte[[#This Row],[Código]],Projeção[#All],14,FALSE)+VLOOKUP(Esselte[[#This Row],[Código]],Projeção[#All],13,FALSE)+VLOOKUP(Esselte[[#This Row],[Código]],Projeção[#All],12,FALSE)</f>
        <v>0</v>
      </c>
      <c r="V134" s="39">
        <f>IFERROR(VLOOKUP(Esselte[[#This Row],[Código]],Venda_3meses[],2,FALSE),0)</f>
        <v>0</v>
      </c>
      <c r="W134" s="44" t="str">
        <f>IFERROR(Esselte[[#This Row],[V. 3 meses]]/Esselte[[#This Row],[Proj. de V. 3 meses]],"")</f>
        <v/>
      </c>
      <c r="X13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4" s="39">
        <f>IFERROR(VLOOKUP(Esselte[[#This Row],[Código]],Venda_12meses[],2,FALSE),0)</f>
        <v>0</v>
      </c>
      <c r="Z134" s="44" t="str">
        <f>IFERROR(Esselte[[#This Row],[V. 12 meses]]/Esselte[[#This Row],[Proj. de V. 12 meses]],"")</f>
        <v/>
      </c>
      <c r="AA134" s="22"/>
    </row>
    <row r="135" spans="1:27" x14ac:dyDescent="0.25">
      <c r="A135" s="22" t="str">
        <f>VLOOKUP(Esselte[[#This Row],[Código]],BD_Produto[#All],7,FALSE)</f>
        <v>Não entrou em linha</v>
      </c>
      <c r="B13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5" s="23">
        <v>33063563613</v>
      </c>
      <c r="D135" s="22" t="s">
        <v>1570</v>
      </c>
      <c r="E135" s="22">
        <f>VLOOKUP(Esselte[[#This Row],[Código]],BD_Produto[],3,FALSE)</f>
        <v>0</v>
      </c>
      <c r="F135" s="22">
        <f>VLOOKUP(Esselte[[#This Row],[Código]],BD_Produto[],4,FALSE)</f>
        <v>0</v>
      </c>
      <c r="G135" s="24">
        <v>1</v>
      </c>
      <c r="H135" s="25"/>
      <c r="I135" s="22"/>
      <c r="J135" s="24"/>
      <c r="K135" s="24" t="str">
        <f>IFERROR(VLOOKUP(Esselte[[#This Row],[Código]],Importação!P:R,3,FALSE),"")</f>
        <v/>
      </c>
      <c r="L135" s="24">
        <f>IFERROR(VLOOKUP(Esselte[[#This Row],[Código]],Saldo[],3,FALSE),0)</f>
        <v>0</v>
      </c>
      <c r="M135" s="24">
        <f>SUM(Esselte[[#This Row],[Produção]:[Estoque]])</f>
        <v>0</v>
      </c>
      <c r="N135" s="24" t="str">
        <f>IFERROR(Esselte[[#This Row],[Estoque+Importação]]/Esselte[[#This Row],[Proj. de V. No prox. mes]],"Sem Projeção")</f>
        <v>Sem Projeção</v>
      </c>
      <c r="O135" s="24" t="str">
        <f>IF(OR(Esselte[[#This Row],[Status]]="Em Linha",Esselte[[#This Row],[Status]]="Componente",Esselte[[#This Row],[Status]]="Materia Prima"),Esselte[[#This Row],[Proj. de V. No prox. mes]]*10,"-")</f>
        <v>-</v>
      </c>
      <c r="P13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5" s="34">
        <f>VLOOKUP(Esselte[[#This Row],[Código]],Projeção[#All],15,FALSE)</f>
        <v>0</v>
      </c>
      <c r="R135" s="43">
        <f>VLOOKUP(Esselte[[#This Row],[Código]],Projeção[#All],14,FALSE)</f>
        <v>0</v>
      </c>
      <c r="S135" s="39">
        <f>IFERROR(VLOOKUP(Esselte[[#This Row],[Código]],Venda_mes[],2,FALSE),0)</f>
        <v>0</v>
      </c>
      <c r="T135" s="44" t="str">
        <f>IFERROR(Esselte[[#This Row],[V. No mes]]/Esselte[[#This Row],[Proj. de V. No mes]],"")</f>
        <v/>
      </c>
      <c r="U135" s="43">
        <f>VLOOKUP(Esselte[[#This Row],[Código]],Projeção[#All],14,FALSE)+VLOOKUP(Esselte[[#This Row],[Código]],Projeção[#All],13,FALSE)+VLOOKUP(Esselte[[#This Row],[Código]],Projeção[#All],12,FALSE)</f>
        <v>0</v>
      </c>
      <c r="V135" s="39">
        <f>IFERROR(VLOOKUP(Esselte[[#This Row],[Código]],Venda_3meses[],2,FALSE),0)</f>
        <v>0</v>
      </c>
      <c r="W135" s="44" t="str">
        <f>IFERROR(Esselte[[#This Row],[V. 3 meses]]/Esselte[[#This Row],[Proj. de V. 3 meses]],"")</f>
        <v/>
      </c>
      <c r="X13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5" s="39">
        <f>IFERROR(VLOOKUP(Esselte[[#This Row],[Código]],Venda_12meses[],2,FALSE),0)</f>
        <v>0</v>
      </c>
      <c r="Z135" s="44" t="str">
        <f>IFERROR(Esselte[[#This Row],[V. 12 meses]]/Esselte[[#This Row],[Proj. de V. 12 meses]],"")</f>
        <v/>
      </c>
      <c r="AA135" s="22"/>
    </row>
    <row r="136" spans="1:27" x14ac:dyDescent="0.25">
      <c r="A136" s="22" t="str">
        <f>VLOOKUP(Esselte[[#This Row],[Código]],BD_Produto[#All],7,FALSE)</f>
        <v>Não entrou em linha</v>
      </c>
      <c r="B13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6" s="23">
        <v>33063563614</v>
      </c>
      <c r="D136" s="22" t="s">
        <v>1571</v>
      </c>
      <c r="E136" s="22">
        <f>VLOOKUP(Esselte[[#This Row],[Código]],BD_Produto[],3,FALSE)</f>
        <v>0</v>
      </c>
      <c r="F136" s="22">
        <f>VLOOKUP(Esselte[[#This Row],[Código]],BD_Produto[],4,FALSE)</f>
        <v>0</v>
      </c>
      <c r="G136" s="24">
        <v>1</v>
      </c>
      <c r="H136" s="25"/>
      <c r="I136" s="22"/>
      <c r="J136" s="24"/>
      <c r="K136" s="24" t="str">
        <f>IFERROR(VLOOKUP(Esselte[[#This Row],[Código]],Importação!P:R,3,FALSE),"")</f>
        <v/>
      </c>
      <c r="L136" s="24">
        <f>IFERROR(VLOOKUP(Esselte[[#This Row],[Código]],Saldo[],3,FALSE),0)</f>
        <v>0</v>
      </c>
      <c r="M136" s="24">
        <f>SUM(Esselte[[#This Row],[Produção]:[Estoque]])</f>
        <v>0</v>
      </c>
      <c r="N136" s="24" t="str">
        <f>IFERROR(Esselte[[#This Row],[Estoque+Importação]]/Esselte[[#This Row],[Proj. de V. No prox. mes]],"Sem Projeção")</f>
        <v>Sem Projeção</v>
      </c>
      <c r="O136" s="24" t="str">
        <f>IF(OR(Esselte[[#This Row],[Status]]="Em Linha",Esselte[[#This Row],[Status]]="Componente",Esselte[[#This Row],[Status]]="Materia Prima"),Esselte[[#This Row],[Proj. de V. No prox. mes]]*10,"-")</f>
        <v>-</v>
      </c>
      <c r="P13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6" s="34">
        <f>VLOOKUP(Esselte[[#This Row],[Código]],Projeção[#All],15,FALSE)</f>
        <v>0</v>
      </c>
      <c r="R136" s="43">
        <f>VLOOKUP(Esselte[[#This Row],[Código]],Projeção[#All],14,FALSE)</f>
        <v>0</v>
      </c>
      <c r="S136" s="39">
        <f>IFERROR(VLOOKUP(Esselte[[#This Row],[Código]],Venda_mes[],2,FALSE),0)</f>
        <v>0</v>
      </c>
      <c r="T136" s="44" t="str">
        <f>IFERROR(Esselte[[#This Row],[V. No mes]]/Esselte[[#This Row],[Proj. de V. No mes]],"")</f>
        <v/>
      </c>
      <c r="U136" s="43">
        <f>VLOOKUP(Esselte[[#This Row],[Código]],Projeção[#All],14,FALSE)+VLOOKUP(Esselte[[#This Row],[Código]],Projeção[#All],13,FALSE)+VLOOKUP(Esselte[[#This Row],[Código]],Projeção[#All],12,FALSE)</f>
        <v>0</v>
      </c>
      <c r="V136" s="39">
        <f>IFERROR(VLOOKUP(Esselte[[#This Row],[Código]],Venda_3meses[],2,FALSE),0)</f>
        <v>0</v>
      </c>
      <c r="W136" s="44" t="str">
        <f>IFERROR(Esselte[[#This Row],[V. 3 meses]]/Esselte[[#This Row],[Proj. de V. 3 meses]],"")</f>
        <v/>
      </c>
      <c r="X13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6" s="39">
        <f>IFERROR(VLOOKUP(Esselte[[#This Row],[Código]],Venda_12meses[],2,FALSE),0)</f>
        <v>0</v>
      </c>
      <c r="Z136" s="44" t="str">
        <f>IFERROR(Esselte[[#This Row],[V. 12 meses]]/Esselte[[#This Row],[Proj. de V. 12 meses]],"")</f>
        <v/>
      </c>
      <c r="AA136" s="22"/>
    </row>
    <row r="137" spans="1:27" x14ac:dyDescent="0.25">
      <c r="A137" s="22" t="str">
        <f>VLOOKUP(Esselte[[#This Row],[Código]],BD_Produto[#All],7,FALSE)</f>
        <v>Não entrou em linha</v>
      </c>
      <c r="B13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7" s="23">
        <v>33063563615</v>
      </c>
      <c r="D137" s="22" t="s">
        <v>1572</v>
      </c>
      <c r="E137" s="22">
        <f>VLOOKUP(Esselte[[#This Row],[Código]],BD_Produto[],3,FALSE)</f>
        <v>0</v>
      </c>
      <c r="F137" s="22">
        <f>VLOOKUP(Esselte[[#This Row],[Código]],BD_Produto[],4,FALSE)</f>
        <v>0</v>
      </c>
      <c r="G137" s="24">
        <v>1</v>
      </c>
      <c r="H137" s="25"/>
      <c r="I137" s="22"/>
      <c r="J137" s="24"/>
      <c r="K137" s="24" t="str">
        <f>IFERROR(VLOOKUP(Esselte[[#This Row],[Código]],Importação!P:R,3,FALSE),"")</f>
        <v/>
      </c>
      <c r="L137" s="24">
        <f>IFERROR(VLOOKUP(Esselte[[#This Row],[Código]],Saldo[],3,FALSE),0)</f>
        <v>0</v>
      </c>
      <c r="M137" s="24">
        <f>SUM(Esselte[[#This Row],[Produção]:[Estoque]])</f>
        <v>0</v>
      </c>
      <c r="N137" s="24" t="str">
        <f>IFERROR(Esselte[[#This Row],[Estoque+Importação]]/Esselte[[#This Row],[Proj. de V. No prox. mes]],"Sem Projeção")</f>
        <v>Sem Projeção</v>
      </c>
      <c r="O137" s="24" t="str">
        <f>IF(OR(Esselte[[#This Row],[Status]]="Em Linha",Esselte[[#This Row],[Status]]="Componente",Esselte[[#This Row],[Status]]="Materia Prima"),Esselte[[#This Row],[Proj. de V. No prox. mes]]*10,"-")</f>
        <v>-</v>
      </c>
      <c r="P13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7" s="34">
        <f>VLOOKUP(Esselte[[#This Row],[Código]],Projeção[#All],15,FALSE)</f>
        <v>0</v>
      </c>
      <c r="R137" s="43">
        <f>VLOOKUP(Esselte[[#This Row],[Código]],Projeção[#All],14,FALSE)</f>
        <v>0</v>
      </c>
      <c r="S137" s="39">
        <f>IFERROR(VLOOKUP(Esselte[[#This Row],[Código]],Venda_mes[],2,FALSE),0)</f>
        <v>0</v>
      </c>
      <c r="T137" s="44" t="str">
        <f>IFERROR(Esselte[[#This Row],[V. No mes]]/Esselte[[#This Row],[Proj. de V. No mes]],"")</f>
        <v/>
      </c>
      <c r="U137" s="43">
        <f>VLOOKUP(Esselte[[#This Row],[Código]],Projeção[#All],14,FALSE)+VLOOKUP(Esselte[[#This Row],[Código]],Projeção[#All],13,FALSE)+VLOOKUP(Esselte[[#This Row],[Código]],Projeção[#All],12,FALSE)</f>
        <v>0</v>
      </c>
      <c r="V137" s="39">
        <f>IFERROR(VLOOKUP(Esselte[[#This Row],[Código]],Venda_3meses[],2,FALSE),0)</f>
        <v>0</v>
      </c>
      <c r="W137" s="44" t="str">
        <f>IFERROR(Esselte[[#This Row],[V. 3 meses]]/Esselte[[#This Row],[Proj. de V. 3 meses]],"")</f>
        <v/>
      </c>
      <c r="X13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7" s="39">
        <f>IFERROR(VLOOKUP(Esselte[[#This Row],[Código]],Venda_12meses[],2,FALSE),0)</f>
        <v>0</v>
      </c>
      <c r="Z137" s="44" t="str">
        <f>IFERROR(Esselte[[#This Row],[V. 12 meses]]/Esselte[[#This Row],[Proj. de V. 12 meses]],"")</f>
        <v/>
      </c>
      <c r="AA137" s="22"/>
    </row>
    <row r="138" spans="1:27" x14ac:dyDescent="0.25">
      <c r="A138" s="22" t="str">
        <f>VLOOKUP(Esselte[[#This Row],[Código]],BD_Produto[#All],7,FALSE)</f>
        <v>Não entrou em linha</v>
      </c>
      <c r="B13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8" s="23">
        <v>33063563616</v>
      </c>
      <c r="D138" s="22" t="s">
        <v>1573</v>
      </c>
      <c r="E138" s="22">
        <f>VLOOKUP(Esselte[[#This Row],[Código]],BD_Produto[],3,FALSE)</f>
        <v>0</v>
      </c>
      <c r="F138" s="22">
        <f>VLOOKUP(Esselte[[#This Row],[Código]],BD_Produto[],4,FALSE)</f>
        <v>0</v>
      </c>
      <c r="G138" s="24">
        <v>1</v>
      </c>
      <c r="H138" s="25"/>
      <c r="I138" s="22"/>
      <c r="J138" s="24"/>
      <c r="K138" s="24" t="str">
        <f>IFERROR(VLOOKUP(Esselte[[#This Row],[Código]],Importação!P:R,3,FALSE),"")</f>
        <v/>
      </c>
      <c r="L138" s="24">
        <f>IFERROR(VLOOKUP(Esselte[[#This Row],[Código]],Saldo[],3,FALSE),0)</f>
        <v>0</v>
      </c>
      <c r="M138" s="24">
        <f>SUM(Esselte[[#This Row],[Produção]:[Estoque]])</f>
        <v>0</v>
      </c>
      <c r="N138" s="24" t="str">
        <f>IFERROR(Esselte[[#This Row],[Estoque+Importação]]/Esselte[[#This Row],[Proj. de V. No prox. mes]],"Sem Projeção")</f>
        <v>Sem Projeção</v>
      </c>
      <c r="O138" s="24" t="str">
        <f>IF(OR(Esselte[[#This Row],[Status]]="Em Linha",Esselte[[#This Row],[Status]]="Componente",Esselte[[#This Row],[Status]]="Materia Prima"),Esselte[[#This Row],[Proj. de V. No prox. mes]]*10,"-")</f>
        <v>-</v>
      </c>
      <c r="P13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8" s="34">
        <f>VLOOKUP(Esselte[[#This Row],[Código]],Projeção[#All],15,FALSE)</f>
        <v>0</v>
      </c>
      <c r="R138" s="43">
        <f>VLOOKUP(Esselte[[#This Row],[Código]],Projeção[#All],14,FALSE)</f>
        <v>0</v>
      </c>
      <c r="S138" s="39">
        <f>IFERROR(VLOOKUP(Esselte[[#This Row],[Código]],Venda_mes[],2,FALSE),0)</f>
        <v>0</v>
      </c>
      <c r="T138" s="44" t="str">
        <f>IFERROR(Esselte[[#This Row],[V. No mes]]/Esselte[[#This Row],[Proj. de V. No mes]],"")</f>
        <v/>
      </c>
      <c r="U138" s="43">
        <f>VLOOKUP(Esselte[[#This Row],[Código]],Projeção[#All],14,FALSE)+VLOOKUP(Esselte[[#This Row],[Código]],Projeção[#All],13,FALSE)+VLOOKUP(Esselte[[#This Row],[Código]],Projeção[#All],12,FALSE)</f>
        <v>0</v>
      </c>
      <c r="V138" s="39">
        <f>IFERROR(VLOOKUP(Esselte[[#This Row],[Código]],Venda_3meses[],2,FALSE),0)</f>
        <v>0</v>
      </c>
      <c r="W138" s="44" t="str">
        <f>IFERROR(Esselte[[#This Row],[V. 3 meses]]/Esselte[[#This Row],[Proj. de V. 3 meses]],"")</f>
        <v/>
      </c>
      <c r="X13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8" s="39">
        <f>IFERROR(VLOOKUP(Esselte[[#This Row],[Código]],Venda_12meses[],2,FALSE),0)</f>
        <v>0</v>
      </c>
      <c r="Z138" s="44" t="str">
        <f>IFERROR(Esselte[[#This Row],[V. 12 meses]]/Esselte[[#This Row],[Proj. de V. 12 meses]],"")</f>
        <v/>
      </c>
      <c r="AA138" s="22"/>
    </row>
    <row r="139" spans="1:27" x14ac:dyDescent="0.25">
      <c r="A139" s="22" t="str">
        <f>VLOOKUP(Esselte[[#This Row],[Código]],BD_Produto[#All],7,FALSE)</f>
        <v>Não entrou em linha</v>
      </c>
      <c r="B13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39" s="23">
        <v>33063563617</v>
      </c>
      <c r="D139" s="22" t="s">
        <v>1574</v>
      </c>
      <c r="E139" s="22">
        <f>VLOOKUP(Esselte[[#This Row],[Código]],BD_Produto[],3,FALSE)</f>
        <v>0</v>
      </c>
      <c r="F139" s="22">
        <f>VLOOKUP(Esselte[[#This Row],[Código]],BD_Produto[],4,FALSE)</f>
        <v>0</v>
      </c>
      <c r="G139" s="24">
        <v>1</v>
      </c>
      <c r="H139" s="25"/>
      <c r="I139" s="22"/>
      <c r="J139" s="24"/>
      <c r="K139" s="24" t="str">
        <f>IFERROR(VLOOKUP(Esselte[[#This Row],[Código]],Importação!P:R,3,FALSE),"")</f>
        <v/>
      </c>
      <c r="L139" s="24">
        <f>IFERROR(VLOOKUP(Esselte[[#This Row],[Código]],Saldo[],3,FALSE),0)</f>
        <v>0</v>
      </c>
      <c r="M139" s="24">
        <f>SUM(Esselte[[#This Row],[Produção]:[Estoque]])</f>
        <v>0</v>
      </c>
      <c r="N139" s="24" t="str">
        <f>IFERROR(Esselte[[#This Row],[Estoque+Importação]]/Esselte[[#This Row],[Proj. de V. No prox. mes]],"Sem Projeção")</f>
        <v>Sem Projeção</v>
      </c>
      <c r="O139" s="24" t="str">
        <f>IF(OR(Esselte[[#This Row],[Status]]="Em Linha",Esselte[[#This Row],[Status]]="Componente",Esselte[[#This Row],[Status]]="Materia Prima"),Esselte[[#This Row],[Proj. de V. No prox. mes]]*10,"-")</f>
        <v>-</v>
      </c>
      <c r="P13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39" s="34">
        <f>VLOOKUP(Esselte[[#This Row],[Código]],Projeção[#All],15,FALSE)</f>
        <v>0</v>
      </c>
      <c r="R139" s="43">
        <f>VLOOKUP(Esselte[[#This Row],[Código]],Projeção[#All],14,FALSE)</f>
        <v>0</v>
      </c>
      <c r="S139" s="39">
        <f>IFERROR(VLOOKUP(Esselte[[#This Row],[Código]],Venda_mes[],2,FALSE),0)</f>
        <v>0</v>
      </c>
      <c r="T139" s="44" t="str">
        <f>IFERROR(Esselte[[#This Row],[V. No mes]]/Esselte[[#This Row],[Proj. de V. No mes]],"")</f>
        <v/>
      </c>
      <c r="U139" s="43">
        <f>VLOOKUP(Esselte[[#This Row],[Código]],Projeção[#All],14,FALSE)+VLOOKUP(Esselte[[#This Row],[Código]],Projeção[#All],13,FALSE)+VLOOKUP(Esselte[[#This Row],[Código]],Projeção[#All],12,FALSE)</f>
        <v>0</v>
      </c>
      <c r="V139" s="39">
        <f>IFERROR(VLOOKUP(Esselte[[#This Row],[Código]],Venda_3meses[],2,FALSE),0)</f>
        <v>0</v>
      </c>
      <c r="W139" s="44" t="str">
        <f>IFERROR(Esselte[[#This Row],[V. 3 meses]]/Esselte[[#This Row],[Proj. de V. 3 meses]],"")</f>
        <v/>
      </c>
      <c r="X13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39" s="39">
        <f>IFERROR(VLOOKUP(Esselte[[#This Row],[Código]],Venda_12meses[],2,FALSE),0)</f>
        <v>0</v>
      </c>
      <c r="Z139" s="44" t="str">
        <f>IFERROR(Esselte[[#This Row],[V. 12 meses]]/Esselte[[#This Row],[Proj. de V. 12 meses]],"")</f>
        <v/>
      </c>
      <c r="AA139" s="22"/>
    </row>
    <row r="140" spans="1:27" x14ac:dyDescent="0.25">
      <c r="A140" s="22" t="str">
        <f>VLOOKUP(Esselte[[#This Row],[Código]],BD_Produto[#All],7,FALSE)</f>
        <v>Não entrou em linha</v>
      </c>
      <c r="B14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0" s="23">
        <v>33063563618</v>
      </c>
      <c r="D140" s="22" t="s">
        <v>1575</v>
      </c>
      <c r="E140" s="22">
        <f>VLOOKUP(Esselte[[#This Row],[Código]],BD_Produto[],3,FALSE)</f>
        <v>0</v>
      </c>
      <c r="F140" s="22">
        <f>VLOOKUP(Esselte[[#This Row],[Código]],BD_Produto[],4,FALSE)</f>
        <v>0</v>
      </c>
      <c r="G140" s="24">
        <v>1</v>
      </c>
      <c r="H140" s="25"/>
      <c r="I140" s="22"/>
      <c r="J140" s="24"/>
      <c r="K140" s="24" t="str">
        <f>IFERROR(VLOOKUP(Esselte[[#This Row],[Código]],Importação!P:R,3,FALSE),"")</f>
        <v/>
      </c>
      <c r="L140" s="24">
        <f>IFERROR(VLOOKUP(Esselte[[#This Row],[Código]],Saldo[],3,FALSE),0)</f>
        <v>0</v>
      </c>
      <c r="M140" s="24">
        <f>SUM(Esselte[[#This Row],[Produção]:[Estoque]])</f>
        <v>0</v>
      </c>
      <c r="N140" s="24" t="str">
        <f>IFERROR(Esselte[[#This Row],[Estoque+Importação]]/Esselte[[#This Row],[Proj. de V. No prox. mes]],"Sem Projeção")</f>
        <v>Sem Projeção</v>
      </c>
      <c r="O140" s="24" t="str">
        <f>IF(OR(Esselte[[#This Row],[Status]]="Em Linha",Esselte[[#This Row],[Status]]="Componente",Esselte[[#This Row],[Status]]="Materia Prima"),Esselte[[#This Row],[Proj. de V. No prox. mes]]*10,"-")</f>
        <v>-</v>
      </c>
      <c r="P14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0" s="34">
        <f>VLOOKUP(Esselte[[#This Row],[Código]],Projeção[#All],15,FALSE)</f>
        <v>0</v>
      </c>
      <c r="R140" s="43">
        <f>VLOOKUP(Esselte[[#This Row],[Código]],Projeção[#All],14,FALSE)</f>
        <v>0</v>
      </c>
      <c r="S140" s="39">
        <f>IFERROR(VLOOKUP(Esselte[[#This Row],[Código]],Venda_mes[],2,FALSE),0)</f>
        <v>0</v>
      </c>
      <c r="T140" s="44" t="str">
        <f>IFERROR(Esselte[[#This Row],[V. No mes]]/Esselte[[#This Row],[Proj. de V. No mes]],"")</f>
        <v/>
      </c>
      <c r="U140" s="43">
        <f>VLOOKUP(Esselte[[#This Row],[Código]],Projeção[#All],14,FALSE)+VLOOKUP(Esselte[[#This Row],[Código]],Projeção[#All],13,FALSE)+VLOOKUP(Esselte[[#This Row],[Código]],Projeção[#All],12,FALSE)</f>
        <v>0</v>
      </c>
      <c r="V140" s="39">
        <f>IFERROR(VLOOKUP(Esselte[[#This Row],[Código]],Venda_3meses[],2,FALSE),0)</f>
        <v>0</v>
      </c>
      <c r="W140" s="44" t="str">
        <f>IFERROR(Esselte[[#This Row],[V. 3 meses]]/Esselte[[#This Row],[Proj. de V. 3 meses]],"")</f>
        <v/>
      </c>
      <c r="X14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0" s="39">
        <f>IFERROR(VLOOKUP(Esselte[[#This Row],[Código]],Venda_12meses[],2,FALSE),0)</f>
        <v>0</v>
      </c>
      <c r="Z140" s="44" t="str">
        <f>IFERROR(Esselte[[#This Row],[V. 12 meses]]/Esselte[[#This Row],[Proj. de V. 12 meses]],"")</f>
        <v/>
      </c>
      <c r="AA140" s="22"/>
    </row>
    <row r="141" spans="1:27" x14ac:dyDescent="0.25">
      <c r="A141" s="22" t="str">
        <f>VLOOKUP(Esselte[[#This Row],[Código]],BD_Produto[#All],7,FALSE)</f>
        <v>Não entrou em linha</v>
      </c>
      <c r="B14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1" s="23">
        <v>33063563619</v>
      </c>
      <c r="D141" s="22" t="s">
        <v>1576</v>
      </c>
      <c r="E141" s="22">
        <f>VLOOKUP(Esselte[[#This Row],[Código]],BD_Produto[],3,FALSE)</f>
        <v>0</v>
      </c>
      <c r="F141" s="22">
        <f>VLOOKUP(Esselte[[#This Row],[Código]],BD_Produto[],4,FALSE)</f>
        <v>0</v>
      </c>
      <c r="G141" s="24">
        <v>1</v>
      </c>
      <c r="H141" s="25"/>
      <c r="I141" s="22"/>
      <c r="J141" s="24"/>
      <c r="K141" s="24" t="str">
        <f>IFERROR(VLOOKUP(Esselte[[#This Row],[Código]],Importação!P:R,3,FALSE),"")</f>
        <v/>
      </c>
      <c r="L141" s="24">
        <f>IFERROR(VLOOKUP(Esselte[[#This Row],[Código]],Saldo[],3,FALSE),0)</f>
        <v>0</v>
      </c>
      <c r="M141" s="24">
        <f>SUM(Esselte[[#This Row],[Produção]:[Estoque]])</f>
        <v>0</v>
      </c>
      <c r="N141" s="24" t="str">
        <f>IFERROR(Esselte[[#This Row],[Estoque+Importação]]/Esselte[[#This Row],[Proj. de V. No prox. mes]],"Sem Projeção")</f>
        <v>Sem Projeção</v>
      </c>
      <c r="O141" s="24" t="str">
        <f>IF(OR(Esselte[[#This Row],[Status]]="Em Linha",Esselte[[#This Row],[Status]]="Componente",Esselte[[#This Row],[Status]]="Materia Prima"),Esselte[[#This Row],[Proj. de V. No prox. mes]]*10,"-")</f>
        <v>-</v>
      </c>
      <c r="P14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1" s="34">
        <f>VLOOKUP(Esselte[[#This Row],[Código]],Projeção[#All],15,FALSE)</f>
        <v>0</v>
      </c>
      <c r="R141" s="43">
        <f>VLOOKUP(Esselte[[#This Row],[Código]],Projeção[#All],14,FALSE)</f>
        <v>0</v>
      </c>
      <c r="S141" s="39">
        <f>IFERROR(VLOOKUP(Esselte[[#This Row],[Código]],Venda_mes[],2,FALSE),0)</f>
        <v>0</v>
      </c>
      <c r="T141" s="44" t="str">
        <f>IFERROR(Esselte[[#This Row],[V. No mes]]/Esselte[[#This Row],[Proj. de V. No mes]],"")</f>
        <v/>
      </c>
      <c r="U141" s="43">
        <f>VLOOKUP(Esselte[[#This Row],[Código]],Projeção[#All],14,FALSE)+VLOOKUP(Esselte[[#This Row],[Código]],Projeção[#All],13,FALSE)+VLOOKUP(Esselte[[#This Row],[Código]],Projeção[#All],12,FALSE)</f>
        <v>0</v>
      </c>
      <c r="V141" s="39">
        <f>IFERROR(VLOOKUP(Esselte[[#This Row],[Código]],Venda_3meses[],2,FALSE),0)</f>
        <v>0</v>
      </c>
      <c r="W141" s="44" t="str">
        <f>IFERROR(Esselte[[#This Row],[V. 3 meses]]/Esselte[[#This Row],[Proj. de V. 3 meses]],"")</f>
        <v/>
      </c>
      <c r="X14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1" s="39">
        <f>IFERROR(VLOOKUP(Esselte[[#This Row],[Código]],Venda_12meses[],2,FALSE),0)</f>
        <v>0</v>
      </c>
      <c r="Z141" s="44" t="str">
        <f>IFERROR(Esselte[[#This Row],[V. 12 meses]]/Esselte[[#This Row],[Proj. de V. 12 meses]],"")</f>
        <v/>
      </c>
      <c r="AA141" s="22"/>
    </row>
    <row r="142" spans="1:27" x14ac:dyDescent="0.25">
      <c r="A142" s="22" t="str">
        <f>VLOOKUP(Esselte[[#This Row],[Código]],BD_Produto[#All],7,FALSE)</f>
        <v>Não entrou em linha</v>
      </c>
      <c r="B14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2" s="23">
        <v>33063563620</v>
      </c>
      <c r="D142" s="22" t="s">
        <v>1577</v>
      </c>
      <c r="E142" s="22">
        <f>VLOOKUP(Esselte[[#This Row],[Código]],BD_Produto[],3,FALSE)</f>
        <v>0</v>
      </c>
      <c r="F142" s="22">
        <f>VLOOKUP(Esselte[[#This Row],[Código]],BD_Produto[],4,FALSE)</f>
        <v>0</v>
      </c>
      <c r="G142" s="24">
        <v>1</v>
      </c>
      <c r="H142" s="25"/>
      <c r="I142" s="22"/>
      <c r="J142" s="24"/>
      <c r="K142" s="24" t="str">
        <f>IFERROR(VLOOKUP(Esselte[[#This Row],[Código]],Importação!P:R,3,FALSE),"")</f>
        <v/>
      </c>
      <c r="L142" s="24">
        <f>IFERROR(VLOOKUP(Esselte[[#This Row],[Código]],Saldo[],3,FALSE),0)</f>
        <v>0</v>
      </c>
      <c r="M142" s="24">
        <f>SUM(Esselte[[#This Row],[Produção]:[Estoque]])</f>
        <v>0</v>
      </c>
      <c r="N142" s="24" t="str">
        <f>IFERROR(Esselte[[#This Row],[Estoque+Importação]]/Esselte[[#This Row],[Proj. de V. No prox. mes]],"Sem Projeção")</f>
        <v>Sem Projeção</v>
      </c>
      <c r="O142" s="24" t="str">
        <f>IF(OR(Esselte[[#This Row],[Status]]="Em Linha",Esselte[[#This Row],[Status]]="Componente",Esselte[[#This Row],[Status]]="Materia Prima"),Esselte[[#This Row],[Proj. de V. No prox. mes]]*10,"-")</f>
        <v>-</v>
      </c>
      <c r="P14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2" s="34">
        <f>VLOOKUP(Esselte[[#This Row],[Código]],Projeção[#All],15,FALSE)</f>
        <v>0</v>
      </c>
      <c r="R142" s="43">
        <f>VLOOKUP(Esselte[[#This Row],[Código]],Projeção[#All],14,FALSE)</f>
        <v>0</v>
      </c>
      <c r="S142" s="39">
        <f>IFERROR(VLOOKUP(Esselte[[#This Row],[Código]],Venda_mes[],2,FALSE),0)</f>
        <v>0</v>
      </c>
      <c r="T142" s="44" t="str">
        <f>IFERROR(Esselte[[#This Row],[V. No mes]]/Esselte[[#This Row],[Proj. de V. No mes]],"")</f>
        <v/>
      </c>
      <c r="U142" s="43">
        <f>VLOOKUP(Esselte[[#This Row],[Código]],Projeção[#All],14,FALSE)+VLOOKUP(Esselte[[#This Row],[Código]],Projeção[#All],13,FALSE)+VLOOKUP(Esselte[[#This Row],[Código]],Projeção[#All],12,FALSE)</f>
        <v>0</v>
      </c>
      <c r="V142" s="39">
        <f>IFERROR(VLOOKUP(Esselte[[#This Row],[Código]],Venda_3meses[],2,FALSE),0)</f>
        <v>0</v>
      </c>
      <c r="W142" s="44" t="str">
        <f>IFERROR(Esselte[[#This Row],[V. 3 meses]]/Esselte[[#This Row],[Proj. de V. 3 meses]],"")</f>
        <v/>
      </c>
      <c r="X14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2" s="39">
        <f>IFERROR(VLOOKUP(Esselte[[#This Row],[Código]],Venda_12meses[],2,FALSE),0)</f>
        <v>0</v>
      </c>
      <c r="Z142" s="44" t="str">
        <f>IFERROR(Esselte[[#This Row],[V. 12 meses]]/Esselte[[#This Row],[Proj. de V. 12 meses]],"")</f>
        <v/>
      </c>
      <c r="AA142" s="22"/>
    </row>
    <row r="143" spans="1:27" x14ac:dyDescent="0.25">
      <c r="A143" s="22" t="str">
        <f>VLOOKUP(Esselte[[#This Row],[Código]],BD_Produto[#All],7,FALSE)</f>
        <v>Não entrou em linha</v>
      </c>
      <c r="B14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3" s="23">
        <v>33063563621</v>
      </c>
      <c r="D143" s="22" t="s">
        <v>1578</v>
      </c>
      <c r="E143" s="22">
        <f>VLOOKUP(Esselte[[#This Row],[Código]],BD_Produto[],3,FALSE)</f>
        <v>0</v>
      </c>
      <c r="F143" s="22">
        <f>VLOOKUP(Esselte[[#This Row],[Código]],BD_Produto[],4,FALSE)</f>
        <v>0</v>
      </c>
      <c r="G143" s="24">
        <v>1</v>
      </c>
      <c r="H143" s="25"/>
      <c r="I143" s="22"/>
      <c r="J143" s="24"/>
      <c r="K143" s="24" t="str">
        <f>IFERROR(VLOOKUP(Esselte[[#This Row],[Código]],Importação!P:R,3,FALSE),"")</f>
        <v/>
      </c>
      <c r="L143" s="24">
        <f>IFERROR(VLOOKUP(Esselte[[#This Row],[Código]],Saldo[],3,FALSE),0)</f>
        <v>0</v>
      </c>
      <c r="M143" s="24">
        <f>SUM(Esselte[[#This Row],[Produção]:[Estoque]])</f>
        <v>0</v>
      </c>
      <c r="N143" s="24" t="str">
        <f>IFERROR(Esselte[[#This Row],[Estoque+Importação]]/Esselte[[#This Row],[Proj. de V. No prox. mes]],"Sem Projeção")</f>
        <v>Sem Projeção</v>
      </c>
      <c r="O143" s="24" t="str">
        <f>IF(OR(Esselte[[#This Row],[Status]]="Em Linha",Esselte[[#This Row],[Status]]="Componente",Esselte[[#This Row],[Status]]="Materia Prima"),Esselte[[#This Row],[Proj. de V. No prox. mes]]*10,"-")</f>
        <v>-</v>
      </c>
      <c r="P14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3" s="34">
        <f>VLOOKUP(Esselte[[#This Row],[Código]],Projeção[#All],15,FALSE)</f>
        <v>0</v>
      </c>
      <c r="R143" s="43">
        <f>VLOOKUP(Esselte[[#This Row],[Código]],Projeção[#All],14,FALSE)</f>
        <v>0</v>
      </c>
      <c r="S143" s="39">
        <f>IFERROR(VLOOKUP(Esselte[[#This Row],[Código]],Venda_mes[],2,FALSE),0)</f>
        <v>0</v>
      </c>
      <c r="T143" s="44" t="str">
        <f>IFERROR(Esselte[[#This Row],[V. No mes]]/Esselte[[#This Row],[Proj. de V. No mes]],"")</f>
        <v/>
      </c>
      <c r="U143" s="43">
        <f>VLOOKUP(Esselte[[#This Row],[Código]],Projeção[#All],14,FALSE)+VLOOKUP(Esselte[[#This Row],[Código]],Projeção[#All],13,FALSE)+VLOOKUP(Esselte[[#This Row],[Código]],Projeção[#All],12,FALSE)</f>
        <v>0</v>
      </c>
      <c r="V143" s="39">
        <f>IFERROR(VLOOKUP(Esselte[[#This Row],[Código]],Venda_3meses[],2,FALSE),0)</f>
        <v>0</v>
      </c>
      <c r="W143" s="44" t="str">
        <f>IFERROR(Esselte[[#This Row],[V. 3 meses]]/Esselte[[#This Row],[Proj. de V. 3 meses]],"")</f>
        <v/>
      </c>
      <c r="X14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3" s="39">
        <f>IFERROR(VLOOKUP(Esselte[[#This Row],[Código]],Venda_12meses[],2,FALSE),0)</f>
        <v>0</v>
      </c>
      <c r="Z143" s="44" t="str">
        <f>IFERROR(Esselte[[#This Row],[V. 12 meses]]/Esselte[[#This Row],[Proj. de V. 12 meses]],"")</f>
        <v/>
      </c>
      <c r="AA143" s="22"/>
    </row>
    <row r="144" spans="1:27" x14ac:dyDescent="0.25">
      <c r="A144" s="22" t="str">
        <f>VLOOKUP(Esselte[[#This Row],[Código]],BD_Produto[#All],7,FALSE)</f>
        <v>Não entrou em linha</v>
      </c>
      <c r="B14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4" s="23">
        <v>33063263622</v>
      </c>
      <c r="D144" s="22" t="s">
        <v>1579</v>
      </c>
      <c r="E144" s="22">
        <f>VLOOKUP(Esselte[[#This Row],[Código]],BD_Produto[],3,FALSE)</f>
        <v>0</v>
      </c>
      <c r="F144" s="22">
        <f>VLOOKUP(Esselte[[#This Row],[Código]],BD_Produto[],4,FALSE)</f>
        <v>0</v>
      </c>
      <c r="G144" s="24">
        <v>1</v>
      </c>
      <c r="H144" s="25"/>
      <c r="I144" s="22"/>
      <c r="J144" s="24"/>
      <c r="K144" s="24" t="str">
        <f>IFERROR(VLOOKUP(Esselte[[#This Row],[Código]],Importação!P:R,3,FALSE),"")</f>
        <v/>
      </c>
      <c r="L144" s="24">
        <f>IFERROR(VLOOKUP(Esselte[[#This Row],[Código]],Saldo[],3,FALSE),0)</f>
        <v>0</v>
      </c>
      <c r="M144" s="24">
        <f>SUM(Esselte[[#This Row],[Produção]:[Estoque]])</f>
        <v>0</v>
      </c>
      <c r="N144" s="24" t="str">
        <f>IFERROR(Esselte[[#This Row],[Estoque+Importação]]/Esselte[[#This Row],[Proj. de V. No prox. mes]],"Sem Projeção")</f>
        <v>Sem Projeção</v>
      </c>
      <c r="O144" s="24" t="str">
        <f>IF(OR(Esselte[[#This Row],[Status]]="Em Linha",Esselte[[#This Row],[Status]]="Componente",Esselte[[#This Row],[Status]]="Materia Prima"),Esselte[[#This Row],[Proj. de V. No prox. mes]]*10,"-")</f>
        <v>-</v>
      </c>
      <c r="P14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4" s="34">
        <f>VLOOKUP(Esselte[[#This Row],[Código]],Projeção[#All],15,FALSE)</f>
        <v>0</v>
      </c>
      <c r="R144" s="43">
        <f>VLOOKUP(Esselte[[#This Row],[Código]],Projeção[#All],14,FALSE)</f>
        <v>0</v>
      </c>
      <c r="S144" s="39">
        <f>IFERROR(VLOOKUP(Esselte[[#This Row],[Código]],Venda_mes[],2,FALSE),0)</f>
        <v>0</v>
      </c>
      <c r="T144" s="44" t="str">
        <f>IFERROR(Esselte[[#This Row],[V. No mes]]/Esselte[[#This Row],[Proj. de V. No mes]],"")</f>
        <v/>
      </c>
      <c r="U144" s="43">
        <f>VLOOKUP(Esselte[[#This Row],[Código]],Projeção[#All],14,FALSE)+VLOOKUP(Esselte[[#This Row],[Código]],Projeção[#All],13,FALSE)+VLOOKUP(Esselte[[#This Row],[Código]],Projeção[#All],12,FALSE)</f>
        <v>0</v>
      </c>
      <c r="V144" s="39">
        <f>IFERROR(VLOOKUP(Esselte[[#This Row],[Código]],Venda_3meses[],2,FALSE),0)</f>
        <v>0</v>
      </c>
      <c r="W144" s="44" t="str">
        <f>IFERROR(Esselte[[#This Row],[V. 3 meses]]/Esselte[[#This Row],[Proj. de V. 3 meses]],"")</f>
        <v/>
      </c>
      <c r="X14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4" s="39">
        <f>IFERROR(VLOOKUP(Esselte[[#This Row],[Código]],Venda_12meses[],2,FALSE),0)</f>
        <v>0</v>
      </c>
      <c r="Z144" s="44" t="str">
        <f>IFERROR(Esselte[[#This Row],[V. 12 meses]]/Esselte[[#This Row],[Proj. de V. 12 meses]],"")</f>
        <v/>
      </c>
      <c r="AA144" s="22"/>
    </row>
    <row r="145" spans="1:27" x14ac:dyDescent="0.25">
      <c r="A145" s="22" t="str">
        <f>VLOOKUP(Esselte[[#This Row],[Código]],BD_Produto[#All],7,FALSE)</f>
        <v>Não entrou em linha</v>
      </c>
      <c r="B14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5" s="23">
        <v>33063263623</v>
      </c>
      <c r="D145" s="22" t="s">
        <v>1580</v>
      </c>
      <c r="E145" s="22">
        <f>VLOOKUP(Esselte[[#This Row],[Código]],BD_Produto[],3,FALSE)</f>
        <v>0</v>
      </c>
      <c r="F145" s="22">
        <f>VLOOKUP(Esselte[[#This Row],[Código]],BD_Produto[],4,FALSE)</f>
        <v>0</v>
      </c>
      <c r="G145" s="24">
        <v>1</v>
      </c>
      <c r="H145" s="25"/>
      <c r="I145" s="22"/>
      <c r="J145" s="24"/>
      <c r="K145" s="24" t="str">
        <f>IFERROR(VLOOKUP(Esselte[[#This Row],[Código]],Importação!P:R,3,FALSE),"")</f>
        <v/>
      </c>
      <c r="L145" s="24">
        <f>IFERROR(VLOOKUP(Esselte[[#This Row],[Código]],Saldo[],3,FALSE),0)</f>
        <v>0</v>
      </c>
      <c r="M145" s="24">
        <f>SUM(Esselte[[#This Row],[Produção]:[Estoque]])</f>
        <v>0</v>
      </c>
      <c r="N145" s="24" t="str">
        <f>IFERROR(Esselte[[#This Row],[Estoque+Importação]]/Esselte[[#This Row],[Proj. de V. No prox. mes]],"Sem Projeção")</f>
        <v>Sem Projeção</v>
      </c>
      <c r="O145" s="24" t="str">
        <f>IF(OR(Esselte[[#This Row],[Status]]="Em Linha",Esselte[[#This Row],[Status]]="Componente",Esselte[[#This Row],[Status]]="Materia Prima"),Esselte[[#This Row],[Proj. de V. No prox. mes]]*10,"-")</f>
        <v>-</v>
      </c>
      <c r="P14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5" s="34">
        <f>VLOOKUP(Esselte[[#This Row],[Código]],Projeção[#All],15,FALSE)</f>
        <v>0</v>
      </c>
      <c r="R145" s="43">
        <f>VLOOKUP(Esselte[[#This Row],[Código]],Projeção[#All],14,FALSE)</f>
        <v>0</v>
      </c>
      <c r="S145" s="39">
        <f>IFERROR(VLOOKUP(Esselte[[#This Row],[Código]],Venda_mes[],2,FALSE),0)</f>
        <v>0</v>
      </c>
      <c r="T145" s="44" t="str">
        <f>IFERROR(Esselte[[#This Row],[V. No mes]]/Esselte[[#This Row],[Proj. de V. No mes]],"")</f>
        <v/>
      </c>
      <c r="U145" s="43">
        <f>VLOOKUP(Esselte[[#This Row],[Código]],Projeção[#All],14,FALSE)+VLOOKUP(Esselte[[#This Row],[Código]],Projeção[#All],13,FALSE)+VLOOKUP(Esselte[[#This Row],[Código]],Projeção[#All],12,FALSE)</f>
        <v>0</v>
      </c>
      <c r="V145" s="39">
        <f>IFERROR(VLOOKUP(Esselte[[#This Row],[Código]],Venda_3meses[],2,FALSE),0)</f>
        <v>0</v>
      </c>
      <c r="W145" s="44" t="str">
        <f>IFERROR(Esselte[[#This Row],[V. 3 meses]]/Esselte[[#This Row],[Proj. de V. 3 meses]],"")</f>
        <v/>
      </c>
      <c r="X14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5" s="39">
        <f>IFERROR(VLOOKUP(Esselte[[#This Row],[Código]],Venda_12meses[],2,FALSE),0)</f>
        <v>0</v>
      </c>
      <c r="Z145" s="44" t="str">
        <f>IFERROR(Esselte[[#This Row],[V. 12 meses]]/Esselte[[#This Row],[Proj. de V. 12 meses]],"")</f>
        <v/>
      </c>
      <c r="AA145" s="22"/>
    </row>
    <row r="146" spans="1:27" x14ac:dyDescent="0.25">
      <c r="A146" s="22" t="str">
        <f>VLOOKUP(Esselte[[#This Row],[Código]],BD_Produto[#All],7,FALSE)</f>
        <v>Não entrou em linha</v>
      </c>
      <c r="B14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6" s="23">
        <v>33063263624</v>
      </c>
      <c r="D146" s="22" t="s">
        <v>1581</v>
      </c>
      <c r="E146" s="22">
        <f>VLOOKUP(Esselte[[#This Row],[Código]],BD_Produto[],3,FALSE)</f>
        <v>0</v>
      </c>
      <c r="F146" s="22">
        <f>VLOOKUP(Esselte[[#This Row],[Código]],BD_Produto[],4,FALSE)</f>
        <v>0</v>
      </c>
      <c r="G146" s="24">
        <v>1</v>
      </c>
      <c r="H146" s="25"/>
      <c r="I146" s="22"/>
      <c r="J146" s="24"/>
      <c r="K146" s="24" t="str">
        <f>IFERROR(VLOOKUP(Esselte[[#This Row],[Código]],Importação!P:R,3,FALSE),"")</f>
        <v/>
      </c>
      <c r="L146" s="24">
        <f>IFERROR(VLOOKUP(Esselte[[#This Row],[Código]],Saldo[],3,FALSE),0)</f>
        <v>0</v>
      </c>
      <c r="M146" s="24">
        <f>SUM(Esselte[[#This Row],[Produção]:[Estoque]])</f>
        <v>0</v>
      </c>
      <c r="N146" s="24" t="str">
        <f>IFERROR(Esselte[[#This Row],[Estoque+Importação]]/Esselte[[#This Row],[Proj. de V. No prox. mes]],"Sem Projeção")</f>
        <v>Sem Projeção</v>
      </c>
      <c r="O146" s="24" t="str">
        <f>IF(OR(Esselte[[#This Row],[Status]]="Em Linha",Esselte[[#This Row],[Status]]="Componente",Esselte[[#This Row],[Status]]="Materia Prima"),Esselte[[#This Row],[Proj. de V. No prox. mes]]*10,"-")</f>
        <v>-</v>
      </c>
      <c r="P14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6" s="34">
        <f>VLOOKUP(Esselte[[#This Row],[Código]],Projeção[#All],15,FALSE)</f>
        <v>0</v>
      </c>
      <c r="R146" s="43">
        <f>VLOOKUP(Esselte[[#This Row],[Código]],Projeção[#All],14,FALSE)</f>
        <v>0</v>
      </c>
      <c r="S146" s="39">
        <f>IFERROR(VLOOKUP(Esselte[[#This Row],[Código]],Venda_mes[],2,FALSE),0)</f>
        <v>0</v>
      </c>
      <c r="T146" s="44" t="str">
        <f>IFERROR(Esselte[[#This Row],[V. No mes]]/Esselte[[#This Row],[Proj. de V. No mes]],"")</f>
        <v/>
      </c>
      <c r="U146" s="43">
        <f>VLOOKUP(Esselte[[#This Row],[Código]],Projeção[#All],14,FALSE)+VLOOKUP(Esselte[[#This Row],[Código]],Projeção[#All],13,FALSE)+VLOOKUP(Esselte[[#This Row],[Código]],Projeção[#All],12,FALSE)</f>
        <v>0</v>
      </c>
      <c r="V146" s="39">
        <f>IFERROR(VLOOKUP(Esselte[[#This Row],[Código]],Venda_3meses[],2,FALSE),0)</f>
        <v>0</v>
      </c>
      <c r="W146" s="44" t="str">
        <f>IFERROR(Esselte[[#This Row],[V. 3 meses]]/Esselte[[#This Row],[Proj. de V. 3 meses]],"")</f>
        <v/>
      </c>
      <c r="X14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6" s="39">
        <f>IFERROR(VLOOKUP(Esselte[[#This Row],[Código]],Venda_12meses[],2,FALSE),0)</f>
        <v>0</v>
      </c>
      <c r="Z146" s="44" t="str">
        <f>IFERROR(Esselte[[#This Row],[V. 12 meses]]/Esselte[[#This Row],[Proj. de V. 12 meses]],"")</f>
        <v/>
      </c>
      <c r="AA146" s="22"/>
    </row>
    <row r="147" spans="1:27" x14ac:dyDescent="0.25">
      <c r="A147" s="22" t="str">
        <f>VLOOKUP(Esselte[[#This Row],[Código]],BD_Produto[#All],7,FALSE)</f>
        <v>Não entrou em linha</v>
      </c>
      <c r="B14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7" s="23">
        <v>33063263625</v>
      </c>
      <c r="D147" s="22" t="s">
        <v>1582</v>
      </c>
      <c r="E147" s="22">
        <f>VLOOKUP(Esselte[[#This Row],[Código]],BD_Produto[],3,FALSE)</f>
        <v>0</v>
      </c>
      <c r="F147" s="22">
        <f>VLOOKUP(Esselte[[#This Row],[Código]],BD_Produto[],4,FALSE)</f>
        <v>0</v>
      </c>
      <c r="G147" s="24">
        <v>1</v>
      </c>
      <c r="H147" s="25"/>
      <c r="I147" s="22"/>
      <c r="J147" s="24"/>
      <c r="K147" s="24" t="str">
        <f>IFERROR(VLOOKUP(Esselte[[#This Row],[Código]],Importação!P:R,3,FALSE),"")</f>
        <v/>
      </c>
      <c r="L147" s="24">
        <f>IFERROR(VLOOKUP(Esselte[[#This Row],[Código]],Saldo[],3,FALSE),0)</f>
        <v>0</v>
      </c>
      <c r="M147" s="24">
        <f>SUM(Esselte[[#This Row],[Produção]:[Estoque]])</f>
        <v>0</v>
      </c>
      <c r="N147" s="24" t="str">
        <f>IFERROR(Esselte[[#This Row],[Estoque+Importação]]/Esselte[[#This Row],[Proj. de V. No prox. mes]],"Sem Projeção")</f>
        <v>Sem Projeção</v>
      </c>
      <c r="O147" s="24" t="str">
        <f>IF(OR(Esselte[[#This Row],[Status]]="Em Linha",Esselte[[#This Row],[Status]]="Componente",Esselte[[#This Row],[Status]]="Materia Prima"),Esselte[[#This Row],[Proj. de V. No prox. mes]]*10,"-")</f>
        <v>-</v>
      </c>
      <c r="P14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7" s="34">
        <f>VLOOKUP(Esselte[[#This Row],[Código]],Projeção[#All],15,FALSE)</f>
        <v>0</v>
      </c>
      <c r="R147" s="43">
        <f>VLOOKUP(Esselte[[#This Row],[Código]],Projeção[#All],14,FALSE)</f>
        <v>0</v>
      </c>
      <c r="S147" s="39">
        <f>IFERROR(VLOOKUP(Esselte[[#This Row],[Código]],Venda_mes[],2,FALSE),0)</f>
        <v>0</v>
      </c>
      <c r="T147" s="44" t="str">
        <f>IFERROR(Esselte[[#This Row],[V. No mes]]/Esselte[[#This Row],[Proj. de V. No mes]],"")</f>
        <v/>
      </c>
      <c r="U147" s="43">
        <f>VLOOKUP(Esselte[[#This Row],[Código]],Projeção[#All],14,FALSE)+VLOOKUP(Esselte[[#This Row],[Código]],Projeção[#All],13,FALSE)+VLOOKUP(Esselte[[#This Row],[Código]],Projeção[#All],12,FALSE)</f>
        <v>0</v>
      </c>
      <c r="V147" s="39">
        <f>IFERROR(VLOOKUP(Esselte[[#This Row],[Código]],Venda_3meses[],2,FALSE),0)</f>
        <v>0</v>
      </c>
      <c r="W147" s="44" t="str">
        <f>IFERROR(Esselte[[#This Row],[V. 3 meses]]/Esselte[[#This Row],[Proj. de V. 3 meses]],"")</f>
        <v/>
      </c>
      <c r="X14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7" s="39">
        <f>IFERROR(VLOOKUP(Esselte[[#This Row],[Código]],Venda_12meses[],2,FALSE),0)</f>
        <v>0</v>
      </c>
      <c r="Z147" s="44" t="str">
        <f>IFERROR(Esselte[[#This Row],[V. 12 meses]]/Esselte[[#This Row],[Proj. de V. 12 meses]],"")</f>
        <v/>
      </c>
      <c r="AA147" s="22"/>
    </row>
    <row r="148" spans="1:27" x14ac:dyDescent="0.25">
      <c r="A148" s="22" t="str">
        <f>VLOOKUP(Esselte[[#This Row],[Código]],BD_Produto[#All],7,FALSE)</f>
        <v>Não entrou em linha</v>
      </c>
      <c r="B14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8" s="23">
        <v>33063063626</v>
      </c>
      <c r="D148" s="22" t="s">
        <v>1583</v>
      </c>
      <c r="E148" s="22">
        <f>VLOOKUP(Esselte[[#This Row],[Código]],BD_Produto[],3,FALSE)</f>
        <v>0</v>
      </c>
      <c r="F148" s="22">
        <f>VLOOKUP(Esselte[[#This Row],[Código]],BD_Produto[],4,FALSE)</f>
        <v>0</v>
      </c>
      <c r="G148" s="24">
        <v>1</v>
      </c>
      <c r="H148" s="25"/>
      <c r="I148" s="22"/>
      <c r="J148" s="24"/>
      <c r="K148" s="24" t="str">
        <f>IFERROR(VLOOKUP(Esselte[[#This Row],[Código]],Importação!P:R,3,FALSE),"")</f>
        <v/>
      </c>
      <c r="L148" s="24">
        <f>IFERROR(VLOOKUP(Esselte[[#This Row],[Código]],Saldo[],3,FALSE),0)</f>
        <v>0</v>
      </c>
      <c r="M148" s="24">
        <f>SUM(Esselte[[#This Row],[Produção]:[Estoque]])</f>
        <v>0</v>
      </c>
      <c r="N148" s="24" t="str">
        <f>IFERROR(Esselte[[#This Row],[Estoque+Importação]]/Esselte[[#This Row],[Proj. de V. No prox. mes]],"Sem Projeção")</f>
        <v>Sem Projeção</v>
      </c>
      <c r="O148" s="24" t="str">
        <f>IF(OR(Esselte[[#This Row],[Status]]="Em Linha",Esselte[[#This Row],[Status]]="Componente",Esselte[[#This Row],[Status]]="Materia Prima"),Esselte[[#This Row],[Proj. de V. No prox. mes]]*10,"-")</f>
        <v>-</v>
      </c>
      <c r="P14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8" s="34">
        <f>VLOOKUP(Esselte[[#This Row],[Código]],Projeção[#All],15,FALSE)</f>
        <v>0</v>
      </c>
      <c r="R148" s="43">
        <f>VLOOKUP(Esselte[[#This Row],[Código]],Projeção[#All],14,FALSE)</f>
        <v>0</v>
      </c>
      <c r="S148" s="39">
        <f>IFERROR(VLOOKUP(Esselte[[#This Row],[Código]],Venda_mes[],2,FALSE),0)</f>
        <v>0</v>
      </c>
      <c r="T148" s="44" t="str">
        <f>IFERROR(Esselte[[#This Row],[V. No mes]]/Esselte[[#This Row],[Proj. de V. No mes]],"")</f>
        <v/>
      </c>
      <c r="U148" s="43">
        <f>VLOOKUP(Esselte[[#This Row],[Código]],Projeção[#All],14,FALSE)+VLOOKUP(Esselte[[#This Row],[Código]],Projeção[#All],13,FALSE)+VLOOKUP(Esselte[[#This Row],[Código]],Projeção[#All],12,FALSE)</f>
        <v>0</v>
      </c>
      <c r="V148" s="39">
        <f>IFERROR(VLOOKUP(Esselte[[#This Row],[Código]],Venda_3meses[],2,FALSE),0)</f>
        <v>0</v>
      </c>
      <c r="W148" s="44" t="str">
        <f>IFERROR(Esselte[[#This Row],[V. 3 meses]]/Esselte[[#This Row],[Proj. de V. 3 meses]],"")</f>
        <v/>
      </c>
      <c r="X14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8" s="39">
        <f>IFERROR(VLOOKUP(Esselte[[#This Row],[Código]],Venda_12meses[],2,FALSE),0)</f>
        <v>0</v>
      </c>
      <c r="Z148" s="44" t="str">
        <f>IFERROR(Esselte[[#This Row],[V. 12 meses]]/Esselte[[#This Row],[Proj. de V. 12 meses]],"")</f>
        <v/>
      </c>
      <c r="AA148" s="22"/>
    </row>
    <row r="149" spans="1:27" x14ac:dyDescent="0.25">
      <c r="A149" s="22" t="str">
        <f>VLOOKUP(Esselte[[#This Row],[Código]],BD_Produto[#All],7,FALSE)</f>
        <v>Não entrou em linha</v>
      </c>
      <c r="B14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49" s="23">
        <v>33063063627</v>
      </c>
      <c r="D149" s="22" t="s">
        <v>1584</v>
      </c>
      <c r="E149" s="22">
        <f>VLOOKUP(Esselte[[#This Row],[Código]],BD_Produto[],3,FALSE)</f>
        <v>0</v>
      </c>
      <c r="F149" s="22">
        <f>VLOOKUP(Esselte[[#This Row],[Código]],BD_Produto[],4,FALSE)</f>
        <v>0</v>
      </c>
      <c r="G149" s="24">
        <v>1</v>
      </c>
      <c r="H149" s="25"/>
      <c r="I149" s="22"/>
      <c r="J149" s="24"/>
      <c r="K149" s="24" t="str">
        <f>IFERROR(VLOOKUP(Esselte[[#This Row],[Código]],Importação!P:R,3,FALSE),"")</f>
        <v/>
      </c>
      <c r="L149" s="24">
        <f>IFERROR(VLOOKUP(Esselte[[#This Row],[Código]],Saldo[],3,FALSE),0)</f>
        <v>0</v>
      </c>
      <c r="M149" s="24">
        <f>SUM(Esselte[[#This Row],[Produção]:[Estoque]])</f>
        <v>0</v>
      </c>
      <c r="N149" s="24" t="str">
        <f>IFERROR(Esselte[[#This Row],[Estoque+Importação]]/Esselte[[#This Row],[Proj. de V. No prox. mes]],"Sem Projeção")</f>
        <v>Sem Projeção</v>
      </c>
      <c r="O149" s="24" t="str">
        <f>IF(OR(Esselte[[#This Row],[Status]]="Em Linha",Esselte[[#This Row],[Status]]="Componente",Esselte[[#This Row],[Status]]="Materia Prima"),Esselte[[#This Row],[Proj. de V. No prox. mes]]*10,"-")</f>
        <v>-</v>
      </c>
      <c r="P14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49" s="34">
        <f>VLOOKUP(Esselte[[#This Row],[Código]],Projeção[#All],15,FALSE)</f>
        <v>0</v>
      </c>
      <c r="R149" s="43">
        <f>VLOOKUP(Esselte[[#This Row],[Código]],Projeção[#All],14,FALSE)</f>
        <v>0</v>
      </c>
      <c r="S149" s="39">
        <f>IFERROR(VLOOKUP(Esselte[[#This Row],[Código]],Venda_mes[],2,FALSE),0)</f>
        <v>0</v>
      </c>
      <c r="T149" s="44" t="str">
        <f>IFERROR(Esselte[[#This Row],[V. No mes]]/Esselte[[#This Row],[Proj. de V. No mes]],"")</f>
        <v/>
      </c>
      <c r="U149" s="43">
        <f>VLOOKUP(Esselte[[#This Row],[Código]],Projeção[#All],14,FALSE)+VLOOKUP(Esselte[[#This Row],[Código]],Projeção[#All],13,FALSE)+VLOOKUP(Esselte[[#This Row],[Código]],Projeção[#All],12,FALSE)</f>
        <v>0</v>
      </c>
      <c r="V149" s="39">
        <f>IFERROR(VLOOKUP(Esselte[[#This Row],[Código]],Venda_3meses[],2,FALSE),0)</f>
        <v>0</v>
      </c>
      <c r="W149" s="44" t="str">
        <f>IFERROR(Esselte[[#This Row],[V. 3 meses]]/Esselte[[#This Row],[Proj. de V. 3 meses]],"")</f>
        <v/>
      </c>
      <c r="X14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49" s="39">
        <f>IFERROR(VLOOKUP(Esselte[[#This Row],[Código]],Venda_12meses[],2,FALSE),0)</f>
        <v>0</v>
      </c>
      <c r="Z149" s="44" t="str">
        <f>IFERROR(Esselte[[#This Row],[V. 12 meses]]/Esselte[[#This Row],[Proj. de V. 12 meses]],"")</f>
        <v/>
      </c>
      <c r="AA149" s="22"/>
    </row>
    <row r="150" spans="1:27" x14ac:dyDescent="0.25">
      <c r="A150" s="22" t="str">
        <f>VLOOKUP(Esselte[[#This Row],[Código]],BD_Produto[#All],7,FALSE)</f>
        <v>Não entrou em linha</v>
      </c>
      <c r="B15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0" s="23">
        <v>33063063628</v>
      </c>
      <c r="D150" s="22" t="s">
        <v>1585</v>
      </c>
      <c r="E150" s="22">
        <f>VLOOKUP(Esselte[[#This Row],[Código]],BD_Produto[],3,FALSE)</f>
        <v>0</v>
      </c>
      <c r="F150" s="22">
        <f>VLOOKUP(Esselte[[#This Row],[Código]],BD_Produto[],4,FALSE)</f>
        <v>0</v>
      </c>
      <c r="G150" s="24">
        <v>1</v>
      </c>
      <c r="H150" s="25"/>
      <c r="I150" s="22"/>
      <c r="J150" s="24"/>
      <c r="K150" s="24" t="str">
        <f>IFERROR(VLOOKUP(Esselte[[#This Row],[Código]],Importação!P:R,3,FALSE),"")</f>
        <v/>
      </c>
      <c r="L150" s="24">
        <f>IFERROR(VLOOKUP(Esselte[[#This Row],[Código]],Saldo[],3,FALSE),0)</f>
        <v>0</v>
      </c>
      <c r="M150" s="24">
        <f>SUM(Esselte[[#This Row],[Produção]:[Estoque]])</f>
        <v>0</v>
      </c>
      <c r="N150" s="24" t="str">
        <f>IFERROR(Esselte[[#This Row],[Estoque+Importação]]/Esselte[[#This Row],[Proj. de V. No prox. mes]],"Sem Projeção")</f>
        <v>Sem Projeção</v>
      </c>
      <c r="O150" s="24" t="str">
        <f>IF(OR(Esselte[[#This Row],[Status]]="Em Linha",Esselte[[#This Row],[Status]]="Componente",Esselte[[#This Row],[Status]]="Materia Prima"),Esselte[[#This Row],[Proj. de V. No prox. mes]]*10,"-")</f>
        <v>-</v>
      </c>
      <c r="P15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0" s="34">
        <f>VLOOKUP(Esselte[[#This Row],[Código]],Projeção[#All],15,FALSE)</f>
        <v>0</v>
      </c>
      <c r="R150" s="43">
        <f>VLOOKUP(Esselte[[#This Row],[Código]],Projeção[#All],14,FALSE)</f>
        <v>0</v>
      </c>
      <c r="S150" s="39">
        <f>IFERROR(VLOOKUP(Esselte[[#This Row],[Código]],Venda_mes[],2,FALSE),0)</f>
        <v>0</v>
      </c>
      <c r="T150" s="44" t="str">
        <f>IFERROR(Esselte[[#This Row],[V. No mes]]/Esselte[[#This Row],[Proj. de V. No mes]],"")</f>
        <v/>
      </c>
      <c r="U150" s="43">
        <f>VLOOKUP(Esselte[[#This Row],[Código]],Projeção[#All],14,FALSE)+VLOOKUP(Esselte[[#This Row],[Código]],Projeção[#All],13,FALSE)+VLOOKUP(Esselte[[#This Row],[Código]],Projeção[#All],12,FALSE)</f>
        <v>0</v>
      </c>
      <c r="V150" s="39">
        <f>IFERROR(VLOOKUP(Esselte[[#This Row],[Código]],Venda_3meses[],2,FALSE),0)</f>
        <v>0</v>
      </c>
      <c r="W150" s="44" t="str">
        <f>IFERROR(Esselte[[#This Row],[V. 3 meses]]/Esselte[[#This Row],[Proj. de V. 3 meses]],"")</f>
        <v/>
      </c>
      <c r="X15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0" s="39">
        <f>IFERROR(VLOOKUP(Esselte[[#This Row],[Código]],Venda_12meses[],2,FALSE),0)</f>
        <v>0</v>
      </c>
      <c r="Z150" s="44" t="str">
        <f>IFERROR(Esselte[[#This Row],[V. 12 meses]]/Esselte[[#This Row],[Proj. de V. 12 meses]],"")</f>
        <v/>
      </c>
      <c r="AA150" s="22"/>
    </row>
    <row r="151" spans="1:27" x14ac:dyDescent="0.25">
      <c r="A151" s="22" t="str">
        <f>VLOOKUP(Esselte[[#This Row],[Código]],BD_Produto[#All],7,FALSE)</f>
        <v>Não entrou em linha</v>
      </c>
      <c r="B15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1" s="23">
        <v>33063063629</v>
      </c>
      <c r="D151" s="22" t="s">
        <v>1586</v>
      </c>
      <c r="E151" s="22">
        <f>VLOOKUP(Esselte[[#This Row],[Código]],BD_Produto[],3,FALSE)</f>
        <v>0</v>
      </c>
      <c r="F151" s="22">
        <f>VLOOKUP(Esselte[[#This Row],[Código]],BD_Produto[],4,FALSE)</f>
        <v>0</v>
      </c>
      <c r="G151" s="24">
        <v>1</v>
      </c>
      <c r="H151" s="25"/>
      <c r="I151" s="22"/>
      <c r="J151" s="24"/>
      <c r="K151" s="24" t="str">
        <f>IFERROR(VLOOKUP(Esselte[[#This Row],[Código]],Importação!P:R,3,FALSE),"")</f>
        <v/>
      </c>
      <c r="L151" s="24">
        <f>IFERROR(VLOOKUP(Esselte[[#This Row],[Código]],Saldo[],3,FALSE),0)</f>
        <v>0</v>
      </c>
      <c r="M151" s="24">
        <f>SUM(Esselte[[#This Row],[Produção]:[Estoque]])</f>
        <v>0</v>
      </c>
      <c r="N151" s="24" t="str">
        <f>IFERROR(Esselte[[#This Row],[Estoque+Importação]]/Esselte[[#This Row],[Proj. de V. No prox. mes]],"Sem Projeção")</f>
        <v>Sem Projeção</v>
      </c>
      <c r="O151" s="24" t="str">
        <f>IF(OR(Esselte[[#This Row],[Status]]="Em Linha",Esselte[[#This Row],[Status]]="Componente",Esselte[[#This Row],[Status]]="Materia Prima"),Esselte[[#This Row],[Proj. de V. No prox. mes]]*10,"-")</f>
        <v>-</v>
      </c>
      <c r="P15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1" s="34">
        <f>VLOOKUP(Esselte[[#This Row],[Código]],Projeção[#All],15,FALSE)</f>
        <v>0</v>
      </c>
      <c r="R151" s="43">
        <f>VLOOKUP(Esselte[[#This Row],[Código]],Projeção[#All],14,FALSE)</f>
        <v>0</v>
      </c>
      <c r="S151" s="39">
        <f>IFERROR(VLOOKUP(Esselte[[#This Row],[Código]],Venda_mes[],2,FALSE),0)</f>
        <v>0</v>
      </c>
      <c r="T151" s="44" t="str">
        <f>IFERROR(Esselte[[#This Row],[V. No mes]]/Esselte[[#This Row],[Proj. de V. No mes]],"")</f>
        <v/>
      </c>
      <c r="U151" s="43">
        <f>VLOOKUP(Esselte[[#This Row],[Código]],Projeção[#All],14,FALSE)+VLOOKUP(Esselte[[#This Row],[Código]],Projeção[#All],13,FALSE)+VLOOKUP(Esselte[[#This Row],[Código]],Projeção[#All],12,FALSE)</f>
        <v>0</v>
      </c>
      <c r="V151" s="39">
        <f>IFERROR(VLOOKUP(Esselte[[#This Row],[Código]],Venda_3meses[],2,FALSE),0)</f>
        <v>0</v>
      </c>
      <c r="W151" s="44" t="str">
        <f>IFERROR(Esselte[[#This Row],[V. 3 meses]]/Esselte[[#This Row],[Proj. de V. 3 meses]],"")</f>
        <v/>
      </c>
      <c r="X15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1" s="39">
        <f>IFERROR(VLOOKUP(Esselte[[#This Row],[Código]],Venda_12meses[],2,FALSE),0)</f>
        <v>0</v>
      </c>
      <c r="Z151" s="44" t="str">
        <f>IFERROR(Esselte[[#This Row],[V. 12 meses]]/Esselte[[#This Row],[Proj. de V. 12 meses]],"")</f>
        <v/>
      </c>
      <c r="AA151" s="22"/>
    </row>
    <row r="152" spans="1:27" x14ac:dyDescent="0.25">
      <c r="A152" s="22" t="str">
        <f>VLOOKUP(Esselte[[#This Row],[Código]],BD_Produto[#All],7,FALSE)</f>
        <v>Não entrou em linha</v>
      </c>
      <c r="B15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2" s="23">
        <v>33063063630</v>
      </c>
      <c r="D152" s="22" t="s">
        <v>1587</v>
      </c>
      <c r="E152" s="22">
        <f>VLOOKUP(Esselte[[#This Row],[Código]],BD_Produto[],3,FALSE)</f>
        <v>0</v>
      </c>
      <c r="F152" s="22">
        <f>VLOOKUP(Esselte[[#This Row],[Código]],BD_Produto[],4,FALSE)</f>
        <v>0</v>
      </c>
      <c r="G152" s="24">
        <v>1</v>
      </c>
      <c r="H152" s="25"/>
      <c r="I152" s="22"/>
      <c r="J152" s="24"/>
      <c r="K152" s="24" t="str">
        <f>IFERROR(VLOOKUP(Esselte[[#This Row],[Código]],Importação!P:R,3,FALSE),"")</f>
        <v/>
      </c>
      <c r="L152" s="24">
        <f>IFERROR(VLOOKUP(Esselte[[#This Row],[Código]],Saldo[],3,FALSE),0)</f>
        <v>0</v>
      </c>
      <c r="M152" s="24">
        <f>SUM(Esselte[[#This Row],[Produção]:[Estoque]])</f>
        <v>0</v>
      </c>
      <c r="N152" s="24" t="str">
        <f>IFERROR(Esselte[[#This Row],[Estoque+Importação]]/Esselte[[#This Row],[Proj. de V. No prox. mes]],"Sem Projeção")</f>
        <v>Sem Projeção</v>
      </c>
      <c r="O152" s="24" t="str">
        <f>IF(OR(Esselte[[#This Row],[Status]]="Em Linha",Esselte[[#This Row],[Status]]="Componente",Esselte[[#This Row],[Status]]="Materia Prima"),Esselte[[#This Row],[Proj. de V. No prox. mes]]*10,"-")</f>
        <v>-</v>
      </c>
      <c r="P15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2" s="34">
        <f>VLOOKUP(Esselte[[#This Row],[Código]],Projeção[#All],15,FALSE)</f>
        <v>0</v>
      </c>
      <c r="R152" s="43">
        <f>VLOOKUP(Esselte[[#This Row],[Código]],Projeção[#All],14,FALSE)</f>
        <v>0</v>
      </c>
      <c r="S152" s="39">
        <f>IFERROR(VLOOKUP(Esselte[[#This Row],[Código]],Venda_mes[],2,FALSE),0)</f>
        <v>0</v>
      </c>
      <c r="T152" s="44" t="str">
        <f>IFERROR(Esselte[[#This Row],[V. No mes]]/Esselte[[#This Row],[Proj. de V. No mes]],"")</f>
        <v/>
      </c>
      <c r="U152" s="43">
        <f>VLOOKUP(Esselte[[#This Row],[Código]],Projeção[#All],14,FALSE)+VLOOKUP(Esselte[[#This Row],[Código]],Projeção[#All],13,FALSE)+VLOOKUP(Esselte[[#This Row],[Código]],Projeção[#All],12,FALSE)</f>
        <v>0</v>
      </c>
      <c r="V152" s="39">
        <f>IFERROR(VLOOKUP(Esselte[[#This Row],[Código]],Venda_3meses[],2,FALSE),0)</f>
        <v>0</v>
      </c>
      <c r="W152" s="44" t="str">
        <f>IFERROR(Esselte[[#This Row],[V. 3 meses]]/Esselte[[#This Row],[Proj. de V. 3 meses]],"")</f>
        <v/>
      </c>
      <c r="X15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2" s="39">
        <f>IFERROR(VLOOKUP(Esselte[[#This Row],[Código]],Venda_12meses[],2,FALSE),0)</f>
        <v>0</v>
      </c>
      <c r="Z152" s="44" t="str">
        <f>IFERROR(Esselte[[#This Row],[V. 12 meses]]/Esselte[[#This Row],[Proj. de V. 12 meses]],"")</f>
        <v/>
      </c>
      <c r="AA152" s="22"/>
    </row>
    <row r="153" spans="1:27" x14ac:dyDescent="0.25">
      <c r="A153" s="22" t="str">
        <f>VLOOKUP(Esselte[[#This Row],[Código]],BD_Produto[#All],7,FALSE)</f>
        <v>Não entrou em linha</v>
      </c>
      <c r="B15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3" s="23">
        <v>33063063631</v>
      </c>
      <c r="D153" s="22" t="s">
        <v>1588</v>
      </c>
      <c r="E153" s="22">
        <f>VLOOKUP(Esselte[[#This Row],[Código]],BD_Produto[],3,FALSE)</f>
        <v>0</v>
      </c>
      <c r="F153" s="22">
        <f>VLOOKUP(Esselte[[#This Row],[Código]],BD_Produto[],4,FALSE)</f>
        <v>0</v>
      </c>
      <c r="G153" s="24">
        <v>1</v>
      </c>
      <c r="H153" s="25"/>
      <c r="I153" s="22"/>
      <c r="J153" s="24"/>
      <c r="K153" s="24" t="str">
        <f>IFERROR(VLOOKUP(Esselte[[#This Row],[Código]],Importação!P:R,3,FALSE),"")</f>
        <v/>
      </c>
      <c r="L153" s="24">
        <f>IFERROR(VLOOKUP(Esselte[[#This Row],[Código]],Saldo[],3,FALSE),0)</f>
        <v>0</v>
      </c>
      <c r="M153" s="24">
        <f>SUM(Esselte[[#This Row],[Produção]:[Estoque]])</f>
        <v>0</v>
      </c>
      <c r="N153" s="24" t="str">
        <f>IFERROR(Esselte[[#This Row],[Estoque+Importação]]/Esselte[[#This Row],[Proj. de V. No prox. mes]],"Sem Projeção")</f>
        <v>Sem Projeção</v>
      </c>
      <c r="O153" s="24" t="str">
        <f>IF(OR(Esselte[[#This Row],[Status]]="Em Linha",Esselte[[#This Row],[Status]]="Componente",Esselte[[#This Row],[Status]]="Materia Prima"),Esselte[[#This Row],[Proj. de V. No prox. mes]]*10,"-")</f>
        <v>-</v>
      </c>
      <c r="P15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3" s="34">
        <f>VLOOKUP(Esselte[[#This Row],[Código]],Projeção[#All],15,FALSE)</f>
        <v>0</v>
      </c>
      <c r="R153" s="43">
        <f>VLOOKUP(Esselte[[#This Row],[Código]],Projeção[#All],14,FALSE)</f>
        <v>0</v>
      </c>
      <c r="S153" s="39">
        <f>IFERROR(VLOOKUP(Esselte[[#This Row],[Código]],Venda_mes[],2,FALSE),0)</f>
        <v>0</v>
      </c>
      <c r="T153" s="44" t="str">
        <f>IFERROR(Esselte[[#This Row],[V. No mes]]/Esselte[[#This Row],[Proj. de V. No mes]],"")</f>
        <v/>
      </c>
      <c r="U153" s="43">
        <f>VLOOKUP(Esselte[[#This Row],[Código]],Projeção[#All],14,FALSE)+VLOOKUP(Esselte[[#This Row],[Código]],Projeção[#All],13,FALSE)+VLOOKUP(Esselte[[#This Row],[Código]],Projeção[#All],12,FALSE)</f>
        <v>0</v>
      </c>
      <c r="V153" s="39">
        <f>IFERROR(VLOOKUP(Esselte[[#This Row],[Código]],Venda_3meses[],2,FALSE),0)</f>
        <v>0</v>
      </c>
      <c r="W153" s="44" t="str">
        <f>IFERROR(Esselte[[#This Row],[V. 3 meses]]/Esselte[[#This Row],[Proj. de V. 3 meses]],"")</f>
        <v/>
      </c>
      <c r="X15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3" s="39">
        <f>IFERROR(VLOOKUP(Esselte[[#This Row],[Código]],Venda_12meses[],2,FALSE),0)</f>
        <v>0</v>
      </c>
      <c r="Z153" s="44" t="str">
        <f>IFERROR(Esselte[[#This Row],[V. 12 meses]]/Esselte[[#This Row],[Proj. de V. 12 meses]],"")</f>
        <v/>
      </c>
      <c r="AA153" s="22"/>
    </row>
    <row r="154" spans="1:27" x14ac:dyDescent="0.25">
      <c r="A154" s="22" t="str">
        <f>VLOOKUP(Esselte[[#This Row],[Código]],BD_Produto[#All],7,FALSE)</f>
        <v>Não entrou em linha</v>
      </c>
      <c r="B15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4" s="23">
        <v>33063063632</v>
      </c>
      <c r="D154" s="22" t="s">
        <v>1589</v>
      </c>
      <c r="E154" s="22">
        <f>VLOOKUP(Esselte[[#This Row],[Código]],BD_Produto[],3,FALSE)</f>
        <v>0</v>
      </c>
      <c r="F154" s="22">
        <f>VLOOKUP(Esselte[[#This Row],[Código]],BD_Produto[],4,FALSE)</f>
        <v>0</v>
      </c>
      <c r="G154" s="24">
        <v>1</v>
      </c>
      <c r="H154" s="25"/>
      <c r="I154" s="22"/>
      <c r="J154" s="24"/>
      <c r="K154" s="24" t="str">
        <f>IFERROR(VLOOKUP(Esselte[[#This Row],[Código]],Importação!P:R,3,FALSE),"")</f>
        <v/>
      </c>
      <c r="L154" s="24">
        <f>IFERROR(VLOOKUP(Esselte[[#This Row],[Código]],Saldo[],3,FALSE),0)</f>
        <v>0</v>
      </c>
      <c r="M154" s="24">
        <f>SUM(Esselte[[#This Row],[Produção]:[Estoque]])</f>
        <v>0</v>
      </c>
      <c r="N154" s="24" t="str">
        <f>IFERROR(Esselte[[#This Row],[Estoque+Importação]]/Esselte[[#This Row],[Proj. de V. No prox. mes]],"Sem Projeção")</f>
        <v>Sem Projeção</v>
      </c>
      <c r="O154" s="24" t="str">
        <f>IF(OR(Esselte[[#This Row],[Status]]="Em Linha",Esselte[[#This Row],[Status]]="Componente",Esselte[[#This Row],[Status]]="Materia Prima"),Esselte[[#This Row],[Proj. de V. No prox. mes]]*10,"-")</f>
        <v>-</v>
      </c>
      <c r="P15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4" s="34">
        <f>VLOOKUP(Esselte[[#This Row],[Código]],Projeção[#All],15,FALSE)</f>
        <v>0</v>
      </c>
      <c r="R154" s="43">
        <f>VLOOKUP(Esselte[[#This Row],[Código]],Projeção[#All],14,FALSE)</f>
        <v>0</v>
      </c>
      <c r="S154" s="39">
        <f>IFERROR(VLOOKUP(Esselte[[#This Row],[Código]],Venda_mes[],2,FALSE),0)</f>
        <v>0</v>
      </c>
      <c r="T154" s="44" t="str">
        <f>IFERROR(Esselte[[#This Row],[V. No mes]]/Esselte[[#This Row],[Proj. de V. No mes]],"")</f>
        <v/>
      </c>
      <c r="U154" s="43">
        <f>VLOOKUP(Esselte[[#This Row],[Código]],Projeção[#All],14,FALSE)+VLOOKUP(Esselte[[#This Row],[Código]],Projeção[#All],13,FALSE)+VLOOKUP(Esselte[[#This Row],[Código]],Projeção[#All],12,FALSE)</f>
        <v>0</v>
      </c>
      <c r="V154" s="39">
        <f>IFERROR(VLOOKUP(Esselte[[#This Row],[Código]],Venda_3meses[],2,FALSE),0)</f>
        <v>0</v>
      </c>
      <c r="W154" s="44" t="str">
        <f>IFERROR(Esselte[[#This Row],[V. 3 meses]]/Esselte[[#This Row],[Proj. de V. 3 meses]],"")</f>
        <v/>
      </c>
      <c r="X15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4" s="39">
        <f>IFERROR(VLOOKUP(Esselte[[#This Row],[Código]],Venda_12meses[],2,FALSE),0)</f>
        <v>0</v>
      </c>
      <c r="Z154" s="44" t="str">
        <f>IFERROR(Esselte[[#This Row],[V. 12 meses]]/Esselte[[#This Row],[Proj. de V. 12 meses]],"")</f>
        <v/>
      </c>
      <c r="AA154" s="22"/>
    </row>
    <row r="155" spans="1:27" x14ac:dyDescent="0.25">
      <c r="A155" s="22" t="str">
        <f>VLOOKUP(Esselte[[#This Row],[Código]],BD_Produto[#All],7,FALSE)</f>
        <v>Não entrou em linha</v>
      </c>
      <c r="B15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5" s="23">
        <v>33063063633</v>
      </c>
      <c r="D155" s="22" t="s">
        <v>1590</v>
      </c>
      <c r="E155" s="22">
        <f>VLOOKUP(Esselte[[#This Row],[Código]],BD_Produto[],3,FALSE)</f>
        <v>0</v>
      </c>
      <c r="F155" s="22">
        <f>VLOOKUP(Esselte[[#This Row],[Código]],BD_Produto[],4,FALSE)</f>
        <v>0</v>
      </c>
      <c r="G155" s="24">
        <v>1</v>
      </c>
      <c r="H155" s="25"/>
      <c r="I155" s="22"/>
      <c r="J155" s="24"/>
      <c r="K155" s="24" t="str">
        <f>IFERROR(VLOOKUP(Esselte[[#This Row],[Código]],Importação!P:R,3,FALSE),"")</f>
        <v/>
      </c>
      <c r="L155" s="24">
        <f>IFERROR(VLOOKUP(Esselte[[#This Row],[Código]],Saldo[],3,FALSE),0)</f>
        <v>0</v>
      </c>
      <c r="M155" s="24">
        <f>SUM(Esselte[[#This Row],[Produção]:[Estoque]])</f>
        <v>0</v>
      </c>
      <c r="N155" s="24" t="str">
        <f>IFERROR(Esselte[[#This Row],[Estoque+Importação]]/Esselte[[#This Row],[Proj. de V. No prox. mes]],"Sem Projeção")</f>
        <v>Sem Projeção</v>
      </c>
      <c r="O155" s="24" t="str">
        <f>IF(OR(Esselte[[#This Row],[Status]]="Em Linha",Esselte[[#This Row],[Status]]="Componente",Esselte[[#This Row],[Status]]="Materia Prima"),Esselte[[#This Row],[Proj. de V. No prox. mes]]*10,"-")</f>
        <v>-</v>
      </c>
      <c r="P15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5" s="34">
        <f>VLOOKUP(Esselte[[#This Row],[Código]],Projeção[#All],15,FALSE)</f>
        <v>0</v>
      </c>
      <c r="R155" s="43">
        <f>VLOOKUP(Esselte[[#This Row],[Código]],Projeção[#All],14,FALSE)</f>
        <v>0</v>
      </c>
      <c r="S155" s="39">
        <f>IFERROR(VLOOKUP(Esselte[[#This Row],[Código]],Venda_mes[],2,FALSE),0)</f>
        <v>0</v>
      </c>
      <c r="T155" s="44" t="str">
        <f>IFERROR(Esselte[[#This Row],[V. No mes]]/Esselte[[#This Row],[Proj. de V. No mes]],"")</f>
        <v/>
      </c>
      <c r="U155" s="43">
        <f>VLOOKUP(Esselte[[#This Row],[Código]],Projeção[#All],14,FALSE)+VLOOKUP(Esselte[[#This Row],[Código]],Projeção[#All],13,FALSE)+VLOOKUP(Esselte[[#This Row],[Código]],Projeção[#All],12,FALSE)</f>
        <v>0</v>
      </c>
      <c r="V155" s="39">
        <f>IFERROR(VLOOKUP(Esselte[[#This Row],[Código]],Venda_3meses[],2,FALSE),0)</f>
        <v>0</v>
      </c>
      <c r="W155" s="44" t="str">
        <f>IFERROR(Esselte[[#This Row],[V. 3 meses]]/Esselte[[#This Row],[Proj. de V. 3 meses]],"")</f>
        <v/>
      </c>
      <c r="X15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5" s="39">
        <f>IFERROR(VLOOKUP(Esselte[[#This Row],[Código]],Venda_12meses[],2,FALSE),0)</f>
        <v>0</v>
      </c>
      <c r="Z155" s="44" t="str">
        <f>IFERROR(Esselte[[#This Row],[V. 12 meses]]/Esselte[[#This Row],[Proj. de V. 12 meses]],"")</f>
        <v/>
      </c>
      <c r="AA155" s="22"/>
    </row>
    <row r="156" spans="1:27" x14ac:dyDescent="0.25">
      <c r="A156" s="22" t="str">
        <f>VLOOKUP(Esselte[[#This Row],[Código]],BD_Produto[#All],7,FALSE)</f>
        <v>Não entrou em linha</v>
      </c>
      <c r="B15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6" s="23">
        <v>33063063634</v>
      </c>
      <c r="D156" s="22" t="s">
        <v>1591</v>
      </c>
      <c r="E156" s="22">
        <f>VLOOKUP(Esselte[[#This Row],[Código]],BD_Produto[],3,FALSE)</f>
        <v>0</v>
      </c>
      <c r="F156" s="22">
        <f>VLOOKUP(Esselte[[#This Row],[Código]],BD_Produto[],4,FALSE)</f>
        <v>0</v>
      </c>
      <c r="G156" s="24">
        <v>1</v>
      </c>
      <c r="H156" s="25"/>
      <c r="I156" s="22"/>
      <c r="J156" s="24"/>
      <c r="K156" s="24" t="str">
        <f>IFERROR(VLOOKUP(Esselte[[#This Row],[Código]],Importação!P:R,3,FALSE),"")</f>
        <v/>
      </c>
      <c r="L156" s="24">
        <f>IFERROR(VLOOKUP(Esselte[[#This Row],[Código]],Saldo[],3,FALSE),0)</f>
        <v>0</v>
      </c>
      <c r="M156" s="24">
        <f>SUM(Esselte[[#This Row],[Produção]:[Estoque]])</f>
        <v>0</v>
      </c>
      <c r="N156" s="24" t="str">
        <f>IFERROR(Esselte[[#This Row],[Estoque+Importação]]/Esselte[[#This Row],[Proj. de V. No prox. mes]],"Sem Projeção")</f>
        <v>Sem Projeção</v>
      </c>
      <c r="O156" s="24" t="str">
        <f>IF(OR(Esselte[[#This Row],[Status]]="Em Linha",Esselte[[#This Row],[Status]]="Componente",Esselte[[#This Row],[Status]]="Materia Prima"),Esselte[[#This Row],[Proj. de V. No prox. mes]]*10,"-")</f>
        <v>-</v>
      </c>
      <c r="P15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6" s="34">
        <f>VLOOKUP(Esselte[[#This Row],[Código]],Projeção[#All],15,FALSE)</f>
        <v>0</v>
      </c>
      <c r="R156" s="43">
        <f>VLOOKUP(Esselte[[#This Row],[Código]],Projeção[#All],14,FALSE)</f>
        <v>0</v>
      </c>
      <c r="S156" s="39">
        <f>IFERROR(VLOOKUP(Esselte[[#This Row],[Código]],Venda_mes[],2,FALSE),0)</f>
        <v>0</v>
      </c>
      <c r="T156" s="44" t="str">
        <f>IFERROR(Esselte[[#This Row],[V. No mes]]/Esselte[[#This Row],[Proj. de V. No mes]],"")</f>
        <v/>
      </c>
      <c r="U156" s="43">
        <f>VLOOKUP(Esselte[[#This Row],[Código]],Projeção[#All],14,FALSE)+VLOOKUP(Esselte[[#This Row],[Código]],Projeção[#All],13,FALSE)+VLOOKUP(Esselte[[#This Row],[Código]],Projeção[#All],12,FALSE)</f>
        <v>0</v>
      </c>
      <c r="V156" s="39">
        <f>IFERROR(VLOOKUP(Esselte[[#This Row],[Código]],Venda_3meses[],2,FALSE),0)</f>
        <v>0</v>
      </c>
      <c r="W156" s="44" t="str">
        <f>IFERROR(Esselte[[#This Row],[V. 3 meses]]/Esselte[[#This Row],[Proj. de V. 3 meses]],"")</f>
        <v/>
      </c>
      <c r="X15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6" s="39">
        <f>IFERROR(VLOOKUP(Esselte[[#This Row],[Código]],Venda_12meses[],2,FALSE),0)</f>
        <v>0</v>
      </c>
      <c r="Z156" s="44" t="str">
        <f>IFERROR(Esselte[[#This Row],[V. 12 meses]]/Esselte[[#This Row],[Proj. de V. 12 meses]],"")</f>
        <v/>
      </c>
      <c r="AA156" s="22"/>
    </row>
    <row r="157" spans="1:27" x14ac:dyDescent="0.25">
      <c r="A157" s="22" t="str">
        <f>VLOOKUP(Esselte[[#This Row],[Código]],BD_Produto[#All],7,FALSE)</f>
        <v>Não entrou em linha</v>
      </c>
      <c r="B15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7" s="23">
        <v>33063063635</v>
      </c>
      <c r="D157" s="22" t="s">
        <v>1592</v>
      </c>
      <c r="E157" s="22">
        <f>VLOOKUP(Esselte[[#This Row],[Código]],BD_Produto[],3,FALSE)</f>
        <v>0</v>
      </c>
      <c r="F157" s="22">
        <f>VLOOKUP(Esselte[[#This Row],[Código]],BD_Produto[],4,FALSE)</f>
        <v>0</v>
      </c>
      <c r="G157" s="24">
        <v>1</v>
      </c>
      <c r="H157" s="25"/>
      <c r="I157" s="22"/>
      <c r="J157" s="24"/>
      <c r="K157" s="24" t="str">
        <f>IFERROR(VLOOKUP(Esselte[[#This Row],[Código]],Importação!P:R,3,FALSE),"")</f>
        <v/>
      </c>
      <c r="L157" s="24">
        <f>IFERROR(VLOOKUP(Esselte[[#This Row],[Código]],Saldo[],3,FALSE),0)</f>
        <v>0</v>
      </c>
      <c r="M157" s="24">
        <f>SUM(Esselte[[#This Row],[Produção]:[Estoque]])</f>
        <v>0</v>
      </c>
      <c r="N157" s="24" t="str">
        <f>IFERROR(Esselte[[#This Row],[Estoque+Importação]]/Esselte[[#This Row],[Proj. de V. No prox. mes]],"Sem Projeção")</f>
        <v>Sem Projeção</v>
      </c>
      <c r="O157" s="24" t="str">
        <f>IF(OR(Esselte[[#This Row],[Status]]="Em Linha",Esselte[[#This Row],[Status]]="Componente",Esselte[[#This Row],[Status]]="Materia Prima"),Esselte[[#This Row],[Proj. de V. No prox. mes]]*10,"-")</f>
        <v>-</v>
      </c>
      <c r="P15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7" s="34">
        <f>VLOOKUP(Esselte[[#This Row],[Código]],Projeção[#All],15,FALSE)</f>
        <v>0</v>
      </c>
      <c r="R157" s="43">
        <f>VLOOKUP(Esselte[[#This Row],[Código]],Projeção[#All],14,FALSE)</f>
        <v>0</v>
      </c>
      <c r="S157" s="39">
        <f>IFERROR(VLOOKUP(Esselte[[#This Row],[Código]],Venda_mes[],2,FALSE),0)</f>
        <v>0</v>
      </c>
      <c r="T157" s="44" t="str">
        <f>IFERROR(Esselte[[#This Row],[V. No mes]]/Esselte[[#This Row],[Proj. de V. No mes]],"")</f>
        <v/>
      </c>
      <c r="U157" s="43">
        <f>VLOOKUP(Esselte[[#This Row],[Código]],Projeção[#All],14,FALSE)+VLOOKUP(Esselte[[#This Row],[Código]],Projeção[#All],13,FALSE)+VLOOKUP(Esselte[[#This Row],[Código]],Projeção[#All],12,FALSE)</f>
        <v>0</v>
      </c>
      <c r="V157" s="39">
        <f>IFERROR(VLOOKUP(Esselte[[#This Row],[Código]],Venda_3meses[],2,FALSE),0)</f>
        <v>0</v>
      </c>
      <c r="W157" s="44" t="str">
        <f>IFERROR(Esselte[[#This Row],[V. 3 meses]]/Esselte[[#This Row],[Proj. de V. 3 meses]],"")</f>
        <v/>
      </c>
      <c r="X15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7" s="39">
        <f>IFERROR(VLOOKUP(Esselte[[#This Row],[Código]],Venda_12meses[],2,FALSE),0)</f>
        <v>0</v>
      </c>
      <c r="Z157" s="44" t="str">
        <f>IFERROR(Esselte[[#This Row],[V. 12 meses]]/Esselte[[#This Row],[Proj. de V. 12 meses]],"")</f>
        <v/>
      </c>
      <c r="AA157" s="22"/>
    </row>
    <row r="158" spans="1:27" x14ac:dyDescent="0.25">
      <c r="A158" s="22" t="str">
        <f>VLOOKUP(Esselte[[#This Row],[Código]],BD_Produto[#All],7,FALSE)</f>
        <v>Não entrou em linha</v>
      </c>
      <c r="B15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8" s="23">
        <v>33063063636</v>
      </c>
      <c r="D158" s="22" t="s">
        <v>1593</v>
      </c>
      <c r="E158" s="22">
        <f>VLOOKUP(Esselte[[#This Row],[Código]],BD_Produto[],3,FALSE)</f>
        <v>0</v>
      </c>
      <c r="F158" s="22">
        <f>VLOOKUP(Esselte[[#This Row],[Código]],BD_Produto[],4,FALSE)</f>
        <v>0</v>
      </c>
      <c r="G158" s="24">
        <v>1</v>
      </c>
      <c r="H158" s="25"/>
      <c r="I158" s="22"/>
      <c r="J158" s="24"/>
      <c r="K158" s="24" t="str">
        <f>IFERROR(VLOOKUP(Esselte[[#This Row],[Código]],Importação!P:R,3,FALSE),"")</f>
        <v/>
      </c>
      <c r="L158" s="24">
        <f>IFERROR(VLOOKUP(Esselte[[#This Row],[Código]],Saldo[],3,FALSE),0)</f>
        <v>0</v>
      </c>
      <c r="M158" s="24">
        <f>SUM(Esselte[[#This Row],[Produção]:[Estoque]])</f>
        <v>0</v>
      </c>
      <c r="N158" s="24" t="str">
        <f>IFERROR(Esselte[[#This Row],[Estoque+Importação]]/Esselte[[#This Row],[Proj. de V. No prox. mes]],"Sem Projeção")</f>
        <v>Sem Projeção</v>
      </c>
      <c r="O158" s="24" t="str">
        <f>IF(OR(Esselte[[#This Row],[Status]]="Em Linha",Esselte[[#This Row],[Status]]="Componente",Esselte[[#This Row],[Status]]="Materia Prima"),Esselte[[#This Row],[Proj. de V. No prox. mes]]*10,"-")</f>
        <v>-</v>
      </c>
      <c r="P15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8" s="34">
        <f>VLOOKUP(Esselte[[#This Row],[Código]],Projeção[#All],15,FALSE)</f>
        <v>0</v>
      </c>
      <c r="R158" s="43">
        <f>VLOOKUP(Esselte[[#This Row],[Código]],Projeção[#All],14,FALSE)</f>
        <v>0</v>
      </c>
      <c r="S158" s="39">
        <f>IFERROR(VLOOKUP(Esselte[[#This Row],[Código]],Venda_mes[],2,FALSE),0)</f>
        <v>0</v>
      </c>
      <c r="T158" s="44" t="str">
        <f>IFERROR(Esselte[[#This Row],[V. No mes]]/Esselte[[#This Row],[Proj. de V. No mes]],"")</f>
        <v/>
      </c>
      <c r="U158" s="43">
        <f>VLOOKUP(Esselte[[#This Row],[Código]],Projeção[#All],14,FALSE)+VLOOKUP(Esselte[[#This Row],[Código]],Projeção[#All],13,FALSE)+VLOOKUP(Esselte[[#This Row],[Código]],Projeção[#All],12,FALSE)</f>
        <v>0</v>
      </c>
      <c r="V158" s="39">
        <f>IFERROR(VLOOKUP(Esselte[[#This Row],[Código]],Venda_3meses[],2,FALSE),0)</f>
        <v>0</v>
      </c>
      <c r="W158" s="44" t="str">
        <f>IFERROR(Esselte[[#This Row],[V. 3 meses]]/Esselte[[#This Row],[Proj. de V. 3 meses]],"")</f>
        <v/>
      </c>
      <c r="X15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8" s="39">
        <f>IFERROR(VLOOKUP(Esselte[[#This Row],[Código]],Venda_12meses[],2,FALSE),0)</f>
        <v>0</v>
      </c>
      <c r="Z158" s="44" t="str">
        <f>IFERROR(Esselte[[#This Row],[V. 12 meses]]/Esselte[[#This Row],[Proj. de V. 12 meses]],"")</f>
        <v/>
      </c>
      <c r="AA158" s="22"/>
    </row>
    <row r="159" spans="1:27" x14ac:dyDescent="0.25">
      <c r="A159" s="22" t="str">
        <f>VLOOKUP(Esselte[[#This Row],[Código]],BD_Produto[#All],7,FALSE)</f>
        <v>Não entrou em linha</v>
      </c>
      <c r="B15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59" s="23">
        <v>33063063637</v>
      </c>
      <c r="D159" s="22" t="s">
        <v>1594</v>
      </c>
      <c r="E159" s="22">
        <f>VLOOKUP(Esselte[[#This Row],[Código]],BD_Produto[],3,FALSE)</f>
        <v>0</v>
      </c>
      <c r="F159" s="22">
        <f>VLOOKUP(Esselte[[#This Row],[Código]],BD_Produto[],4,FALSE)</f>
        <v>0</v>
      </c>
      <c r="G159" s="24">
        <v>1</v>
      </c>
      <c r="H159" s="25"/>
      <c r="I159" s="22"/>
      <c r="J159" s="24"/>
      <c r="K159" s="24" t="str">
        <f>IFERROR(VLOOKUP(Esselte[[#This Row],[Código]],Importação!P:R,3,FALSE),"")</f>
        <v/>
      </c>
      <c r="L159" s="24">
        <f>IFERROR(VLOOKUP(Esselte[[#This Row],[Código]],Saldo[],3,FALSE),0)</f>
        <v>0</v>
      </c>
      <c r="M159" s="24">
        <f>SUM(Esselte[[#This Row],[Produção]:[Estoque]])</f>
        <v>0</v>
      </c>
      <c r="N159" s="24" t="str">
        <f>IFERROR(Esselte[[#This Row],[Estoque+Importação]]/Esselte[[#This Row],[Proj. de V. No prox. mes]],"Sem Projeção")</f>
        <v>Sem Projeção</v>
      </c>
      <c r="O159" s="24" t="str">
        <f>IF(OR(Esselte[[#This Row],[Status]]="Em Linha",Esselte[[#This Row],[Status]]="Componente",Esselte[[#This Row],[Status]]="Materia Prima"),Esselte[[#This Row],[Proj. de V. No prox. mes]]*10,"-")</f>
        <v>-</v>
      </c>
      <c r="P15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59" s="34">
        <f>VLOOKUP(Esselte[[#This Row],[Código]],Projeção[#All],15,FALSE)</f>
        <v>0</v>
      </c>
      <c r="R159" s="43">
        <f>VLOOKUP(Esselte[[#This Row],[Código]],Projeção[#All],14,FALSE)</f>
        <v>0</v>
      </c>
      <c r="S159" s="39">
        <f>IFERROR(VLOOKUP(Esselte[[#This Row],[Código]],Venda_mes[],2,FALSE),0)</f>
        <v>0</v>
      </c>
      <c r="T159" s="44" t="str">
        <f>IFERROR(Esselte[[#This Row],[V. No mes]]/Esselte[[#This Row],[Proj. de V. No mes]],"")</f>
        <v/>
      </c>
      <c r="U159" s="43">
        <f>VLOOKUP(Esselte[[#This Row],[Código]],Projeção[#All],14,FALSE)+VLOOKUP(Esselte[[#This Row],[Código]],Projeção[#All],13,FALSE)+VLOOKUP(Esselte[[#This Row],[Código]],Projeção[#All],12,FALSE)</f>
        <v>0</v>
      </c>
      <c r="V159" s="39">
        <f>IFERROR(VLOOKUP(Esselte[[#This Row],[Código]],Venda_3meses[],2,FALSE),0)</f>
        <v>0</v>
      </c>
      <c r="W159" s="44" t="str">
        <f>IFERROR(Esselte[[#This Row],[V. 3 meses]]/Esselte[[#This Row],[Proj. de V. 3 meses]],"")</f>
        <v/>
      </c>
      <c r="X15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59" s="39">
        <f>IFERROR(VLOOKUP(Esselte[[#This Row],[Código]],Venda_12meses[],2,FALSE),0)</f>
        <v>0</v>
      </c>
      <c r="Z159" s="44" t="str">
        <f>IFERROR(Esselte[[#This Row],[V. 12 meses]]/Esselte[[#This Row],[Proj. de V. 12 meses]],"")</f>
        <v/>
      </c>
      <c r="AA159" s="22"/>
    </row>
    <row r="160" spans="1:27" x14ac:dyDescent="0.25">
      <c r="A160" s="22" t="str">
        <f>VLOOKUP(Esselte[[#This Row],[Código]],BD_Produto[#All],7,FALSE)</f>
        <v>Não entrou em linha</v>
      </c>
      <c r="B16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0" s="23">
        <v>33063063638</v>
      </c>
      <c r="D160" s="22" t="s">
        <v>1595</v>
      </c>
      <c r="E160" s="22">
        <f>VLOOKUP(Esselte[[#This Row],[Código]],BD_Produto[],3,FALSE)</f>
        <v>0</v>
      </c>
      <c r="F160" s="22">
        <f>VLOOKUP(Esselte[[#This Row],[Código]],BD_Produto[],4,FALSE)</f>
        <v>0</v>
      </c>
      <c r="G160" s="24">
        <v>1</v>
      </c>
      <c r="H160" s="25"/>
      <c r="I160" s="22"/>
      <c r="J160" s="24"/>
      <c r="K160" s="24" t="str">
        <f>IFERROR(VLOOKUP(Esselte[[#This Row],[Código]],Importação!P:R,3,FALSE),"")</f>
        <v/>
      </c>
      <c r="L160" s="24">
        <f>IFERROR(VLOOKUP(Esselte[[#This Row],[Código]],Saldo[],3,FALSE),0)</f>
        <v>0</v>
      </c>
      <c r="M160" s="24">
        <f>SUM(Esselte[[#This Row],[Produção]:[Estoque]])</f>
        <v>0</v>
      </c>
      <c r="N160" s="24" t="str">
        <f>IFERROR(Esselte[[#This Row],[Estoque+Importação]]/Esselte[[#This Row],[Proj. de V. No prox. mes]],"Sem Projeção")</f>
        <v>Sem Projeção</v>
      </c>
      <c r="O160" s="24" t="str">
        <f>IF(OR(Esselte[[#This Row],[Status]]="Em Linha",Esselte[[#This Row],[Status]]="Componente",Esselte[[#This Row],[Status]]="Materia Prima"),Esselte[[#This Row],[Proj. de V. No prox. mes]]*10,"-")</f>
        <v>-</v>
      </c>
      <c r="P16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0" s="34">
        <f>VLOOKUP(Esselte[[#This Row],[Código]],Projeção[#All],15,FALSE)</f>
        <v>0</v>
      </c>
      <c r="R160" s="43">
        <f>VLOOKUP(Esselte[[#This Row],[Código]],Projeção[#All],14,FALSE)</f>
        <v>0</v>
      </c>
      <c r="S160" s="39">
        <f>IFERROR(VLOOKUP(Esselte[[#This Row],[Código]],Venda_mes[],2,FALSE),0)</f>
        <v>0</v>
      </c>
      <c r="T160" s="44" t="str">
        <f>IFERROR(Esselte[[#This Row],[V. No mes]]/Esselte[[#This Row],[Proj. de V. No mes]],"")</f>
        <v/>
      </c>
      <c r="U160" s="43">
        <f>VLOOKUP(Esselte[[#This Row],[Código]],Projeção[#All],14,FALSE)+VLOOKUP(Esselte[[#This Row],[Código]],Projeção[#All],13,FALSE)+VLOOKUP(Esselte[[#This Row],[Código]],Projeção[#All],12,FALSE)</f>
        <v>0</v>
      </c>
      <c r="V160" s="39">
        <f>IFERROR(VLOOKUP(Esselte[[#This Row],[Código]],Venda_3meses[],2,FALSE),0)</f>
        <v>0</v>
      </c>
      <c r="W160" s="44" t="str">
        <f>IFERROR(Esselte[[#This Row],[V. 3 meses]]/Esselte[[#This Row],[Proj. de V. 3 meses]],"")</f>
        <v/>
      </c>
      <c r="X16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0" s="39">
        <f>IFERROR(VLOOKUP(Esselte[[#This Row],[Código]],Venda_12meses[],2,FALSE),0)</f>
        <v>0</v>
      </c>
      <c r="Z160" s="44" t="str">
        <f>IFERROR(Esselte[[#This Row],[V. 12 meses]]/Esselte[[#This Row],[Proj. de V. 12 meses]],"")</f>
        <v/>
      </c>
      <c r="AA160" s="22"/>
    </row>
    <row r="161" spans="1:27" x14ac:dyDescent="0.25">
      <c r="A161" s="22" t="str">
        <f>VLOOKUP(Esselte[[#This Row],[Código]],BD_Produto[#All],7,FALSE)</f>
        <v>Não entrou em linha</v>
      </c>
      <c r="B16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1" s="23">
        <v>33063063639</v>
      </c>
      <c r="D161" s="22" t="s">
        <v>1596</v>
      </c>
      <c r="E161" s="22" t="str">
        <f>VLOOKUP(Esselte[[#This Row],[Código]],BD_Produto[],3,FALSE)</f>
        <v>Pasta com Elástico</v>
      </c>
      <c r="F161" s="22" t="str">
        <f>VLOOKUP(Esselte[[#This Row],[Código]],BD_Produto[],4,FALSE)</f>
        <v>Pasta com Elástico</v>
      </c>
      <c r="G161" s="24">
        <v>1</v>
      </c>
      <c r="H161" s="25"/>
      <c r="I161" s="22"/>
      <c r="J161" s="24"/>
      <c r="K161" s="24" t="str">
        <f>IFERROR(VLOOKUP(Esselte[[#This Row],[Código]],Importação!P:R,3,FALSE),"")</f>
        <v/>
      </c>
      <c r="L161" s="24">
        <f>IFERROR(VLOOKUP(Esselte[[#This Row],[Código]],Saldo[],3,FALSE),0)</f>
        <v>0</v>
      </c>
      <c r="M161" s="24">
        <f>SUM(Esselte[[#This Row],[Produção]:[Estoque]])</f>
        <v>0</v>
      </c>
      <c r="N161" s="24" t="str">
        <f>IFERROR(Esselte[[#This Row],[Estoque+Importação]]/Esselte[[#This Row],[Proj. de V. No prox. mes]],"Sem Projeção")</f>
        <v>Sem Projeção</v>
      </c>
      <c r="O161" s="24" t="str">
        <f>IF(OR(Esselte[[#This Row],[Status]]="Em Linha",Esselte[[#This Row],[Status]]="Componente",Esselte[[#This Row],[Status]]="Materia Prima"),Esselte[[#This Row],[Proj. de V. No prox. mes]]*10,"-")</f>
        <v>-</v>
      </c>
      <c r="P16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1" s="34">
        <f>VLOOKUP(Esselte[[#This Row],[Código]],Projeção[#All],15,FALSE)</f>
        <v>0</v>
      </c>
      <c r="R161" s="43">
        <f>VLOOKUP(Esselte[[#This Row],[Código]],Projeção[#All],14,FALSE)</f>
        <v>0</v>
      </c>
      <c r="S161" s="39">
        <f>IFERROR(VLOOKUP(Esselte[[#This Row],[Código]],Venda_mes[],2,FALSE),0)</f>
        <v>0</v>
      </c>
      <c r="T161" s="44" t="str">
        <f>IFERROR(Esselte[[#This Row],[V. No mes]]/Esselte[[#This Row],[Proj. de V. No mes]],"")</f>
        <v/>
      </c>
      <c r="U161" s="43">
        <f>VLOOKUP(Esselte[[#This Row],[Código]],Projeção[#All],14,FALSE)+VLOOKUP(Esselte[[#This Row],[Código]],Projeção[#All],13,FALSE)+VLOOKUP(Esselte[[#This Row],[Código]],Projeção[#All],12,FALSE)</f>
        <v>0</v>
      </c>
      <c r="V161" s="39">
        <f>IFERROR(VLOOKUP(Esselte[[#This Row],[Código]],Venda_3meses[],2,FALSE),0)</f>
        <v>0</v>
      </c>
      <c r="W161" s="44" t="str">
        <f>IFERROR(Esselte[[#This Row],[V. 3 meses]]/Esselte[[#This Row],[Proj. de V. 3 meses]],"")</f>
        <v/>
      </c>
      <c r="X16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1" s="39">
        <f>IFERROR(VLOOKUP(Esselte[[#This Row],[Código]],Venda_12meses[],2,FALSE),0)</f>
        <v>0</v>
      </c>
      <c r="Z161" s="44" t="str">
        <f>IFERROR(Esselte[[#This Row],[V. 12 meses]]/Esselte[[#This Row],[Proj. de V. 12 meses]],"")</f>
        <v/>
      </c>
      <c r="AA161" s="22"/>
    </row>
    <row r="162" spans="1:27" x14ac:dyDescent="0.25">
      <c r="A162" s="22" t="str">
        <f>VLOOKUP(Esselte[[#This Row],[Código]],BD_Produto[#All],7,FALSE)</f>
        <v>Não entrou em linha</v>
      </c>
      <c r="B16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2" s="23">
        <v>33063063640</v>
      </c>
      <c r="D162" s="22" t="s">
        <v>1597</v>
      </c>
      <c r="E162" s="22">
        <f>VLOOKUP(Esselte[[#This Row],[Código]],BD_Produto[],3,FALSE)</f>
        <v>0</v>
      </c>
      <c r="F162" s="22">
        <f>VLOOKUP(Esselte[[#This Row],[Código]],BD_Produto[],4,FALSE)</f>
        <v>0</v>
      </c>
      <c r="G162" s="24">
        <v>1</v>
      </c>
      <c r="H162" s="25"/>
      <c r="I162" s="22"/>
      <c r="J162" s="24"/>
      <c r="K162" s="24" t="str">
        <f>IFERROR(VLOOKUP(Esselte[[#This Row],[Código]],Importação!P:R,3,FALSE),"")</f>
        <v/>
      </c>
      <c r="L162" s="24">
        <f>IFERROR(VLOOKUP(Esselte[[#This Row],[Código]],Saldo[],3,FALSE),0)</f>
        <v>0</v>
      </c>
      <c r="M162" s="24">
        <f>SUM(Esselte[[#This Row],[Produção]:[Estoque]])</f>
        <v>0</v>
      </c>
      <c r="N162" s="24" t="str">
        <f>IFERROR(Esselte[[#This Row],[Estoque+Importação]]/Esselte[[#This Row],[Proj. de V. No prox. mes]],"Sem Projeção")</f>
        <v>Sem Projeção</v>
      </c>
      <c r="O162" s="24" t="str">
        <f>IF(OR(Esselte[[#This Row],[Status]]="Em Linha",Esselte[[#This Row],[Status]]="Componente",Esselte[[#This Row],[Status]]="Materia Prima"),Esselte[[#This Row],[Proj. de V. No prox. mes]]*10,"-")</f>
        <v>-</v>
      </c>
      <c r="P16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2" s="34">
        <f>VLOOKUP(Esselte[[#This Row],[Código]],Projeção[#All],15,FALSE)</f>
        <v>0</v>
      </c>
      <c r="R162" s="43">
        <f>VLOOKUP(Esselte[[#This Row],[Código]],Projeção[#All],14,FALSE)</f>
        <v>0</v>
      </c>
      <c r="S162" s="39">
        <f>IFERROR(VLOOKUP(Esselte[[#This Row],[Código]],Venda_mes[],2,FALSE),0)</f>
        <v>0</v>
      </c>
      <c r="T162" s="44" t="str">
        <f>IFERROR(Esselte[[#This Row],[V. No mes]]/Esselte[[#This Row],[Proj. de V. No mes]],"")</f>
        <v/>
      </c>
      <c r="U162" s="43">
        <f>VLOOKUP(Esselte[[#This Row],[Código]],Projeção[#All],14,FALSE)+VLOOKUP(Esselte[[#This Row],[Código]],Projeção[#All],13,FALSE)+VLOOKUP(Esselte[[#This Row],[Código]],Projeção[#All],12,FALSE)</f>
        <v>0</v>
      </c>
      <c r="V162" s="39">
        <f>IFERROR(VLOOKUP(Esselte[[#This Row],[Código]],Venda_3meses[],2,FALSE),0)</f>
        <v>0</v>
      </c>
      <c r="W162" s="44" t="str">
        <f>IFERROR(Esselte[[#This Row],[V. 3 meses]]/Esselte[[#This Row],[Proj. de V. 3 meses]],"")</f>
        <v/>
      </c>
      <c r="X16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2" s="39">
        <f>IFERROR(VLOOKUP(Esselte[[#This Row],[Código]],Venda_12meses[],2,FALSE),0)</f>
        <v>0</v>
      </c>
      <c r="Z162" s="44" t="str">
        <f>IFERROR(Esselte[[#This Row],[V. 12 meses]]/Esselte[[#This Row],[Proj. de V. 12 meses]],"")</f>
        <v/>
      </c>
      <c r="AA162" s="22"/>
    </row>
    <row r="163" spans="1:27" x14ac:dyDescent="0.25">
      <c r="A163" s="22" t="str">
        <f>VLOOKUP(Esselte[[#This Row],[Código]],BD_Produto[#All],7,FALSE)</f>
        <v>Não entrou em linha</v>
      </c>
      <c r="B16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3" s="23">
        <v>33062163641</v>
      </c>
      <c r="D163" s="22" t="s">
        <v>1598</v>
      </c>
      <c r="E163" s="22">
        <f>VLOOKUP(Esselte[[#This Row],[Código]],BD_Produto[],3,FALSE)</f>
        <v>0</v>
      </c>
      <c r="F163" s="22">
        <f>VLOOKUP(Esselte[[#This Row],[Código]],BD_Produto[],4,FALSE)</f>
        <v>0</v>
      </c>
      <c r="G163" s="24">
        <v>1</v>
      </c>
      <c r="H163" s="25"/>
      <c r="I163" s="22"/>
      <c r="J163" s="24"/>
      <c r="K163" s="24" t="str">
        <f>IFERROR(VLOOKUP(Esselte[[#This Row],[Código]],Importação!P:R,3,FALSE),"")</f>
        <v/>
      </c>
      <c r="L163" s="24">
        <f>IFERROR(VLOOKUP(Esselte[[#This Row],[Código]],Saldo[],3,FALSE),0)</f>
        <v>0</v>
      </c>
      <c r="M163" s="24">
        <f>SUM(Esselte[[#This Row],[Produção]:[Estoque]])</f>
        <v>0</v>
      </c>
      <c r="N163" s="24" t="str">
        <f>IFERROR(Esselte[[#This Row],[Estoque+Importação]]/Esselte[[#This Row],[Proj. de V. No prox. mes]],"Sem Projeção")</f>
        <v>Sem Projeção</v>
      </c>
      <c r="O163" s="24" t="str">
        <f>IF(OR(Esselte[[#This Row],[Status]]="Em Linha",Esselte[[#This Row],[Status]]="Componente",Esselte[[#This Row],[Status]]="Materia Prima"),Esselte[[#This Row],[Proj. de V. No prox. mes]]*10,"-")</f>
        <v>-</v>
      </c>
      <c r="P16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3" s="34">
        <f>VLOOKUP(Esselte[[#This Row],[Código]],Projeção[#All],15,FALSE)</f>
        <v>0</v>
      </c>
      <c r="R163" s="43">
        <f>VLOOKUP(Esselte[[#This Row],[Código]],Projeção[#All],14,FALSE)</f>
        <v>0</v>
      </c>
      <c r="S163" s="39">
        <f>IFERROR(VLOOKUP(Esselte[[#This Row],[Código]],Venda_mes[],2,FALSE),0)</f>
        <v>0</v>
      </c>
      <c r="T163" s="44" t="str">
        <f>IFERROR(Esselte[[#This Row],[V. No mes]]/Esselte[[#This Row],[Proj. de V. No mes]],"")</f>
        <v/>
      </c>
      <c r="U163" s="43">
        <f>VLOOKUP(Esselte[[#This Row],[Código]],Projeção[#All],14,FALSE)+VLOOKUP(Esselte[[#This Row],[Código]],Projeção[#All],13,FALSE)+VLOOKUP(Esselte[[#This Row],[Código]],Projeção[#All],12,FALSE)</f>
        <v>0</v>
      </c>
      <c r="V163" s="39">
        <f>IFERROR(VLOOKUP(Esselte[[#This Row],[Código]],Venda_3meses[],2,FALSE),0)</f>
        <v>0</v>
      </c>
      <c r="W163" s="44" t="str">
        <f>IFERROR(Esselte[[#This Row],[V. 3 meses]]/Esselte[[#This Row],[Proj. de V. 3 meses]],"")</f>
        <v/>
      </c>
      <c r="X16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3" s="39">
        <f>IFERROR(VLOOKUP(Esselte[[#This Row],[Código]],Venda_12meses[],2,FALSE),0)</f>
        <v>0</v>
      </c>
      <c r="Z163" s="44" t="str">
        <f>IFERROR(Esselte[[#This Row],[V. 12 meses]]/Esselte[[#This Row],[Proj. de V. 12 meses]],"")</f>
        <v/>
      </c>
      <c r="AA163" s="22"/>
    </row>
    <row r="164" spans="1:27" x14ac:dyDescent="0.25">
      <c r="A164" s="22" t="str">
        <f>VLOOKUP(Esselte[[#This Row],[Código]],BD_Produto[#All],7,FALSE)</f>
        <v>Não entrou em linha</v>
      </c>
      <c r="B16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4" s="23">
        <v>33062163642</v>
      </c>
      <c r="D164" s="22" t="s">
        <v>1599</v>
      </c>
      <c r="E164" s="22">
        <f>VLOOKUP(Esselte[[#This Row],[Código]],BD_Produto[],3,FALSE)</f>
        <v>0</v>
      </c>
      <c r="F164" s="22">
        <f>VLOOKUP(Esselte[[#This Row],[Código]],BD_Produto[],4,FALSE)</f>
        <v>0</v>
      </c>
      <c r="G164" s="24">
        <v>1</v>
      </c>
      <c r="H164" s="25"/>
      <c r="I164" s="22"/>
      <c r="J164" s="24"/>
      <c r="K164" s="24" t="str">
        <f>IFERROR(VLOOKUP(Esselte[[#This Row],[Código]],Importação!P:R,3,FALSE),"")</f>
        <v/>
      </c>
      <c r="L164" s="24">
        <f>IFERROR(VLOOKUP(Esselte[[#This Row],[Código]],Saldo[],3,FALSE),0)</f>
        <v>0</v>
      </c>
      <c r="M164" s="24">
        <f>SUM(Esselte[[#This Row],[Produção]:[Estoque]])</f>
        <v>0</v>
      </c>
      <c r="N164" s="24" t="str">
        <f>IFERROR(Esselte[[#This Row],[Estoque+Importação]]/Esselte[[#This Row],[Proj. de V. No prox. mes]],"Sem Projeção")</f>
        <v>Sem Projeção</v>
      </c>
      <c r="O164" s="24" t="str">
        <f>IF(OR(Esselte[[#This Row],[Status]]="Em Linha",Esselte[[#This Row],[Status]]="Componente",Esselte[[#This Row],[Status]]="Materia Prima"),Esselte[[#This Row],[Proj. de V. No prox. mes]]*10,"-")</f>
        <v>-</v>
      </c>
      <c r="P16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4" s="34">
        <f>VLOOKUP(Esselte[[#This Row],[Código]],Projeção[#All],15,FALSE)</f>
        <v>0</v>
      </c>
      <c r="R164" s="43">
        <f>VLOOKUP(Esselte[[#This Row],[Código]],Projeção[#All],14,FALSE)</f>
        <v>0</v>
      </c>
      <c r="S164" s="39">
        <f>IFERROR(VLOOKUP(Esselte[[#This Row],[Código]],Venda_mes[],2,FALSE),0)</f>
        <v>0</v>
      </c>
      <c r="T164" s="44" t="str">
        <f>IFERROR(Esselte[[#This Row],[V. No mes]]/Esselte[[#This Row],[Proj. de V. No mes]],"")</f>
        <v/>
      </c>
      <c r="U164" s="43">
        <f>VLOOKUP(Esselte[[#This Row],[Código]],Projeção[#All],14,FALSE)+VLOOKUP(Esselte[[#This Row],[Código]],Projeção[#All],13,FALSE)+VLOOKUP(Esselte[[#This Row],[Código]],Projeção[#All],12,FALSE)</f>
        <v>0</v>
      </c>
      <c r="V164" s="39">
        <f>IFERROR(VLOOKUP(Esselte[[#This Row],[Código]],Venda_3meses[],2,FALSE),0)</f>
        <v>0</v>
      </c>
      <c r="W164" s="44" t="str">
        <f>IFERROR(Esselte[[#This Row],[V. 3 meses]]/Esselte[[#This Row],[Proj. de V. 3 meses]],"")</f>
        <v/>
      </c>
      <c r="X16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4" s="39">
        <f>IFERROR(VLOOKUP(Esselte[[#This Row],[Código]],Venda_12meses[],2,FALSE),0)</f>
        <v>0</v>
      </c>
      <c r="Z164" s="44" t="str">
        <f>IFERROR(Esselte[[#This Row],[V. 12 meses]]/Esselte[[#This Row],[Proj. de V. 12 meses]],"")</f>
        <v/>
      </c>
      <c r="AA164" s="22"/>
    </row>
    <row r="165" spans="1:27" x14ac:dyDescent="0.25">
      <c r="A165" s="22" t="str">
        <f>VLOOKUP(Esselte[[#This Row],[Código]],BD_Produto[#All],7,FALSE)</f>
        <v>Não entrou em linha</v>
      </c>
      <c r="B16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5" s="23">
        <v>33062163643</v>
      </c>
      <c r="D165" s="22" t="s">
        <v>1600</v>
      </c>
      <c r="E165" s="22">
        <f>VLOOKUP(Esselte[[#This Row],[Código]],BD_Produto[],3,FALSE)</f>
        <v>0</v>
      </c>
      <c r="F165" s="22">
        <f>VLOOKUP(Esselte[[#This Row],[Código]],BD_Produto[],4,FALSE)</f>
        <v>0</v>
      </c>
      <c r="G165" s="24">
        <v>1</v>
      </c>
      <c r="H165" s="25"/>
      <c r="I165" s="22"/>
      <c r="J165" s="24"/>
      <c r="K165" s="24" t="str">
        <f>IFERROR(VLOOKUP(Esselte[[#This Row],[Código]],Importação!P:R,3,FALSE),"")</f>
        <v/>
      </c>
      <c r="L165" s="24">
        <f>IFERROR(VLOOKUP(Esselte[[#This Row],[Código]],Saldo[],3,FALSE),0)</f>
        <v>0</v>
      </c>
      <c r="M165" s="24">
        <f>SUM(Esselte[[#This Row],[Produção]:[Estoque]])</f>
        <v>0</v>
      </c>
      <c r="N165" s="24" t="str">
        <f>IFERROR(Esselte[[#This Row],[Estoque+Importação]]/Esselte[[#This Row],[Proj. de V. No prox. mes]],"Sem Projeção")</f>
        <v>Sem Projeção</v>
      </c>
      <c r="O165" s="24" t="str">
        <f>IF(OR(Esselte[[#This Row],[Status]]="Em Linha",Esselte[[#This Row],[Status]]="Componente",Esselte[[#This Row],[Status]]="Materia Prima"),Esselte[[#This Row],[Proj. de V. No prox. mes]]*10,"-")</f>
        <v>-</v>
      </c>
      <c r="P16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5" s="34">
        <f>VLOOKUP(Esselte[[#This Row],[Código]],Projeção[#All],15,FALSE)</f>
        <v>0</v>
      </c>
      <c r="R165" s="43">
        <f>VLOOKUP(Esselte[[#This Row],[Código]],Projeção[#All],14,FALSE)</f>
        <v>0</v>
      </c>
      <c r="S165" s="39">
        <f>IFERROR(VLOOKUP(Esselte[[#This Row],[Código]],Venda_mes[],2,FALSE),0)</f>
        <v>0</v>
      </c>
      <c r="T165" s="44" t="str">
        <f>IFERROR(Esselte[[#This Row],[V. No mes]]/Esselte[[#This Row],[Proj. de V. No mes]],"")</f>
        <v/>
      </c>
      <c r="U165" s="43">
        <f>VLOOKUP(Esselte[[#This Row],[Código]],Projeção[#All],14,FALSE)+VLOOKUP(Esselte[[#This Row],[Código]],Projeção[#All],13,FALSE)+VLOOKUP(Esselte[[#This Row],[Código]],Projeção[#All],12,FALSE)</f>
        <v>0</v>
      </c>
      <c r="V165" s="39">
        <f>IFERROR(VLOOKUP(Esselte[[#This Row],[Código]],Venda_3meses[],2,FALSE),0)</f>
        <v>0</v>
      </c>
      <c r="W165" s="44" t="str">
        <f>IFERROR(Esselte[[#This Row],[V. 3 meses]]/Esselte[[#This Row],[Proj. de V. 3 meses]],"")</f>
        <v/>
      </c>
      <c r="X16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5" s="39">
        <f>IFERROR(VLOOKUP(Esselte[[#This Row],[Código]],Venda_12meses[],2,FALSE),0)</f>
        <v>0</v>
      </c>
      <c r="Z165" s="44" t="str">
        <f>IFERROR(Esselte[[#This Row],[V. 12 meses]]/Esselte[[#This Row],[Proj. de V. 12 meses]],"")</f>
        <v/>
      </c>
      <c r="AA165" s="22"/>
    </row>
    <row r="166" spans="1:27" x14ac:dyDescent="0.25">
      <c r="A166" s="22" t="str">
        <f>VLOOKUP(Esselte[[#This Row],[Código]],BD_Produto[#All],7,FALSE)</f>
        <v>Não entrou em linha</v>
      </c>
      <c r="B16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6" s="23">
        <v>33062563644</v>
      </c>
      <c r="D166" s="22" t="s">
        <v>1601</v>
      </c>
      <c r="E166" s="22">
        <f>VLOOKUP(Esselte[[#This Row],[Código]],BD_Produto[],3,FALSE)</f>
        <v>0</v>
      </c>
      <c r="F166" s="22">
        <f>VLOOKUP(Esselte[[#This Row],[Código]],BD_Produto[],4,FALSE)</f>
        <v>0</v>
      </c>
      <c r="G166" s="24">
        <v>1</v>
      </c>
      <c r="H166" s="25"/>
      <c r="I166" s="22"/>
      <c r="J166" s="24"/>
      <c r="K166" s="24" t="str">
        <f>IFERROR(VLOOKUP(Esselte[[#This Row],[Código]],Importação!P:R,3,FALSE),"")</f>
        <v/>
      </c>
      <c r="L166" s="24">
        <f>IFERROR(VLOOKUP(Esselte[[#This Row],[Código]],Saldo[],3,FALSE),0)</f>
        <v>0</v>
      </c>
      <c r="M166" s="24">
        <f>SUM(Esselte[[#This Row],[Produção]:[Estoque]])</f>
        <v>0</v>
      </c>
      <c r="N166" s="24" t="str">
        <f>IFERROR(Esselte[[#This Row],[Estoque+Importação]]/Esselte[[#This Row],[Proj. de V. No prox. mes]],"Sem Projeção")</f>
        <v>Sem Projeção</v>
      </c>
      <c r="O166" s="24" t="str">
        <f>IF(OR(Esselte[[#This Row],[Status]]="Em Linha",Esselte[[#This Row],[Status]]="Componente",Esselte[[#This Row],[Status]]="Materia Prima"),Esselte[[#This Row],[Proj. de V. No prox. mes]]*10,"-")</f>
        <v>-</v>
      </c>
      <c r="P16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6" s="34">
        <f>VLOOKUP(Esselte[[#This Row],[Código]],Projeção[#All],15,FALSE)</f>
        <v>0</v>
      </c>
      <c r="R166" s="43">
        <f>VLOOKUP(Esselte[[#This Row],[Código]],Projeção[#All],14,FALSE)</f>
        <v>0</v>
      </c>
      <c r="S166" s="39">
        <f>IFERROR(VLOOKUP(Esselte[[#This Row],[Código]],Venda_mes[],2,FALSE),0)</f>
        <v>0</v>
      </c>
      <c r="T166" s="44" t="str">
        <f>IFERROR(Esselte[[#This Row],[V. No mes]]/Esselte[[#This Row],[Proj. de V. No mes]],"")</f>
        <v/>
      </c>
      <c r="U166" s="43">
        <f>VLOOKUP(Esselte[[#This Row],[Código]],Projeção[#All],14,FALSE)+VLOOKUP(Esselte[[#This Row],[Código]],Projeção[#All],13,FALSE)+VLOOKUP(Esselte[[#This Row],[Código]],Projeção[#All],12,FALSE)</f>
        <v>0</v>
      </c>
      <c r="V166" s="39">
        <f>IFERROR(VLOOKUP(Esselte[[#This Row],[Código]],Venda_3meses[],2,FALSE),0)</f>
        <v>0</v>
      </c>
      <c r="W166" s="44" t="str">
        <f>IFERROR(Esselte[[#This Row],[V. 3 meses]]/Esselte[[#This Row],[Proj. de V. 3 meses]],"")</f>
        <v/>
      </c>
      <c r="X16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6" s="39">
        <f>IFERROR(VLOOKUP(Esselte[[#This Row],[Código]],Venda_12meses[],2,FALSE),0)</f>
        <v>0</v>
      </c>
      <c r="Z166" s="44" t="str">
        <f>IFERROR(Esselte[[#This Row],[V. 12 meses]]/Esselte[[#This Row],[Proj. de V. 12 meses]],"")</f>
        <v/>
      </c>
      <c r="AA166" s="22"/>
    </row>
    <row r="167" spans="1:27" x14ac:dyDescent="0.25">
      <c r="A167" s="22" t="str">
        <f>VLOOKUP(Esselte[[#This Row],[Código]],BD_Produto[#All],7,FALSE)</f>
        <v>Não entrou em linha</v>
      </c>
      <c r="B16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7" s="23">
        <v>33062563645</v>
      </c>
      <c r="D167" s="22" t="s">
        <v>1602</v>
      </c>
      <c r="E167" s="22">
        <f>VLOOKUP(Esselte[[#This Row],[Código]],BD_Produto[],3,FALSE)</f>
        <v>0</v>
      </c>
      <c r="F167" s="22">
        <f>VLOOKUP(Esselte[[#This Row],[Código]],BD_Produto[],4,FALSE)</f>
        <v>0</v>
      </c>
      <c r="G167" s="24">
        <v>1</v>
      </c>
      <c r="H167" s="25"/>
      <c r="I167" s="22"/>
      <c r="J167" s="24"/>
      <c r="K167" s="24" t="str">
        <f>IFERROR(VLOOKUP(Esselte[[#This Row],[Código]],Importação!P:R,3,FALSE),"")</f>
        <v/>
      </c>
      <c r="L167" s="24">
        <f>IFERROR(VLOOKUP(Esselte[[#This Row],[Código]],Saldo[],3,FALSE),0)</f>
        <v>0</v>
      </c>
      <c r="M167" s="24">
        <f>SUM(Esselte[[#This Row],[Produção]:[Estoque]])</f>
        <v>0</v>
      </c>
      <c r="N167" s="24" t="str">
        <f>IFERROR(Esselte[[#This Row],[Estoque+Importação]]/Esselte[[#This Row],[Proj. de V. No prox. mes]],"Sem Projeção")</f>
        <v>Sem Projeção</v>
      </c>
      <c r="O167" s="24" t="str">
        <f>IF(OR(Esselte[[#This Row],[Status]]="Em Linha",Esselte[[#This Row],[Status]]="Componente",Esselte[[#This Row],[Status]]="Materia Prima"),Esselte[[#This Row],[Proj. de V. No prox. mes]]*10,"-")</f>
        <v>-</v>
      </c>
      <c r="P16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7" s="34">
        <f>VLOOKUP(Esselte[[#This Row],[Código]],Projeção[#All],15,FALSE)</f>
        <v>0</v>
      </c>
      <c r="R167" s="43">
        <f>VLOOKUP(Esselte[[#This Row],[Código]],Projeção[#All],14,FALSE)</f>
        <v>0</v>
      </c>
      <c r="S167" s="39">
        <f>IFERROR(VLOOKUP(Esselte[[#This Row],[Código]],Venda_mes[],2,FALSE),0)</f>
        <v>0</v>
      </c>
      <c r="T167" s="44" t="str">
        <f>IFERROR(Esselte[[#This Row],[V. No mes]]/Esselte[[#This Row],[Proj. de V. No mes]],"")</f>
        <v/>
      </c>
      <c r="U167" s="43">
        <f>VLOOKUP(Esselte[[#This Row],[Código]],Projeção[#All],14,FALSE)+VLOOKUP(Esselte[[#This Row],[Código]],Projeção[#All],13,FALSE)+VLOOKUP(Esselte[[#This Row],[Código]],Projeção[#All],12,FALSE)</f>
        <v>0</v>
      </c>
      <c r="V167" s="39">
        <f>IFERROR(VLOOKUP(Esselte[[#This Row],[Código]],Venda_3meses[],2,FALSE),0)</f>
        <v>0</v>
      </c>
      <c r="W167" s="44" t="str">
        <f>IFERROR(Esselte[[#This Row],[V. 3 meses]]/Esselte[[#This Row],[Proj. de V. 3 meses]],"")</f>
        <v/>
      </c>
      <c r="X16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7" s="39">
        <f>IFERROR(VLOOKUP(Esselte[[#This Row],[Código]],Venda_12meses[],2,FALSE),0)</f>
        <v>0</v>
      </c>
      <c r="Z167" s="44" t="str">
        <f>IFERROR(Esselte[[#This Row],[V. 12 meses]]/Esselte[[#This Row],[Proj. de V. 12 meses]],"")</f>
        <v/>
      </c>
      <c r="AA167" s="22"/>
    </row>
    <row r="168" spans="1:27" x14ac:dyDescent="0.25">
      <c r="A168" s="22" t="str">
        <f>VLOOKUP(Esselte[[#This Row],[Código]],BD_Produto[#All],7,FALSE)</f>
        <v>Não entrou em linha</v>
      </c>
      <c r="B16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8" s="23">
        <v>33062563646</v>
      </c>
      <c r="D168" s="22" t="s">
        <v>1603</v>
      </c>
      <c r="E168" s="22">
        <f>VLOOKUP(Esselte[[#This Row],[Código]],BD_Produto[],3,FALSE)</f>
        <v>0</v>
      </c>
      <c r="F168" s="22">
        <f>VLOOKUP(Esselte[[#This Row],[Código]],BD_Produto[],4,FALSE)</f>
        <v>0</v>
      </c>
      <c r="G168" s="24">
        <v>1</v>
      </c>
      <c r="H168" s="25"/>
      <c r="I168" s="22"/>
      <c r="J168" s="24"/>
      <c r="K168" s="24" t="str">
        <f>IFERROR(VLOOKUP(Esselte[[#This Row],[Código]],Importação!P:R,3,FALSE),"")</f>
        <v/>
      </c>
      <c r="L168" s="24">
        <f>IFERROR(VLOOKUP(Esselte[[#This Row],[Código]],Saldo[],3,FALSE),0)</f>
        <v>0</v>
      </c>
      <c r="M168" s="24">
        <f>SUM(Esselte[[#This Row],[Produção]:[Estoque]])</f>
        <v>0</v>
      </c>
      <c r="N168" s="24" t="str">
        <f>IFERROR(Esselte[[#This Row],[Estoque+Importação]]/Esselte[[#This Row],[Proj. de V. No prox. mes]],"Sem Projeção")</f>
        <v>Sem Projeção</v>
      </c>
      <c r="O168" s="24" t="str">
        <f>IF(OR(Esselte[[#This Row],[Status]]="Em Linha",Esselte[[#This Row],[Status]]="Componente",Esselte[[#This Row],[Status]]="Materia Prima"),Esselte[[#This Row],[Proj. de V. No prox. mes]]*10,"-")</f>
        <v>-</v>
      </c>
      <c r="P16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8" s="34">
        <f>VLOOKUP(Esselte[[#This Row],[Código]],Projeção[#All],15,FALSE)</f>
        <v>0</v>
      </c>
      <c r="R168" s="43">
        <f>VLOOKUP(Esselte[[#This Row],[Código]],Projeção[#All],14,FALSE)</f>
        <v>0</v>
      </c>
      <c r="S168" s="39">
        <f>IFERROR(VLOOKUP(Esselte[[#This Row],[Código]],Venda_mes[],2,FALSE),0)</f>
        <v>0</v>
      </c>
      <c r="T168" s="44" t="str">
        <f>IFERROR(Esselte[[#This Row],[V. No mes]]/Esselte[[#This Row],[Proj. de V. No mes]],"")</f>
        <v/>
      </c>
      <c r="U168" s="43">
        <f>VLOOKUP(Esselte[[#This Row],[Código]],Projeção[#All],14,FALSE)+VLOOKUP(Esselte[[#This Row],[Código]],Projeção[#All],13,FALSE)+VLOOKUP(Esselte[[#This Row],[Código]],Projeção[#All],12,FALSE)</f>
        <v>0</v>
      </c>
      <c r="V168" s="39">
        <f>IFERROR(VLOOKUP(Esselte[[#This Row],[Código]],Venda_3meses[],2,FALSE),0)</f>
        <v>0</v>
      </c>
      <c r="W168" s="44" t="str">
        <f>IFERROR(Esselte[[#This Row],[V. 3 meses]]/Esselte[[#This Row],[Proj. de V. 3 meses]],"")</f>
        <v/>
      </c>
      <c r="X16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8" s="39">
        <f>IFERROR(VLOOKUP(Esselte[[#This Row],[Código]],Venda_12meses[],2,FALSE),0)</f>
        <v>0</v>
      </c>
      <c r="Z168" s="44" t="str">
        <f>IFERROR(Esselte[[#This Row],[V. 12 meses]]/Esselte[[#This Row],[Proj. de V. 12 meses]],"")</f>
        <v/>
      </c>
      <c r="AA168" s="22"/>
    </row>
    <row r="169" spans="1:27" x14ac:dyDescent="0.25">
      <c r="A169" s="22" t="str">
        <f>VLOOKUP(Esselte[[#This Row],[Código]],BD_Produto[#All],7,FALSE)</f>
        <v>Não entrou em linha</v>
      </c>
      <c r="B16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69" s="23">
        <v>33062563647</v>
      </c>
      <c r="D169" s="22" t="s">
        <v>1604</v>
      </c>
      <c r="E169" s="22">
        <f>VLOOKUP(Esselte[[#This Row],[Código]],BD_Produto[],3,FALSE)</f>
        <v>0</v>
      </c>
      <c r="F169" s="22">
        <f>VLOOKUP(Esselte[[#This Row],[Código]],BD_Produto[],4,FALSE)</f>
        <v>0</v>
      </c>
      <c r="G169" s="24">
        <v>1</v>
      </c>
      <c r="H169" s="25"/>
      <c r="I169" s="22"/>
      <c r="J169" s="24"/>
      <c r="K169" s="24" t="str">
        <f>IFERROR(VLOOKUP(Esselte[[#This Row],[Código]],Importação!P:R,3,FALSE),"")</f>
        <v/>
      </c>
      <c r="L169" s="24">
        <f>IFERROR(VLOOKUP(Esselte[[#This Row],[Código]],Saldo[],3,FALSE),0)</f>
        <v>0</v>
      </c>
      <c r="M169" s="24">
        <f>SUM(Esselte[[#This Row],[Produção]:[Estoque]])</f>
        <v>0</v>
      </c>
      <c r="N169" s="24" t="str">
        <f>IFERROR(Esselte[[#This Row],[Estoque+Importação]]/Esselte[[#This Row],[Proj. de V. No prox. mes]],"Sem Projeção")</f>
        <v>Sem Projeção</v>
      </c>
      <c r="O169" s="24" t="str">
        <f>IF(OR(Esselte[[#This Row],[Status]]="Em Linha",Esselte[[#This Row],[Status]]="Componente",Esselte[[#This Row],[Status]]="Materia Prima"),Esselte[[#This Row],[Proj. de V. No prox. mes]]*10,"-")</f>
        <v>-</v>
      </c>
      <c r="P16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69" s="34">
        <f>VLOOKUP(Esselte[[#This Row],[Código]],Projeção[#All],15,FALSE)</f>
        <v>0</v>
      </c>
      <c r="R169" s="43">
        <f>VLOOKUP(Esselte[[#This Row],[Código]],Projeção[#All],14,FALSE)</f>
        <v>0</v>
      </c>
      <c r="S169" s="39">
        <f>IFERROR(VLOOKUP(Esselte[[#This Row],[Código]],Venda_mes[],2,FALSE),0)</f>
        <v>0</v>
      </c>
      <c r="T169" s="44" t="str">
        <f>IFERROR(Esselte[[#This Row],[V. No mes]]/Esselte[[#This Row],[Proj. de V. No mes]],"")</f>
        <v/>
      </c>
      <c r="U169" s="43">
        <f>VLOOKUP(Esselte[[#This Row],[Código]],Projeção[#All],14,FALSE)+VLOOKUP(Esselte[[#This Row],[Código]],Projeção[#All],13,FALSE)+VLOOKUP(Esselte[[#This Row],[Código]],Projeção[#All],12,FALSE)</f>
        <v>0</v>
      </c>
      <c r="V169" s="39">
        <f>IFERROR(VLOOKUP(Esselte[[#This Row],[Código]],Venda_3meses[],2,FALSE),0)</f>
        <v>0</v>
      </c>
      <c r="W169" s="44" t="str">
        <f>IFERROR(Esselte[[#This Row],[V. 3 meses]]/Esselte[[#This Row],[Proj. de V. 3 meses]],"")</f>
        <v/>
      </c>
      <c r="X16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69" s="39">
        <f>IFERROR(VLOOKUP(Esselte[[#This Row],[Código]],Venda_12meses[],2,FALSE),0)</f>
        <v>0</v>
      </c>
      <c r="Z169" s="44" t="str">
        <f>IFERROR(Esselte[[#This Row],[V. 12 meses]]/Esselte[[#This Row],[Proj. de V. 12 meses]],"")</f>
        <v/>
      </c>
      <c r="AA169" s="22"/>
    </row>
    <row r="170" spans="1:27" x14ac:dyDescent="0.25">
      <c r="A170" s="22" t="str">
        <f>VLOOKUP(Esselte[[#This Row],[Código]],BD_Produto[#All],7,FALSE)</f>
        <v>Não entrou em linha</v>
      </c>
      <c r="B17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0" s="23">
        <v>33062563648</v>
      </c>
      <c r="D170" s="22" t="s">
        <v>1605</v>
      </c>
      <c r="E170" s="22">
        <f>VLOOKUP(Esselte[[#This Row],[Código]],BD_Produto[],3,FALSE)</f>
        <v>0</v>
      </c>
      <c r="F170" s="22">
        <f>VLOOKUP(Esselte[[#This Row],[Código]],BD_Produto[],4,FALSE)</f>
        <v>0</v>
      </c>
      <c r="G170" s="24">
        <v>1</v>
      </c>
      <c r="H170" s="25"/>
      <c r="I170" s="22"/>
      <c r="J170" s="24"/>
      <c r="K170" s="24" t="str">
        <f>IFERROR(VLOOKUP(Esselte[[#This Row],[Código]],Importação!P:R,3,FALSE),"")</f>
        <v/>
      </c>
      <c r="L170" s="24">
        <f>IFERROR(VLOOKUP(Esselte[[#This Row],[Código]],Saldo[],3,FALSE),0)</f>
        <v>0</v>
      </c>
      <c r="M170" s="24">
        <f>SUM(Esselte[[#This Row],[Produção]:[Estoque]])</f>
        <v>0</v>
      </c>
      <c r="N170" s="24" t="str">
        <f>IFERROR(Esselte[[#This Row],[Estoque+Importação]]/Esselte[[#This Row],[Proj. de V. No prox. mes]],"Sem Projeção")</f>
        <v>Sem Projeção</v>
      </c>
      <c r="O170" s="24" t="str">
        <f>IF(OR(Esselte[[#This Row],[Status]]="Em Linha",Esselte[[#This Row],[Status]]="Componente",Esselte[[#This Row],[Status]]="Materia Prima"),Esselte[[#This Row],[Proj. de V. No prox. mes]]*10,"-")</f>
        <v>-</v>
      </c>
      <c r="P17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0" s="34">
        <f>VLOOKUP(Esselte[[#This Row],[Código]],Projeção[#All],15,FALSE)</f>
        <v>0</v>
      </c>
      <c r="R170" s="43">
        <f>VLOOKUP(Esselte[[#This Row],[Código]],Projeção[#All],14,FALSE)</f>
        <v>0</v>
      </c>
      <c r="S170" s="39">
        <f>IFERROR(VLOOKUP(Esselte[[#This Row],[Código]],Venda_mes[],2,FALSE),0)</f>
        <v>0</v>
      </c>
      <c r="T170" s="44" t="str">
        <f>IFERROR(Esselte[[#This Row],[V. No mes]]/Esselte[[#This Row],[Proj. de V. No mes]],"")</f>
        <v/>
      </c>
      <c r="U170" s="43">
        <f>VLOOKUP(Esselte[[#This Row],[Código]],Projeção[#All],14,FALSE)+VLOOKUP(Esselte[[#This Row],[Código]],Projeção[#All],13,FALSE)+VLOOKUP(Esselte[[#This Row],[Código]],Projeção[#All],12,FALSE)</f>
        <v>0</v>
      </c>
      <c r="V170" s="39">
        <f>IFERROR(VLOOKUP(Esselte[[#This Row],[Código]],Venda_3meses[],2,FALSE),0)</f>
        <v>0</v>
      </c>
      <c r="W170" s="44" t="str">
        <f>IFERROR(Esselte[[#This Row],[V. 3 meses]]/Esselte[[#This Row],[Proj. de V. 3 meses]],"")</f>
        <v/>
      </c>
      <c r="X17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0" s="39">
        <f>IFERROR(VLOOKUP(Esselte[[#This Row],[Código]],Venda_12meses[],2,FALSE),0)</f>
        <v>0</v>
      </c>
      <c r="Z170" s="44" t="str">
        <f>IFERROR(Esselte[[#This Row],[V. 12 meses]]/Esselte[[#This Row],[Proj. de V. 12 meses]],"")</f>
        <v/>
      </c>
      <c r="AA170" s="22"/>
    </row>
    <row r="171" spans="1:27" x14ac:dyDescent="0.25">
      <c r="A171" s="22" t="str">
        <f>VLOOKUP(Esselte[[#This Row],[Código]],BD_Produto[#All],7,FALSE)</f>
        <v>Não entrou em linha</v>
      </c>
      <c r="B17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1" s="23">
        <v>33062563649</v>
      </c>
      <c r="D171" s="22" t="s">
        <v>1606</v>
      </c>
      <c r="E171" s="22">
        <f>VLOOKUP(Esselte[[#This Row],[Código]],BD_Produto[],3,FALSE)</f>
        <v>0</v>
      </c>
      <c r="F171" s="22">
        <f>VLOOKUP(Esselte[[#This Row],[Código]],BD_Produto[],4,FALSE)</f>
        <v>0</v>
      </c>
      <c r="G171" s="24">
        <v>1</v>
      </c>
      <c r="H171" s="25"/>
      <c r="I171" s="22"/>
      <c r="J171" s="24"/>
      <c r="K171" s="24" t="str">
        <f>IFERROR(VLOOKUP(Esselte[[#This Row],[Código]],Importação!P:R,3,FALSE),"")</f>
        <v/>
      </c>
      <c r="L171" s="24">
        <f>IFERROR(VLOOKUP(Esselte[[#This Row],[Código]],Saldo[],3,FALSE),0)</f>
        <v>0</v>
      </c>
      <c r="M171" s="24">
        <f>SUM(Esselte[[#This Row],[Produção]:[Estoque]])</f>
        <v>0</v>
      </c>
      <c r="N171" s="24" t="str">
        <f>IFERROR(Esselte[[#This Row],[Estoque+Importação]]/Esselte[[#This Row],[Proj. de V. No prox. mes]],"Sem Projeção")</f>
        <v>Sem Projeção</v>
      </c>
      <c r="O171" s="24" t="str">
        <f>IF(OR(Esselte[[#This Row],[Status]]="Em Linha",Esselte[[#This Row],[Status]]="Componente",Esselte[[#This Row],[Status]]="Materia Prima"),Esselte[[#This Row],[Proj. de V. No prox. mes]]*10,"-")</f>
        <v>-</v>
      </c>
      <c r="P17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1" s="34">
        <f>VLOOKUP(Esselte[[#This Row],[Código]],Projeção[#All],15,FALSE)</f>
        <v>0</v>
      </c>
      <c r="R171" s="43">
        <f>VLOOKUP(Esselte[[#This Row],[Código]],Projeção[#All],14,FALSE)</f>
        <v>0</v>
      </c>
      <c r="S171" s="39">
        <f>IFERROR(VLOOKUP(Esselte[[#This Row],[Código]],Venda_mes[],2,FALSE),0)</f>
        <v>0</v>
      </c>
      <c r="T171" s="44" t="str">
        <f>IFERROR(Esselte[[#This Row],[V. No mes]]/Esselte[[#This Row],[Proj. de V. No mes]],"")</f>
        <v/>
      </c>
      <c r="U171" s="43">
        <f>VLOOKUP(Esselte[[#This Row],[Código]],Projeção[#All],14,FALSE)+VLOOKUP(Esselte[[#This Row],[Código]],Projeção[#All],13,FALSE)+VLOOKUP(Esselte[[#This Row],[Código]],Projeção[#All],12,FALSE)</f>
        <v>0</v>
      </c>
      <c r="V171" s="39">
        <f>IFERROR(VLOOKUP(Esselte[[#This Row],[Código]],Venda_3meses[],2,FALSE),0)</f>
        <v>0</v>
      </c>
      <c r="W171" s="44" t="str">
        <f>IFERROR(Esselte[[#This Row],[V. 3 meses]]/Esselte[[#This Row],[Proj. de V. 3 meses]],"")</f>
        <v/>
      </c>
      <c r="X17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1" s="39">
        <f>IFERROR(VLOOKUP(Esselte[[#This Row],[Código]],Venda_12meses[],2,FALSE),0)</f>
        <v>0</v>
      </c>
      <c r="Z171" s="44" t="str">
        <f>IFERROR(Esselte[[#This Row],[V. 12 meses]]/Esselte[[#This Row],[Proj. de V. 12 meses]],"")</f>
        <v/>
      </c>
      <c r="AA171" s="22"/>
    </row>
    <row r="172" spans="1:27" x14ac:dyDescent="0.25">
      <c r="A172" s="22" t="str">
        <f>VLOOKUP(Esselte[[#This Row],[Código]],BD_Produto[#All],7,FALSE)</f>
        <v>Não entrou em linha</v>
      </c>
      <c r="B17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2" s="23">
        <v>33062563650</v>
      </c>
      <c r="D172" s="22" t="s">
        <v>1607</v>
      </c>
      <c r="E172" s="22">
        <f>VLOOKUP(Esselte[[#This Row],[Código]],BD_Produto[],3,FALSE)</f>
        <v>0</v>
      </c>
      <c r="F172" s="22">
        <f>VLOOKUP(Esselte[[#This Row],[Código]],BD_Produto[],4,FALSE)</f>
        <v>0</v>
      </c>
      <c r="G172" s="24">
        <v>1</v>
      </c>
      <c r="H172" s="25"/>
      <c r="I172" s="22"/>
      <c r="J172" s="24"/>
      <c r="K172" s="24" t="str">
        <f>IFERROR(VLOOKUP(Esselte[[#This Row],[Código]],Importação!P:R,3,FALSE),"")</f>
        <v/>
      </c>
      <c r="L172" s="24">
        <f>IFERROR(VLOOKUP(Esselte[[#This Row],[Código]],Saldo[],3,FALSE),0)</f>
        <v>0</v>
      </c>
      <c r="M172" s="24">
        <f>SUM(Esselte[[#This Row],[Produção]:[Estoque]])</f>
        <v>0</v>
      </c>
      <c r="N172" s="24" t="str">
        <f>IFERROR(Esselte[[#This Row],[Estoque+Importação]]/Esselte[[#This Row],[Proj. de V. No prox. mes]],"Sem Projeção")</f>
        <v>Sem Projeção</v>
      </c>
      <c r="O172" s="24" t="str">
        <f>IF(OR(Esselte[[#This Row],[Status]]="Em Linha",Esselte[[#This Row],[Status]]="Componente",Esselte[[#This Row],[Status]]="Materia Prima"),Esselte[[#This Row],[Proj. de V. No prox. mes]]*10,"-")</f>
        <v>-</v>
      </c>
      <c r="P17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2" s="34">
        <f>VLOOKUP(Esselte[[#This Row],[Código]],Projeção[#All],15,FALSE)</f>
        <v>0</v>
      </c>
      <c r="R172" s="43">
        <f>VLOOKUP(Esselte[[#This Row],[Código]],Projeção[#All],14,FALSE)</f>
        <v>0</v>
      </c>
      <c r="S172" s="39">
        <f>IFERROR(VLOOKUP(Esselte[[#This Row],[Código]],Venda_mes[],2,FALSE),0)</f>
        <v>0</v>
      </c>
      <c r="T172" s="44" t="str">
        <f>IFERROR(Esselte[[#This Row],[V. No mes]]/Esselte[[#This Row],[Proj. de V. No mes]],"")</f>
        <v/>
      </c>
      <c r="U172" s="43">
        <f>VLOOKUP(Esselte[[#This Row],[Código]],Projeção[#All],14,FALSE)+VLOOKUP(Esselte[[#This Row],[Código]],Projeção[#All],13,FALSE)+VLOOKUP(Esselte[[#This Row],[Código]],Projeção[#All],12,FALSE)</f>
        <v>0</v>
      </c>
      <c r="V172" s="39">
        <f>IFERROR(VLOOKUP(Esselte[[#This Row],[Código]],Venda_3meses[],2,FALSE),0)</f>
        <v>0</v>
      </c>
      <c r="W172" s="44" t="str">
        <f>IFERROR(Esselte[[#This Row],[V. 3 meses]]/Esselte[[#This Row],[Proj. de V. 3 meses]],"")</f>
        <v/>
      </c>
      <c r="X17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2" s="39">
        <f>IFERROR(VLOOKUP(Esselte[[#This Row],[Código]],Venda_12meses[],2,FALSE),0)</f>
        <v>0</v>
      </c>
      <c r="Z172" s="44" t="str">
        <f>IFERROR(Esselte[[#This Row],[V. 12 meses]]/Esselte[[#This Row],[Proj. de V. 12 meses]],"")</f>
        <v/>
      </c>
      <c r="AA172" s="22"/>
    </row>
    <row r="173" spans="1:27" x14ac:dyDescent="0.25">
      <c r="A173" s="22" t="str">
        <f>VLOOKUP(Esselte[[#This Row],[Código]],BD_Produto[#All],7,FALSE)</f>
        <v>Não entrou em linha</v>
      </c>
      <c r="B17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3" s="23">
        <v>33062563651</v>
      </c>
      <c r="D173" s="22" t="s">
        <v>1608</v>
      </c>
      <c r="E173" s="22">
        <f>VLOOKUP(Esselte[[#This Row],[Código]],BD_Produto[],3,FALSE)</f>
        <v>0</v>
      </c>
      <c r="F173" s="22">
        <f>VLOOKUP(Esselte[[#This Row],[Código]],BD_Produto[],4,FALSE)</f>
        <v>0</v>
      </c>
      <c r="G173" s="24">
        <v>1</v>
      </c>
      <c r="H173" s="25"/>
      <c r="I173" s="22"/>
      <c r="J173" s="24"/>
      <c r="K173" s="24" t="str">
        <f>IFERROR(VLOOKUP(Esselte[[#This Row],[Código]],Importação!P:R,3,FALSE),"")</f>
        <v/>
      </c>
      <c r="L173" s="24">
        <f>IFERROR(VLOOKUP(Esselte[[#This Row],[Código]],Saldo[],3,FALSE),0)</f>
        <v>0</v>
      </c>
      <c r="M173" s="24">
        <f>SUM(Esselte[[#This Row],[Produção]:[Estoque]])</f>
        <v>0</v>
      </c>
      <c r="N173" s="24" t="str">
        <f>IFERROR(Esselte[[#This Row],[Estoque+Importação]]/Esselte[[#This Row],[Proj. de V. No prox. mes]],"Sem Projeção")</f>
        <v>Sem Projeção</v>
      </c>
      <c r="O173" s="24" t="str">
        <f>IF(OR(Esselte[[#This Row],[Status]]="Em Linha",Esselte[[#This Row],[Status]]="Componente",Esselte[[#This Row],[Status]]="Materia Prima"),Esselte[[#This Row],[Proj. de V. No prox. mes]]*10,"-")</f>
        <v>-</v>
      </c>
      <c r="P17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3" s="34">
        <f>VLOOKUP(Esselte[[#This Row],[Código]],Projeção[#All],15,FALSE)</f>
        <v>0</v>
      </c>
      <c r="R173" s="43">
        <f>VLOOKUP(Esselte[[#This Row],[Código]],Projeção[#All],14,FALSE)</f>
        <v>0</v>
      </c>
      <c r="S173" s="39">
        <f>IFERROR(VLOOKUP(Esselte[[#This Row],[Código]],Venda_mes[],2,FALSE),0)</f>
        <v>0</v>
      </c>
      <c r="T173" s="44" t="str">
        <f>IFERROR(Esselte[[#This Row],[V. No mes]]/Esselte[[#This Row],[Proj. de V. No mes]],"")</f>
        <v/>
      </c>
      <c r="U173" s="43">
        <f>VLOOKUP(Esselte[[#This Row],[Código]],Projeção[#All],14,FALSE)+VLOOKUP(Esselte[[#This Row],[Código]],Projeção[#All],13,FALSE)+VLOOKUP(Esselte[[#This Row],[Código]],Projeção[#All],12,FALSE)</f>
        <v>0</v>
      </c>
      <c r="V173" s="39">
        <f>IFERROR(VLOOKUP(Esselte[[#This Row],[Código]],Venda_3meses[],2,FALSE),0)</f>
        <v>0</v>
      </c>
      <c r="W173" s="44" t="str">
        <f>IFERROR(Esselte[[#This Row],[V. 3 meses]]/Esselte[[#This Row],[Proj. de V. 3 meses]],"")</f>
        <v/>
      </c>
      <c r="X17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3" s="39">
        <f>IFERROR(VLOOKUP(Esselte[[#This Row],[Código]],Venda_12meses[],2,FALSE),0)</f>
        <v>0</v>
      </c>
      <c r="Z173" s="44" t="str">
        <f>IFERROR(Esselte[[#This Row],[V. 12 meses]]/Esselte[[#This Row],[Proj. de V. 12 meses]],"")</f>
        <v/>
      </c>
      <c r="AA173" s="22"/>
    </row>
    <row r="174" spans="1:27" x14ac:dyDescent="0.25">
      <c r="A174" s="22" t="str">
        <f>VLOOKUP(Esselte[[#This Row],[Código]],BD_Produto[#All],7,FALSE)</f>
        <v>Não entrou em linha</v>
      </c>
      <c r="B17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4" s="23">
        <v>33062563652</v>
      </c>
      <c r="D174" s="22" t="s">
        <v>1609</v>
      </c>
      <c r="E174" s="22">
        <f>VLOOKUP(Esselte[[#This Row],[Código]],BD_Produto[],3,FALSE)</f>
        <v>0</v>
      </c>
      <c r="F174" s="22">
        <f>VLOOKUP(Esselte[[#This Row],[Código]],BD_Produto[],4,FALSE)</f>
        <v>0</v>
      </c>
      <c r="G174" s="24">
        <v>1</v>
      </c>
      <c r="H174" s="25"/>
      <c r="I174" s="22"/>
      <c r="J174" s="24"/>
      <c r="K174" s="24" t="str">
        <f>IFERROR(VLOOKUP(Esselte[[#This Row],[Código]],Importação!P:R,3,FALSE),"")</f>
        <v/>
      </c>
      <c r="L174" s="24">
        <f>IFERROR(VLOOKUP(Esselte[[#This Row],[Código]],Saldo[],3,FALSE),0)</f>
        <v>0</v>
      </c>
      <c r="M174" s="24">
        <f>SUM(Esselte[[#This Row],[Produção]:[Estoque]])</f>
        <v>0</v>
      </c>
      <c r="N174" s="24" t="str">
        <f>IFERROR(Esselte[[#This Row],[Estoque+Importação]]/Esselte[[#This Row],[Proj. de V. No prox. mes]],"Sem Projeção")</f>
        <v>Sem Projeção</v>
      </c>
      <c r="O174" s="24" t="str">
        <f>IF(OR(Esselte[[#This Row],[Status]]="Em Linha",Esselte[[#This Row],[Status]]="Componente",Esselte[[#This Row],[Status]]="Materia Prima"),Esselte[[#This Row],[Proj. de V. No prox. mes]]*10,"-")</f>
        <v>-</v>
      </c>
      <c r="P17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4" s="34">
        <f>VLOOKUP(Esselte[[#This Row],[Código]],Projeção[#All],15,FALSE)</f>
        <v>0</v>
      </c>
      <c r="R174" s="43">
        <f>VLOOKUP(Esselte[[#This Row],[Código]],Projeção[#All],14,FALSE)</f>
        <v>0</v>
      </c>
      <c r="S174" s="39">
        <f>IFERROR(VLOOKUP(Esselte[[#This Row],[Código]],Venda_mes[],2,FALSE),0)</f>
        <v>0</v>
      </c>
      <c r="T174" s="44" t="str">
        <f>IFERROR(Esselte[[#This Row],[V. No mes]]/Esselte[[#This Row],[Proj. de V. No mes]],"")</f>
        <v/>
      </c>
      <c r="U174" s="43">
        <f>VLOOKUP(Esselte[[#This Row],[Código]],Projeção[#All],14,FALSE)+VLOOKUP(Esselte[[#This Row],[Código]],Projeção[#All],13,FALSE)+VLOOKUP(Esselte[[#This Row],[Código]],Projeção[#All],12,FALSE)</f>
        <v>0</v>
      </c>
      <c r="V174" s="39">
        <f>IFERROR(VLOOKUP(Esselte[[#This Row],[Código]],Venda_3meses[],2,FALSE),0)</f>
        <v>0</v>
      </c>
      <c r="W174" s="44" t="str">
        <f>IFERROR(Esselte[[#This Row],[V. 3 meses]]/Esselte[[#This Row],[Proj. de V. 3 meses]],"")</f>
        <v/>
      </c>
      <c r="X17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4" s="39">
        <f>IFERROR(VLOOKUP(Esselte[[#This Row],[Código]],Venda_12meses[],2,FALSE),0)</f>
        <v>0</v>
      </c>
      <c r="Z174" s="44" t="str">
        <f>IFERROR(Esselte[[#This Row],[V. 12 meses]]/Esselte[[#This Row],[Proj. de V. 12 meses]],"")</f>
        <v/>
      </c>
      <c r="AA174" s="22"/>
    </row>
    <row r="175" spans="1:27" x14ac:dyDescent="0.25">
      <c r="A175" s="22" t="str">
        <f>VLOOKUP(Esselte[[#This Row],[Código]],BD_Produto[#All],7,FALSE)</f>
        <v>Não entrou em linha</v>
      </c>
      <c r="B17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5" s="23">
        <v>33062563653</v>
      </c>
      <c r="D175" s="22" t="s">
        <v>1610</v>
      </c>
      <c r="E175" s="22">
        <f>VLOOKUP(Esselte[[#This Row],[Código]],BD_Produto[],3,FALSE)</f>
        <v>0</v>
      </c>
      <c r="F175" s="22">
        <f>VLOOKUP(Esselte[[#This Row],[Código]],BD_Produto[],4,FALSE)</f>
        <v>0</v>
      </c>
      <c r="G175" s="24">
        <v>1</v>
      </c>
      <c r="H175" s="25"/>
      <c r="I175" s="22"/>
      <c r="J175" s="24"/>
      <c r="K175" s="24" t="str">
        <f>IFERROR(VLOOKUP(Esselte[[#This Row],[Código]],Importação!P:R,3,FALSE),"")</f>
        <v/>
      </c>
      <c r="L175" s="24">
        <f>IFERROR(VLOOKUP(Esselte[[#This Row],[Código]],Saldo[],3,FALSE),0)</f>
        <v>0</v>
      </c>
      <c r="M175" s="24">
        <f>SUM(Esselte[[#This Row],[Produção]:[Estoque]])</f>
        <v>0</v>
      </c>
      <c r="N175" s="24" t="str">
        <f>IFERROR(Esselte[[#This Row],[Estoque+Importação]]/Esselte[[#This Row],[Proj. de V. No prox. mes]],"Sem Projeção")</f>
        <v>Sem Projeção</v>
      </c>
      <c r="O175" s="24" t="str">
        <f>IF(OR(Esselte[[#This Row],[Status]]="Em Linha",Esselte[[#This Row],[Status]]="Componente",Esselte[[#This Row],[Status]]="Materia Prima"),Esselte[[#This Row],[Proj. de V. No prox. mes]]*10,"-")</f>
        <v>-</v>
      </c>
      <c r="P17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5" s="34">
        <f>VLOOKUP(Esselte[[#This Row],[Código]],Projeção[#All],15,FALSE)</f>
        <v>0</v>
      </c>
      <c r="R175" s="43">
        <f>VLOOKUP(Esselte[[#This Row],[Código]],Projeção[#All],14,FALSE)</f>
        <v>0</v>
      </c>
      <c r="S175" s="39">
        <f>IFERROR(VLOOKUP(Esselte[[#This Row],[Código]],Venda_mes[],2,FALSE),0)</f>
        <v>0</v>
      </c>
      <c r="T175" s="44" t="str">
        <f>IFERROR(Esselte[[#This Row],[V. No mes]]/Esselte[[#This Row],[Proj. de V. No mes]],"")</f>
        <v/>
      </c>
      <c r="U175" s="43">
        <f>VLOOKUP(Esselte[[#This Row],[Código]],Projeção[#All],14,FALSE)+VLOOKUP(Esselte[[#This Row],[Código]],Projeção[#All],13,FALSE)+VLOOKUP(Esselte[[#This Row],[Código]],Projeção[#All],12,FALSE)</f>
        <v>0</v>
      </c>
      <c r="V175" s="39">
        <f>IFERROR(VLOOKUP(Esselte[[#This Row],[Código]],Venda_3meses[],2,FALSE),0)</f>
        <v>0</v>
      </c>
      <c r="W175" s="44" t="str">
        <f>IFERROR(Esselte[[#This Row],[V. 3 meses]]/Esselte[[#This Row],[Proj. de V. 3 meses]],"")</f>
        <v/>
      </c>
      <c r="X17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5" s="39">
        <f>IFERROR(VLOOKUP(Esselte[[#This Row],[Código]],Venda_12meses[],2,FALSE),0)</f>
        <v>0</v>
      </c>
      <c r="Z175" s="44" t="str">
        <f>IFERROR(Esselte[[#This Row],[V. 12 meses]]/Esselte[[#This Row],[Proj. de V. 12 meses]],"")</f>
        <v/>
      </c>
      <c r="AA175" s="22"/>
    </row>
    <row r="176" spans="1:27" x14ac:dyDescent="0.25">
      <c r="A176" s="22" t="str">
        <f>VLOOKUP(Esselte[[#This Row],[Código]],BD_Produto[#All],7,FALSE)</f>
        <v>Não entrou em linha</v>
      </c>
      <c r="B17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6" s="23">
        <v>33062563654</v>
      </c>
      <c r="D176" s="22" t="s">
        <v>1611</v>
      </c>
      <c r="E176" s="22">
        <f>VLOOKUP(Esselte[[#This Row],[Código]],BD_Produto[],3,FALSE)</f>
        <v>0</v>
      </c>
      <c r="F176" s="22">
        <f>VLOOKUP(Esselte[[#This Row],[Código]],BD_Produto[],4,FALSE)</f>
        <v>0</v>
      </c>
      <c r="G176" s="24">
        <v>1</v>
      </c>
      <c r="H176" s="25"/>
      <c r="I176" s="22"/>
      <c r="J176" s="24"/>
      <c r="K176" s="24" t="str">
        <f>IFERROR(VLOOKUP(Esselte[[#This Row],[Código]],Importação!P:R,3,FALSE),"")</f>
        <v/>
      </c>
      <c r="L176" s="24">
        <f>IFERROR(VLOOKUP(Esselte[[#This Row],[Código]],Saldo[],3,FALSE),0)</f>
        <v>0</v>
      </c>
      <c r="M176" s="24">
        <f>SUM(Esselte[[#This Row],[Produção]:[Estoque]])</f>
        <v>0</v>
      </c>
      <c r="N176" s="24" t="str">
        <f>IFERROR(Esselte[[#This Row],[Estoque+Importação]]/Esselte[[#This Row],[Proj. de V. No prox. mes]],"Sem Projeção")</f>
        <v>Sem Projeção</v>
      </c>
      <c r="O176" s="24" t="str">
        <f>IF(OR(Esselte[[#This Row],[Status]]="Em Linha",Esselte[[#This Row],[Status]]="Componente",Esselte[[#This Row],[Status]]="Materia Prima"),Esselte[[#This Row],[Proj. de V. No prox. mes]]*10,"-")</f>
        <v>-</v>
      </c>
      <c r="P17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6" s="34">
        <f>VLOOKUP(Esselte[[#This Row],[Código]],Projeção[#All],15,FALSE)</f>
        <v>0</v>
      </c>
      <c r="R176" s="43">
        <f>VLOOKUP(Esselte[[#This Row],[Código]],Projeção[#All],14,FALSE)</f>
        <v>0</v>
      </c>
      <c r="S176" s="39">
        <f>IFERROR(VLOOKUP(Esselte[[#This Row],[Código]],Venda_mes[],2,FALSE),0)</f>
        <v>0</v>
      </c>
      <c r="T176" s="44" t="str">
        <f>IFERROR(Esselte[[#This Row],[V. No mes]]/Esselte[[#This Row],[Proj. de V. No mes]],"")</f>
        <v/>
      </c>
      <c r="U176" s="43">
        <f>VLOOKUP(Esselte[[#This Row],[Código]],Projeção[#All],14,FALSE)+VLOOKUP(Esselte[[#This Row],[Código]],Projeção[#All],13,FALSE)+VLOOKUP(Esselte[[#This Row],[Código]],Projeção[#All],12,FALSE)</f>
        <v>0</v>
      </c>
      <c r="V176" s="39">
        <f>IFERROR(VLOOKUP(Esselte[[#This Row],[Código]],Venda_3meses[],2,FALSE),0)</f>
        <v>0</v>
      </c>
      <c r="W176" s="44" t="str">
        <f>IFERROR(Esselte[[#This Row],[V. 3 meses]]/Esselte[[#This Row],[Proj. de V. 3 meses]],"")</f>
        <v/>
      </c>
      <c r="X17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6" s="39">
        <f>IFERROR(VLOOKUP(Esselte[[#This Row],[Código]],Venda_12meses[],2,FALSE),0)</f>
        <v>0</v>
      </c>
      <c r="Z176" s="44" t="str">
        <f>IFERROR(Esselte[[#This Row],[V. 12 meses]]/Esselte[[#This Row],[Proj. de V. 12 meses]],"")</f>
        <v/>
      </c>
      <c r="AA176" s="22"/>
    </row>
    <row r="177" spans="1:27" x14ac:dyDescent="0.25">
      <c r="A177" s="22" t="str">
        <f>VLOOKUP(Esselte[[#This Row],[Código]],BD_Produto[#All],7,FALSE)</f>
        <v>Não entrou em linha</v>
      </c>
      <c r="B17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7" s="23">
        <v>33062563655</v>
      </c>
      <c r="D177" s="22" t="s">
        <v>1612</v>
      </c>
      <c r="E177" s="22">
        <f>VLOOKUP(Esselte[[#This Row],[Código]],BD_Produto[],3,FALSE)</f>
        <v>0</v>
      </c>
      <c r="F177" s="22">
        <f>VLOOKUP(Esselte[[#This Row],[Código]],BD_Produto[],4,FALSE)</f>
        <v>0</v>
      </c>
      <c r="G177" s="24">
        <v>1</v>
      </c>
      <c r="H177" s="25"/>
      <c r="I177" s="22"/>
      <c r="J177" s="24"/>
      <c r="K177" s="24" t="str">
        <f>IFERROR(VLOOKUP(Esselte[[#This Row],[Código]],Importação!P:R,3,FALSE),"")</f>
        <v/>
      </c>
      <c r="L177" s="24">
        <f>IFERROR(VLOOKUP(Esselte[[#This Row],[Código]],Saldo[],3,FALSE),0)</f>
        <v>0</v>
      </c>
      <c r="M177" s="24">
        <f>SUM(Esselte[[#This Row],[Produção]:[Estoque]])</f>
        <v>0</v>
      </c>
      <c r="N177" s="24" t="str">
        <f>IFERROR(Esselte[[#This Row],[Estoque+Importação]]/Esselte[[#This Row],[Proj. de V. No prox. mes]],"Sem Projeção")</f>
        <v>Sem Projeção</v>
      </c>
      <c r="O177" s="24" t="str">
        <f>IF(OR(Esselte[[#This Row],[Status]]="Em Linha",Esselte[[#This Row],[Status]]="Componente",Esselte[[#This Row],[Status]]="Materia Prima"),Esselte[[#This Row],[Proj. de V. No prox. mes]]*10,"-")</f>
        <v>-</v>
      </c>
      <c r="P17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7" s="34">
        <f>VLOOKUP(Esselte[[#This Row],[Código]],Projeção[#All],15,FALSE)</f>
        <v>0</v>
      </c>
      <c r="R177" s="43">
        <f>VLOOKUP(Esselte[[#This Row],[Código]],Projeção[#All],14,FALSE)</f>
        <v>0</v>
      </c>
      <c r="S177" s="39">
        <f>IFERROR(VLOOKUP(Esselte[[#This Row],[Código]],Venda_mes[],2,FALSE),0)</f>
        <v>0</v>
      </c>
      <c r="T177" s="44" t="str">
        <f>IFERROR(Esselte[[#This Row],[V. No mes]]/Esselte[[#This Row],[Proj. de V. No mes]],"")</f>
        <v/>
      </c>
      <c r="U177" s="43">
        <f>VLOOKUP(Esselte[[#This Row],[Código]],Projeção[#All],14,FALSE)+VLOOKUP(Esselte[[#This Row],[Código]],Projeção[#All],13,FALSE)+VLOOKUP(Esselte[[#This Row],[Código]],Projeção[#All],12,FALSE)</f>
        <v>0</v>
      </c>
      <c r="V177" s="39">
        <f>IFERROR(VLOOKUP(Esselte[[#This Row],[Código]],Venda_3meses[],2,FALSE),0)</f>
        <v>0</v>
      </c>
      <c r="W177" s="44" t="str">
        <f>IFERROR(Esselte[[#This Row],[V. 3 meses]]/Esselte[[#This Row],[Proj. de V. 3 meses]],"")</f>
        <v/>
      </c>
      <c r="X17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7" s="39">
        <f>IFERROR(VLOOKUP(Esselte[[#This Row],[Código]],Venda_12meses[],2,FALSE),0)</f>
        <v>0</v>
      </c>
      <c r="Z177" s="44" t="str">
        <f>IFERROR(Esselte[[#This Row],[V. 12 meses]]/Esselte[[#This Row],[Proj. de V. 12 meses]],"")</f>
        <v/>
      </c>
      <c r="AA177" s="22"/>
    </row>
    <row r="178" spans="1:27" x14ac:dyDescent="0.25">
      <c r="A178" s="22" t="str">
        <f>VLOOKUP(Esselte[[#This Row],[Código]],BD_Produto[#All],7,FALSE)</f>
        <v>Não entrou em linha</v>
      </c>
      <c r="B17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8" s="23">
        <v>33062563656</v>
      </c>
      <c r="D178" s="22" t="s">
        <v>1613</v>
      </c>
      <c r="E178" s="22">
        <f>VLOOKUP(Esselte[[#This Row],[Código]],BD_Produto[],3,FALSE)</f>
        <v>0</v>
      </c>
      <c r="F178" s="22">
        <f>VLOOKUP(Esselte[[#This Row],[Código]],BD_Produto[],4,FALSE)</f>
        <v>0</v>
      </c>
      <c r="G178" s="24">
        <v>1</v>
      </c>
      <c r="H178" s="25"/>
      <c r="I178" s="22"/>
      <c r="J178" s="24"/>
      <c r="K178" s="24" t="str">
        <f>IFERROR(VLOOKUP(Esselte[[#This Row],[Código]],Importação!P:R,3,FALSE),"")</f>
        <v/>
      </c>
      <c r="L178" s="24">
        <f>IFERROR(VLOOKUP(Esselte[[#This Row],[Código]],Saldo[],3,FALSE),0)</f>
        <v>0</v>
      </c>
      <c r="M178" s="24">
        <f>SUM(Esselte[[#This Row],[Produção]:[Estoque]])</f>
        <v>0</v>
      </c>
      <c r="N178" s="24" t="str">
        <f>IFERROR(Esselte[[#This Row],[Estoque+Importação]]/Esselte[[#This Row],[Proj. de V. No prox. mes]],"Sem Projeção")</f>
        <v>Sem Projeção</v>
      </c>
      <c r="O178" s="24" t="str">
        <f>IF(OR(Esselte[[#This Row],[Status]]="Em Linha",Esselte[[#This Row],[Status]]="Componente",Esselte[[#This Row],[Status]]="Materia Prima"),Esselte[[#This Row],[Proj. de V. No prox. mes]]*10,"-")</f>
        <v>-</v>
      </c>
      <c r="P17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8" s="34">
        <f>VLOOKUP(Esselte[[#This Row],[Código]],Projeção[#All],15,FALSE)</f>
        <v>0</v>
      </c>
      <c r="R178" s="43">
        <f>VLOOKUP(Esselte[[#This Row],[Código]],Projeção[#All],14,FALSE)</f>
        <v>0</v>
      </c>
      <c r="S178" s="39">
        <f>IFERROR(VLOOKUP(Esselte[[#This Row],[Código]],Venda_mes[],2,FALSE),0)</f>
        <v>0</v>
      </c>
      <c r="T178" s="44" t="str">
        <f>IFERROR(Esselte[[#This Row],[V. No mes]]/Esselte[[#This Row],[Proj. de V. No mes]],"")</f>
        <v/>
      </c>
      <c r="U178" s="43">
        <f>VLOOKUP(Esselte[[#This Row],[Código]],Projeção[#All],14,FALSE)+VLOOKUP(Esselte[[#This Row],[Código]],Projeção[#All],13,FALSE)+VLOOKUP(Esselte[[#This Row],[Código]],Projeção[#All],12,FALSE)</f>
        <v>0</v>
      </c>
      <c r="V178" s="39">
        <f>IFERROR(VLOOKUP(Esselte[[#This Row],[Código]],Venda_3meses[],2,FALSE),0)</f>
        <v>0</v>
      </c>
      <c r="W178" s="44" t="str">
        <f>IFERROR(Esselte[[#This Row],[V. 3 meses]]/Esselte[[#This Row],[Proj. de V. 3 meses]],"")</f>
        <v/>
      </c>
      <c r="X17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8" s="39">
        <f>IFERROR(VLOOKUP(Esselte[[#This Row],[Código]],Venda_12meses[],2,FALSE),0)</f>
        <v>0</v>
      </c>
      <c r="Z178" s="44" t="str">
        <f>IFERROR(Esselte[[#This Row],[V. 12 meses]]/Esselte[[#This Row],[Proj. de V. 12 meses]],"")</f>
        <v/>
      </c>
      <c r="AA178" s="22"/>
    </row>
    <row r="179" spans="1:27" x14ac:dyDescent="0.25">
      <c r="A179" s="22" t="str">
        <f>VLOOKUP(Esselte[[#This Row],[Código]],BD_Produto[#All],7,FALSE)</f>
        <v>Não entrou em linha</v>
      </c>
      <c r="B17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79" s="23">
        <v>33063063657</v>
      </c>
      <c r="D179" s="22" t="s">
        <v>1614</v>
      </c>
      <c r="E179" s="22">
        <f>VLOOKUP(Esselte[[#This Row],[Código]],BD_Produto[],3,FALSE)</f>
        <v>0</v>
      </c>
      <c r="F179" s="22">
        <f>VLOOKUP(Esselte[[#This Row],[Código]],BD_Produto[],4,FALSE)</f>
        <v>0</v>
      </c>
      <c r="G179" s="24">
        <v>1</v>
      </c>
      <c r="H179" s="25"/>
      <c r="I179" s="22"/>
      <c r="J179" s="24"/>
      <c r="K179" s="24" t="str">
        <f>IFERROR(VLOOKUP(Esselte[[#This Row],[Código]],Importação!P:R,3,FALSE),"")</f>
        <v/>
      </c>
      <c r="L179" s="24">
        <f>IFERROR(VLOOKUP(Esselte[[#This Row],[Código]],Saldo[],3,FALSE),0)</f>
        <v>0</v>
      </c>
      <c r="M179" s="24">
        <f>SUM(Esselte[[#This Row],[Produção]:[Estoque]])</f>
        <v>0</v>
      </c>
      <c r="N179" s="24" t="str">
        <f>IFERROR(Esselte[[#This Row],[Estoque+Importação]]/Esselte[[#This Row],[Proj. de V. No prox. mes]],"Sem Projeção")</f>
        <v>Sem Projeção</v>
      </c>
      <c r="O179" s="24" t="str">
        <f>IF(OR(Esselte[[#This Row],[Status]]="Em Linha",Esselte[[#This Row],[Status]]="Componente",Esselte[[#This Row],[Status]]="Materia Prima"),Esselte[[#This Row],[Proj. de V. No prox. mes]]*10,"-")</f>
        <v>-</v>
      </c>
      <c r="P17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79" s="34">
        <f>VLOOKUP(Esselte[[#This Row],[Código]],Projeção[#All],15,FALSE)</f>
        <v>0</v>
      </c>
      <c r="R179" s="43">
        <f>VLOOKUP(Esselte[[#This Row],[Código]],Projeção[#All],14,FALSE)</f>
        <v>0</v>
      </c>
      <c r="S179" s="39">
        <f>IFERROR(VLOOKUP(Esselte[[#This Row],[Código]],Venda_mes[],2,FALSE),0)</f>
        <v>0</v>
      </c>
      <c r="T179" s="44" t="str">
        <f>IFERROR(Esselte[[#This Row],[V. No mes]]/Esselte[[#This Row],[Proj. de V. No mes]],"")</f>
        <v/>
      </c>
      <c r="U179" s="43">
        <f>VLOOKUP(Esselte[[#This Row],[Código]],Projeção[#All],14,FALSE)+VLOOKUP(Esselte[[#This Row],[Código]],Projeção[#All],13,FALSE)+VLOOKUP(Esselte[[#This Row],[Código]],Projeção[#All],12,FALSE)</f>
        <v>0</v>
      </c>
      <c r="V179" s="39">
        <f>IFERROR(VLOOKUP(Esselte[[#This Row],[Código]],Venda_3meses[],2,FALSE),0)</f>
        <v>0</v>
      </c>
      <c r="W179" s="44" t="str">
        <f>IFERROR(Esselte[[#This Row],[V. 3 meses]]/Esselte[[#This Row],[Proj. de V. 3 meses]],"")</f>
        <v/>
      </c>
      <c r="X17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79" s="39">
        <f>IFERROR(VLOOKUP(Esselte[[#This Row],[Código]],Venda_12meses[],2,FALSE),0)</f>
        <v>0</v>
      </c>
      <c r="Z179" s="44" t="str">
        <f>IFERROR(Esselte[[#This Row],[V. 12 meses]]/Esselte[[#This Row],[Proj. de V. 12 meses]],"")</f>
        <v/>
      </c>
      <c r="AA179" s="22"/>
    </row>
    <row r="180" spans="1:27" x14ac:dyDescent="0.25">
      <c r="A180" s="22" t="str">
        <f>VLOOKUP(Esselte[[#This Row],[Código]],BD_Produto[#All],7,FALSE)</f>
        <v>Não entrou em linha</v>
      </c>
      <c r="B18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0" s="23">
        <v>33063063658</v>
      </c>
      <c r="D180" s="22" t="s">
        <v>1615</v>
      </c>
      <c r="E180" s="22">
        <f>VLOOKUP(Esselte[[#This Row],[Código]],BD_Produto[],3,FALSE)</f>
        <v>0</v>
      </c>
      <c r="F180" s="22">
        <f>VLOOKUP(Esselte[[#This Row],[Código]],BD_Produto[],4,FALSE)</f>
        <v>0</v>
      </c>
      <c r="G180" s="24">
        <v>1</v>
      </c>
      <c r="H180" s="25"/>
      <c r="I180" s="22"/>
      <c r="J180" s="24"/>
      <c r="K180" s="24" t="str">
        <f>IFERROR(VLOOKUP(Esselte[[#This Row],[Código]],Importação!P:R,3,FALSE),"")</f>
        <v/>
      </c>
      <c r="L180" s="24">
        <f>IFERROR(VLOOKUP(Esselte[[#This Row],[Código]],Saldo[],3,FALSE),0)</f>
        <v>0</v>
      </c>
      <c r="M180" s="24">
        <f>SUM(Esselte[[#This Row],[Produção]:[Estoque]])</f>
        <v>0</v>
      </c>
      <c r="N180" s="24" t="str">
        <f>IFERROR(Esselte[[#This Row],[Estoque+Importação]]/Esselte[[#This Row],[Proj. de V. No prox. mes]],"Sem Projeção")</f>
        <v>Sem Projeção</v>
      </c>
      <c r="O180" s="24" t="str">
        <f>IF(OR(Esselte[[#This Row],[Status]]="Em Linha",Esselte[[#This Row],[Status]]="Componente",Esselte[[#This Row],[Status]]="Materia Prima"),Esselte[[#This Row],[Proj. de V. No prox. mes]]*10,"-")</f>
        <v>-</v>
      </c>
      <c r="P18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0" s="34">
        <f>VLOOKUP(Esselte[[#This Row],[Código]],Projeção[#All],15,FALSE)</f>
        <v>0</v>
      </c>
      <c r="R180" s="43">
        <f>VLOOKUP(Esselte[[#This Row],[Código]],Projeção[#All],14,FALSE)</f>
        <v>0</v>
      </c>
      <c r="S180" s="39">
        <f>IFERROR(VLOOKUP(Esselte[[#This Row],[Código]],Venda_mes[],2,FALSE),0)</f>
        <v>0</v>
      </c>
      <c r="T180" s="44" t="str">
        <f>IFERROR(Esselte[[#This Row],[V. No mes]]/Esselte[[#This Row],[Proj. de V. No mes]],"")</f>
        <v/>
      </c>
      <c r="U180" s="43">
        <f>VLOOKUP(Esselte[[#This Row],[Código]],Projeção[#All],14,FALSE)+VLOOKUP(Esselte[[#This Row],[Código]],Projeção[#All],13,FALSE)+VLOOKUP(Esselte[[#This Row],[Código]],Projeção[#All],12,FALSE)</f>
        <v>0</v>
      </c>
      <c r="V180" s="39">
        <f>IFERROR(VLOOKUP(Esselte[[#This Row],[Código]],Venda_3meses[],2,FALSE),0)</f>
        <v>0</v>
      </c>
      <c r="W180" s="44" t="str">
        <f>IFERROR(Esselte[[#This Row],[V. 3 meses]]/Esselte[[#This Row],[Proj. de V. 3 meses]],"")</f>
        <v/>
      </c>
      <c r="X18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0" s="39">
        <f>IFERROR(VLOOKUP(Esselte[[#This Row],[Código]],Venda_12meses[],2,FALSE),0)</f>
        <v>0</v>
      </c>
      <c r="Z180" s="44" t="str">
        <f>IFERROR(Esselte[[#This Row],[V. 12 meses]]/Esselte[[#This Row],[Proj. de V. 12 meses]],"")</f>
        <v/>
      </c>
      <c r="AA180" s="22"/>
    </row>
    <row r="181" spans="1:27" x14ac:dyDescent="0.25">
      <c r="A181" s="22" t="str">
        <f>VLOOKUP(Esselte[[#This Row],[Código]],BD_Produto[#All],7,FALSE)</f>
        <v>Não entrou em linha</v>
      </c>
      <c r="B18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1" s="23">
        <v>33063063659</v>
      </c>
      <c r="D181" s="22" t="s">
        <v>1616</v>
      </c>
      <c r="E181" s="22">
        <f>VLOOKUP(Esselte[[#This Row],[Código]],BD_Produto[],3,FALSE)</f>
        <v>0</v>
      </c>
      <c r="F181" s="22">
        <f>VLOOKUP(Esselte[[#This Row],[Código]],BD_Produto[],4,FALSE)</f>
        <v>0</v>
      </c>
      <c r="G181" s="24">
        <v>1</v>
      </c>
      <c r="H181" s="25"/>
      <c r="I181" s="22"/>
      <c r="J181" s="24"/>
      <c r="K181" s="24" t="str">
        <f>IFERROR(VLOOKUP(Esselte[[#This Row],[Código]],Importação!P:R,3,FALSE),"")</f>
        <v/>
      </c>
      <c r="L181" s="24">
        <f>IFERROR(VLOOKUP(Esselte[[#This Row],[Código]],Saldo[],3,FALSE),0)</f>
        <v>0</v>
      </c>
      <c r="M181" s="24">
        <f>SUM(Esselte[[#This Row],[Produção]:[Estoque]])</f>
        <v>0</v>
      </c>
      <c r="N181" s="24" t="str">
        <f>IFERROR(Esselte[[#This Row],[Estoque+Importação]]/Esselte[[#This Row],[Proj. de V. No prox. mes]],"Sem Projeção")</f>
        <v>Sem Projeção</v>
      </c>
      <c r="O181" s="24" t="str">
        <f>IF(OR(Esselte[[#This Row],[Status]]="Em Linha",Esselte[[#This Row],[Status]]="Componente",Esselte[[#This Row],[Status]]="Materia Prima"),Esselte[[#This Row],[Proj. de V. No prox. mes]]*10,"-")</f>
        <v>-</v>
      </c>
      <c r="P18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1" s="34">
        <f>VLOOKUP(Esselte[[#This Row],[Código]],Projeção[#All],15,FALSE)</f>
        <v>0</v>
      </c>
      <c r="R181" s="43">
        <f>VLOOKUP(Esselte[[#This Row],[Código]],Projeção[#All],14,FALSE)</f>
        <v>0</v>
      </c>
      <c r="S181" s="39">
        <f>IFERROR(VLOOKUP(Esselte[[#This Row],[Código]],Venda_mes[],2,FALSE),0)</f>
        <v>0</v>
      </c>
      <c r="T181" s="44" t="str">
        <f>IFERROR(Esselte[[#This Row],[V. No mes]]/Esselte[[#This Row],[Proj. de V. No mes]],"")</f>
        <v/>
      </c>
      <c r="U181" s="43">
        <f>VLOOKUP(Esselte[[#This Row],[Código]],Projeção[#All],14,FALSE)+VLOOKUP(Esselte[[#This Row],[Código]],Projeção[#All],13,FALSE)+VLOOKUP(Esselte[[#This Row],[Código]],Projeção[#All],12,FALSE)</f>
        <v>0</v>
      </c>
      <c r="V181" s="39">
        <f>IFERROR(VLOOKUP(Esselte[[#This Row],[Código]],Venda_3meses[],2,FALSE),0)</f>
        <v>0</v>
      </c>
      <c r="W181" s="44" t="str">
        <f>IFERROR(Esselte[[#This Row],[V. 3 meses]]/Esselte[[#This Row],[Proj. de V. 3 meses]],"")</f>
        <v/>
      </c>
      <c r="X18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1" s="39">
        <f>IFERROR(VLOOKUP(Esselte[[#This Row],[Código]],Venda_12meses[],2,FALSE),0)</f>
        <v>0</v>
      </c>
      <c r="Z181" s="44" t="str">
        <f>IFERROR(Esselte[[#This Row],[V. 12 meses]]/Esselte[[#This Row],[Proj. de V. 12 meses]],"")</f>
        <v/>
      </c>
      <c r="AA181" s="22"/>
    </row>
    <row r="182" spans="1:27" x14ac:dyDescent="0.25">
      <c r="A182" s="22" t="str">
        <f>VLOOKUP(Esselte[[#This Row],[Código]],BD_Produto[#All],7,FALSE)</f>
        <v>Não entrou em linha</v>
      </c>
      <c r="B18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2" s="23">
        <v>33063063660</v>
      </c>
      <c r="D182" s="22" t="s">
        <v>1617</v>
      </c>
      <c r="E182" s="22">
        <f>VLOOKUP(Esselte[[#This Row],[Código]],BD_Produto[],3,FALSE)</f>
        <v>0</v>
      </c>
      <c r="F182" s="22">
        <f>VLOOKUP(Esselte[[#This Row],[Código]],BD_Produto[],4,FALSE)</f>
        <v>0</v>
      </c>
      <c r="G182" s="24">
        <v>1</v>
      </c>
      <c r="H182" s="25"/>
      <c r="I182" s="22"/>
      <c r="J182" s="24"/>
      <c r="K182" s="24" t="str">
        <f>IFERROR(VLOOKUP(Esselte[[#This Row],[Código]],Importação!P:R,3,FALSE),"")</f>
        <v/>
      </c>
      <c r="L182" s="24">
        <f>IFERROR(VLOOKUP(Esselte[[#This Row],[Código]],Saldo[],3,FALSE),0)</f>
        <v>0</v>
      </c>
      <c r="M182" s="24">
        <f>SUM(Esselte[[#This Row],[Produção]:[Estoque]])</f>
        <v>0</v>
      </c>
      <c r="N182" s="24" t="str">
        <f>IFERROR(Esselte[[#This Row],[Estoque+Importação]]/Esselte[[#This Row],[Proj. de V. No prox. mes]],"Sem Projeção")</f>
        <v>Sem Projeção</v>
      </c>
      <c r="O182" s="24" t="str">
        <f>IF(OR(Esselte[[#This Row],[Status]]="Em Linha",Esselte[[#This Row],[Status]]="Componente",Esselte[[#This Row],[Status]]="Materia Prima"),Esselte[[#This Row],[Proj. de V. No prox. mes]]*10,"-")</f>
        <v>-</v>
      </c>
      <c r="P18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2" s="34">
        <f>VLOOKUP(Esselte[[#This Row],[Código]],Projeção[#All],15,FALSE)</f>
        <v>0</v>
      </c>
      <c r="R182" s="43">
        <f>VLOOKUP(Esselte[[#This Row],[Código]],Projeção[#All],14,FALSE)</f>
        <v>0</v>
      </c>
      <c r="S182" s="39">
        <f>IFERROR(VLOOKUP(Esselte[[#This Row],[Código]],Venda_mes[],2,FALSE),0)</f>
        <v>0</v>
      </c>
      <c r="T182" s="44" t="str">
        <f>IFERROR(Esselte[[#This Row],[V. No mes]]/Esselte[[#This Row],[Proj. de V. No mes]],"")</f>
        <v/>
      </c>
      <c r="U182" s="43">
        <f>VLOOKUP(Esselte[[#This Row],[Código]],Projeção[#All],14,FALSE)+VLOOKUP(Esselte[[#This Row],[Código]],Projeção[#All],13,FALSE)+VLOOKUP(Esselte[[#This Row],[Código]],Projeção[#All],12,FALSE)</f>
        <v>0</v>
      </c>
      <c r="V182" s="39">
        <f>IFERROR(VLOOKUP(Esselte[[#This Row],[Código]],Venda_3meses[],2,FALSE),0)</f>
        <v>0</v>
      </c>
      <c r="W182" s="44" t="str">
        <f>IFERROR(Esselte[[#This Row],[V. 3 meses]]/Esselte[[#This Row],[Proj. de V. 3 meses]],"")</f>
        <v/>
      </c>
      <c r="X18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2" s="39">
        <f>IFERROR(VLOOKUP(Esselte[[#This Row],[Código]],Venda_12meses[],2,FALSE),0)</f>
        <v>0</v>
      </c>
      <c r="Z182" s="44" t="str">
        <f>IFERROR(Esselte[[#This Row],[V. 12 meses]]/Esselte[[#This Row],[Proj. de V. 12 meses]],"")</f>
        <v/>
      </c>
      <c r="AA182" s="22"/>
    </row>
    <row r="183" spans="1:27" x14ac:dyDescent="0.25">
      <c r="A183" s="22" t="str">
        <f>VLOOKUP(Esselte[[#This Row],[Código]],BD_Produto[#All],7,FALSE)</f>
        <v>Não entrou em linha</v>
      </c>
      <c r="B18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3" s="23">
        <v>33063063661</v>
      </c>
      <c r="D183" s="22" t="s">
        <v>1618</v>
      </c>
      <c r="E183" s="22">
        <f>VLOOKUP(Esselte[[#This Row],[Código]],BD_Produto[],3,FALSE)</f>
        <v>0</v>
      </c>
      <c r="F183" s="22">
        <f>VLOOKUP(Esselte[[#This Row],[Código]],BD_Produto[],4,FALSE)</f>
        <v>0</v>
      </c>
      <c r="G183" s="24">
        <v>1</v>
      </c>
      <c r="H183" s="25"/>
      <c r="I183" s="22"/>
      <c r="J183" s="24"/>
      <c r="K183" s="24" t="str">
        <f>IFERROR(VLOOKUP(Esselte[[#This Row],[Código]],Importação!P:R,3,FALSE),"")</f>
        <v/>
      </c>
      <c r="L183" s="24">
        <f>IFERROR(VLOOKUP(Esselte[[#This Row],[Código]],Saldo[],3,FALSE),0)</f>
        <v>0</v>
      </c>
      <c r="M183" s="24">
        <f>SUM(Esselte[[#This Row],[Produção]:[Estoque]])</f>
        <v>0</v>
      </c>
      <c r="N183" s="24" t="str">
        <f>IFERROR(Esselte[[#This Row],[Estoque+Importação]]/Esselte[[#This Row],[Proj. de V. No prox. mes]],"Sem Projeção")</f>
        <v>Sem Projeção</v>
      </c>
      <c r="O183" s="24" t="str">
        <f>IF(OR(Esselte[[#This Row],[Status]]="Em Linha",Esselte[[#This Row],[Status]]="Componente",Esselte[[#This Row],[Status]]="Materia Prima"),Esselte[[#This Row],[Proj. de V. No prox. mes]]*10,"-")</f>
        <v>-</v>
      </c>
      <c r="P18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3" s="34">
        <f>VLOOKUP(Esselte[[#This Row],[Código]],Projeção[#All],15,FALSE)</f>
        <v>0</v>
      </c>
      <c r="R183" s="43">
        <f>VLOOKUP(Esselte[[#This Row],[Código]],Projeção[#All],14,FALSE)</f>
        <v>0</v>
      </c>
      <c r="S183" s="39">
        <f>IFERROR(VLOOKUP(Esselte[[#This Row],[Código]],Venda_mes[],2,FALSE),0)</f>
        <v>0</v>
      </c>
      <c r="T183" s="44" t="str">
        <f>IFERROR(Esselte[[#This Row],[V. No mes]]/Esselte[[#This Row],[Proj. de V. No mes]],"")</f>
        <v/>
      </c>
      <c r="U183" s="43">
        <f>VLOOKUP(Esselte[[#This Row],[Código]],Projeção[#All],14,FALSE)+VLOOKUP(Esselte[[#This Row],[Código]],Projeção[#All],13,FALSE)+VLOOKUP(Esselte[[#This Row],[Código]],Projeção[#All],12,FALSE)</f>
        <v>0</v>
      </c>
      <c r="V183" s="39">
        <f>IFERROR(VLOOKUP(Esselte[[#This Row],[Código]],Venda_3meses[],2,FALSE),0)</f>
        <v>0</v>
      </c>
      <c r="W183" s="44" t="str">
        <f>IFERROR(Esselte[[#This Row],[V. 3 meses]]/Esselte[[#This Row],[Proj. de V. 3 meses]],"")</f>
        <v/>
      </c>
      <c r="X18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3" s="39">
        <f>IFERROR(VLOOKUP(Esselte[[#This Row],[Código]],Venda_12meses[],2,FALSE),0)</f>
        <v>0</v>
      </c>
      <c r="Z183" s="44" t="str">
        <f>IFERROR(Esselte[[#This Row],[V. 12 meses]]/Esselte[[#This Row],[Proj. de V. 12 meses]],"")</f>
        <v/>
      </c>
      <c r="AA183" s="22"/>
    </row>
    <row r="184" spans="1:27" x14ac:dyDescent="0.25">
      <c r="A184" s="22" t="str">
        <f>VLOOKUP(Esselte[[#This Row],[Código]],BD_Produto[#All],7,FALSE)</f>
        <v>Não entrou em linha</v>
      </c>
      <c r="B18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4" s="23">
        <v>33063063662</v>
      </c>
      <c r="D184" s="22" t="s">
        <v>1619</v>
      </c>
      <c r="E184" s="22">
        <f>VLOOKUP(Esselte[[#This Row],[Código]],BD_Produto[],3,FALSE)</f>
        <v>0</v>
      </c>
      <c r="F184" s="22">
        <f>VLOOKUP(Esselte[[#This Row],[Código]],BD_Produto[],4,FALSE)</f>
        <v>0</v>
      </c>
      <c r="G184" s="24">
        <v>1</v>
      </c>
      <c r="H184" s="25"/>
      <c r="I184" s="22"/>
      <c r="J184" s="24"/>
      <c r="K184" s="24" t="str">
        <f>IFERROR(VLOOKUP(Esselte[[#This Row],[Código]],Importação!P:R,3,FALSE),"")</f>
        <v/>
      </c>
      <c r="L184" s="24">
        <f>IFERROR(VLOOKUP(Esselte[[#This Row],[Código]],Saldo[],3,FALSE),0)</f>
        <v>0</v>
      </c>
      <c r="M184" s="24">
        <f>SUM(Esselte[[#This Row],[Produção]:[Estoque]])</f>
        <v>0</v>
      </c>
      <c r="N184" s="24" t="str">
        <f>IFERROR(Esselte[[#This Row],[Estoque+Importação]]/Esselte[[#This Row],[Proj. de V. No prox. mes]],"Sem Projeção")</f>
        <v>Sem Projeção</v>
      </c>
      <c r="O184" s="24" t="str">
        <f>IF(OR(Esselte[[#This Row],[Status]]="Em Linha",Esselte[[#This Row],[Status]]="Componente",Esselte[[#This Row],[Status]]="Materia Prima"),Esselte[[#This Row],[Proj. de V. No prox. mes]]*10,"-")</f>
        <v>-</v>
      </c>
      <c r="P18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4" s="34">
        <f>VLOOKUP(Esselte[[#This Row],[Código]],Projeção[#All],15,FALSE)</f>
        <v>0</v>
      </c>
      <c r="R184" s="43">
        <f>VLOOKUP(Esselte[[#This Row],[Código]],Projeção[#All],14,FALSE)</f>
        <v>0</v>
      </c>
      <c r="S184" s="39">
        <f>IFERROR(VLOOKUP(Esselte[[#This Row],[Código]],Venda_mes[],2,FALSE),0)</f>
        <v>0</v>
      </c>
      <c r="T184" s="44" t="str">
        <f>IFERROR(Esselte[[#This Row],[V. No mes]]/Esselte[[#This Row],[Proj. de V. No mes]],"")</f>
        <v/>
      </c>
      <c r="U184" s="43">
        <f>VLOOKUP(Esselte[[#This Row],[Código]],Projeção[#All],14,FALSE)+VLOOKUP(Esselte[[#This Row],[Código]],Projeção[#All],13,FALSE)+VLOOKUP(Esselte[[#This Row],[Código]],Projeção[#All],12,FALSE)</f>
        <v>0</v>
      </c>
      <c r="V184" s="39">
        <f>IFERROR(VLOOKUP(Esselte[[#This Row],[Código]],Venda_3meses[],2,FALSE),0)</f>
        <v>0</v>
      </c>
      <c r="W184" s="44" t="str">
        <f>IFERROR(Esselte[[#This Row],[V. 3 meses]]/Esselte[[#This Row],[Proj. de V. 3 meses]],"")</f>
        <v/>
      </c>
      <c r="X18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4" s="39">
        <f>IFERROR(VLOOKUP(Esselte[[#This Row],[Código]],Venda_12meses[],2,FALSE),0)</f>
        <v>0</v>
      </c>
      <c r="Z184" s="44" t="str">
        <f>IFERROR(Esselte[[#This Row],[V. 12 meses]]/Esselte[[#This Row],[Proj. de V. 12 meses]],"")</f>
        <v/>
      </c>
      <c r="AA184" s="22"/>
    </row>
    <row r="185" spans="1:27" x14ac:dyDescent="0.25">
      <c r="A185" s="22" t="str">
        <f>VLOOKUP(Esselte[[#This Row],[Código]],BD_Produto[#All],7,FALSE)</f>
        <v>Não entrou em linha</v>
      </c>
      <c r="B18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5" s="23">
        <v>33063063663</v>
      </c>
      <c r="D185" s="22" t="s">
        <v>1620</v>
      </c>
      <c r="E185" s="22">
        <f>VLOOKUP(Esselte[[#This Row],[Código]],BD_Produto[],3,FALSE)</f>
        <v>0</v>
      </c>
      <c r="F185" s="22">
        <f>VLOOKUP(Esselte[[#This Row],[Código]],BD_Produto[],4,FALSE)</f>
        <v>0</v>
      </c>
      <c r="G185" s="24">
        <v>1</v>
      </c>
      <c r="H185" s="25"/>
      <c r="I185" s="22"/>
      <c r="J185" s="24"/>
      <c r="K185" s="24" t="str">
        <f>IFERROR(VLOOKUP(Esselte[[#This Row],[Código]],Importação!P:R,3,FALSE),"")</f>
        <v/>
      </c>
      <c r="L185" s="24">
        <f>IFERROR(VLOOKUP(Esselte[[#This Row],[Código]],Saldo[],3,FALSE),0)</f>
        <v>0</v>
      </c>
      <c r="M185" s="24">
        <f>SUM(Esselte[[#This Row],[Produção]:[Estoque]])</f>
        <v>0</v>
      </c>
      <c r="N185" s="24" t="str">
        <f>IFERROR(Esselte[[#This Row],[Estoque+Importação]]/Esselte[[#This Row],[Proj. de V. No prox. mes]],"Sem Projeção")</f>
        <v>Sem Projeção</v>
      </c>
      <c r="O185" s="24" t="str">
        <f>IF(OR(Esselte[[#This Row],[Status]]="Em Linha",Esselte[[#This Row],[Status]]="Componente",Esselte[[#This Row],[Status]]="Materia Prima"),Esselte[[#This Row],[Proj. de V. No prox. mes]]*10,"-")</f>
        <v>-</v>
      </c>
      <c r="P18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5" s="34">
        <f>VLOOKUP(Esselte[[#This Row],[Código]],Projeção[#All],15,FALSE)</f>
        <v>0</v>
      </c>
      <c r="R185" s="43">
        <f>VLOOKUP(Esselte[[#This Row],[Código]],Projeção[#All],14,FALSE)</f>
        <v>0</v>
      </c>
      <c r="S185" s="39">
        <f>IFERROR(VLOOKUP(Esselte[[#This Row],[Código]],Venda_mes[],2,FALSE),0)</f>
        <v>0</v>
      </c>
      <c r="T185" s="44" t="str">
        <f>IFERROR(Esselte[[#This Row],[V. No mes]]/Esselte[[#This Row],[Proj. de V. No mes]],"")</f>
        <v/>
      </c>
      <c r="U185" s="43">
        <f>VLOOKUP(Esselte[[#This Row],[Código]],Projeção[#All],14,FALSE)+VLOOKUP(Esselte[[#This Row],[Código]],Projeção[#All],13,FALSE)+VLOOKUP(Esselte[[#This Row],[Código]],Projeção[#All],12,FALSE)</f>
        <v>0</v>
      </c>
      <c r="V185" s="39">
        <f>IFERROR(VLOOKUP(Esselte[[#This Row],[Código]],Venda_3meses[],2,FALSE),0)</f>
        <v>0</v>
      </c>
      <c r="W185" s="44" t="str">
        <f>IFERROR(Esselte[[#This Row],[V. 3 meses]]/Esselte[[#This Row],[Proj. de V. 3 meses]],"")</f>
        <v/>
      </c>
      <c r="X18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5" s="39">
        <f>IFERROR(VLOOKUP(Esselte[[#This Row],[Código]],Venda_12meses[],2,FALSE),0)</f>
        <v>0</v>
      </c>
      <c r="Z185" s="44" t="str">
        <f>IFERROR(Esselte[[#This Row],[V. 12 meses]]/Esselte[[#This Row],[Proj. de V. 12 meses]],"")</f>
        <v/>
      </c>
      <c r="AA185" s="22"/>
    </row>
    <row r="186" spans="1:27" x14ac:dyDescent="0.25">
      <c r="A186" s="22" t="str">
        <f>VLOOKUP(Esselte[[#This Row],[Código]],BD_Produto[#All],7,FALSE)</f>
        <v>Não entrou em linha</v>
      </c>
      <c r="B18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6" s="23">
        <v>33063063664</v>
      </c>
      <c r="D186" s="22" t="s">
        <v>1621</v>
      </c>
      <c r="E186" s="22">
        <f>VLOOKUP(Esselte[[#This Row],[Código]],BD_Produto[],3,FALSE)</f>
        <v>0</v>
      </c>
      <c r="F186" s="22">
        <f>VLOOKUP(Esselte[[#This Row],[Código]],BD_Produto[],4,FALSE)</f>
        <v>0</v>
      </c>
      <c r="G186" s="24">
        <v>1</v>
      </c>
      <c r="H186" s="25"/>
      <c r="I186" s="22"/>
      <c r="J186" s="24"/>
      <c r="K186" s="24" t="str">
        <f>IFERROR(VLOOKUP(Esselte[[#This Row],[Código]],Importação!P:R,3,FALSE),"")</f>
        <v/>
      </c>
      <c r="L186" s="24">
        <f>IFERROR(VLOOKUP(Esselte[[#This Row],[Código]],Saldo[],3,FALSE),0)</f>
        <v>0</v>
      </c>
      <c r="M186" s="24">
        <f>SUM(Esselte[[#This Row],[Produção]:[Estoque]])</f>
        <v>0</v>
      </c>
      <c r="N186" s="24" t="str">
        <f>IFERROR(Esselte[[#This Row],[Estoque+Importação]]/Esselte[[#This Row],[Proj. de V. No prox. mes]],"Sem Projeção")</f>
        <v>Sem Projeção</v>
      </c>
      <c r="O186" s="24" t="str">
        <f>IF(OR(Esselte[[#This Row],[Status]]="Em Linha",Esselte[[#This Row],[Status]]="Componente",Esselte[[#This Row],[Status]]="Materia Prima"),Esselte[[#This Row],[Proj. de V. No prox. mes]]*10,"-")</f>
        <v>-</v>
      </c>
      <c r="P18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6" s="34">
        <f>VLOOKUP(Esselte[[#This Row],[Código]],Projeção[#All],15,FALSE)</f>
        <v>0</v>
      </c>
      <c r="R186" s="43">
        <f>VLOOKUP(Esselte[[#This Row],[Código]],Projeção[#All],14,FALSE)</f>
        <v>0</v>
      </c>
      <c r="S186" s="39">
        <f>IFERROR(VLOOKUP(Esselte[[#This Row],[Código]],Venda_mes[],2,FALSE),0)</f>
        <v>0</v>
      </c>
      <c r="T186" s="44" t="str">
        <f>IFERROR(Esselte[[#This Row],[V. No mes]]/Esselte[[#This Row],[Proj. de V. No mes]],"")</f>
        <v/>
      </c>
      <c r="U186" s="43">
        <f>VLOOKUP(Esselte[[#This Row],[Código]],Projeção[#All],14,FALSE)+VLOOKUP(Esselte[[#This Row],[Código]],Projeção[#All],13,FALSE)+VLOOKUP(Esselte[[#This Row],[Código]],Projeção[#All],12,FALSE)</f>
        <v>0</v>
      </c>
      <c r="V186" s="39">
        <f>IFERROR(VLOOKUP(Esselte[[#This Row],[Código]],Venda_3meses[],2,FALSE),0)</f>
        <v>0</v>
      </c>
      <c r="W186" s="44" t="str">
        <f>IFERROR(Esselte[[#This Row],[V. 3 meses]]/Esselte[[#This Row],[Proj. de V. 3 meses]],"")</f>
        <v/>
      </c>
      <c r="X18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6" s="39">
        <f>IFERROR(VLOOKUP(Esselte[[#This Row],[Código]],Venda_12meses[],2,FALSE),0)</f>
        <v>0</v>
      </c>
      <c r="Z186" s="44" t="str">
        <f>IFERROR(Esselte[[#This Row],[V. 12 meses]]/Esselte[[#This Row],[Proj. de V. 12 meses]],"")</f>
        <v/>
      </c>
      <c r="AA186" s="22"/>
    </row>
    <row r="187" spans="1:27" x14ac:dyDescent="0.25">
      <c r="A187" s="22" t="str">
        <f>VLOOKUP(Esselte[[#This Row],[Código]],BD_Produto[#All],7,FALSE)</f>
        <v>Não entrou em linha</v>
      </c>
      <c r="B18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7" s="23">
        <v>33063063665</v>
      </c>
      <c r="D187" s="22" t="s">
        <v>1622</v>
      </c>
      <c r="E187" s="22">
        <f>VLOOKUP(Esselte[[#This Row],[Código]],BD_Produto[],3,FALSE)</f>
        <v>0</v>
      </c>
      <c r="F187" s="22">
        <f>VLOOKUP(Esselte[[#This Row],[Código]],BD_Produto[],4,FALSE)</f>
        <v>0</v>
      </c>
      <c r="G187" s="24">
        <v>1</v>
      </c>
      <c r="H187" s="25"/>
      <c r="I187" s="22"/>
      <c r="J187" s="24"/>
      <c r="K187" s="24" t="str">
        <f>IFERROR(VLOOKUP(Esselte[[#This Row],[Código]],Importação!P:R,3,FALSE),"")</f>
        <v/>
      </c>
      <c r="L187" s="24">
        <f>IFERROR(VLOOKUP(Esselte[[#This Row],[Código]],Saldo[],3,FALSE),0)</f>
        <v>0</v>
      </c>
      <c r="M187" s="24">
        <f>SUM(Esselte[[#This Row],[Produção]:[Estoque]])</f>
        <v>0</v>
      </c>
      <c r="N187" s="24" t="str">
        <f>IFERROR(Esselte[[#This Row],[Estoque+Importação]]/Esselte[[#This Row],[Proj. de V. No prox. mes]],"Sem Projeção")</f>
        <v>Sem Projeção</v>
      </c>
      <c r="O187" s="24" t="str">
        <f>IF(OR(Esselte[[#This Row],[Status]]="Em Linha",Esselte[[#This Row],[Status]]="Componente",Esselte[[#This Row],[Status]]="Materia Prima"),Esselte[[#This Row],[Proj. de V. No prox. mes]]*10,"-")</f>
        <v>-</v>
      </c>
      <c r="P18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7" s="34">
        <f>VLOOKUP(Esselte[[#This Row],[Código]],Projeção[#All],15,FALSE)</f>
        <v>0</v>
      </c>
      <c r="R187" s="43">
        <f>VLOOKUP(Esselte[[#This Row],[Código]],Projeção[#All],14,FALSE)</f>
        <v>0</v>
      </c>
      <c r="S187" s="39">
        <f>IFERROR(VLOOKUP(Esselte[[#This Row],[Código]],Venda_mes[],2,FALSE),0)</f>
        <v>0</v>
      </c>
      <c r="T187" s="44" t="str">
        <f>IFERROR(Esselte[[#This Row],[V. No mes]]/Esselte[[#This Row],[Proj. de V. No mes]],"")</f>
        <v/>
      </c>
      <c r="U187" s="43">
        <f>VLOOKUP(Esselte[[#This Row],[Código]],Projeção[#All],14,FALSE)+VLOOKUP(Esselte[[#This Row],[Código]],Projeção[#All],13,FALSE)+VLOOKUP(Esselte[[#This Row],[Código]],Projeção[#All],12,FALSE)</f>
        <v>0</v>
      </c>
      <c r="V187" s="39">
        <f>IFERROR(VLOOKUP(Esselte[[#This Row],[Código]],Venda_3meses[],2,FALSE),0)</f>
        <v>0</v>
      </c>
      <c r="W187" s="44" t="str">
        <f>IFERROR(Esselte[[#This Row],[V. 3 meses]]/Esselte[[#This Row],[Proj. de V. 3 meses]],"")</f>
        <v/>
      </c>
      <c r="X18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7" s="39">
        <f>IFERROR(VLOOKUP(Esselte[[#This Row],[Código]],Venda_12meses[],2,FALSE),0)</f>
        <v>0</v>
      </c>
      <c r="Z187" s="44" t="str">
        <f>IFERROR(Esselte[[#This Row],[V. 12 meses]]/Esselte[[#This Row],[Proj. de V. 12 meses]],"")</f>
        <v/>
      </c>
      <c r="AA187" s="22"/>
    </row>
    <row r="188" spans="1:27" x14ac:dyDescent="0.25">
      <c r="A188" s="22" t="str">
        <f>VLOOKUP(Esselte[[#This Row],[Código]],BD_Produto[#All],7,FALSE)</f>
        <v>Não entrou em linha</v>
      </c>
      <c r="B18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8" s="23">
        <v>33063063666</v>
      </c>
      <c r="D188" s="22" t="s">
        <v>1623</v>
      </c>
      <c r="E188" s="22">
        <f>VLOOKUP(Esselte[[#This Row],[Código]],BD_Produto[],3,FALSE)</f>
        <v>0</v>
      </c>
      <c r="F188" s="22">
        <f>VLOOKUP(Esselte[[#This Row],[Código]],BD_Produto[],4,FALSE)</f>
        <v>0</v>
      </c>
      <c r="G188" s="24">
        <v>1</v>
      </c>
      <c r="H188" s="25"/>
      <c r="I188" s="22"/>
      <c r="J188" s="24"/>
      <c r="K188" s="24" t="str">
        <f>IFERROR(VLOOKUP(Esselte[[#This Row],[Código]],Importação!P:R,3,FALSE),"")</f>
        <v/>
      </c>
      <c r="L188" s="24">
        <f>IFERROR(VLOOKUP(Esselte[[#This Row],[Código]],Saldo[],3,FALSE),0)</f>
        <v>0</v>
      </c>
      <c r="M188" s="24">
        <f>SUM(Esselte[[#This Row],[Produção]:[Estoque]])</f>
        <v>0</v>
      </c>
      <c r="N188" s="24" t="str">
        <f>IFERROR(Esselte[[#This Row],[Estoque+Importação]]/Esselte[[#This Row],[Proj. de V. No prox. mes]],"Sem Projeção")</f>
        <v>Sem Projeção</v>
      </c>
      <c r="O188" s="24" t="str">
        <f>IF(OR(Esselte[[#This Row],[Status]]="Em Linha",Esselte[[#This Row],[Status]]="Componente",Esselte[[#This Row],[Status]]="Materia Prima"),Esselte[[#This Row],[Proj. de V. No prox. mes]]*10,"-")</f>
        <v>-</v>
      </c>
      <c r="P18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8" s="34">
        <f>VLOOKUP(Esselte[[#This Row],[Código]],Projeção[#All],15,FALSE)</f>
        <v>0</v>
      </c>
      <c r="R188" s="43">
        <f>VLOOKUP(Esselte[[#This Row],[Código]],Projeção[#All],14,FALSE)</f>
        <v>0</v>
      </c>
      <c r="S188" s="39">
        <f>IFERROR(VLOOKUP(Esselte[[#This Row],[Código]],Venda_mes[],2,FALSE),0)</f>
        <v>0</v>
      </c>
      <c r="T188" s="44" t="str">
        <f>IFERROR(Esselte[[#This Row],[V. No mes]]/Esselte[[#This Row],[Proj. de V. No mes]],"")</f>
        <v/>
      </c>
      <c r="U188" s="43">
        <f>VLOOKUP(Esselte[[#This Row],[Código]],Projeção[#All],14,FALSE)+VLOOKUP(Esselte[[#This Row],[Código]],Projeção[#All],13,FALSE)+VLOOKUP(Esselte[[#This Row],[Código]],Projeção[#All],12,FALSE)</f>
        <v>0</v>
      </c>
      <c r="V188" s="39">
        <f>IFERROR(VLOOKUP(Esselte[[#This Row],[Código]],Venda_3meses[],2,FALSE),0)</f>
        <v>0</v>
      </c>
      <c r="W188" s="44" t="str">
        <f>IFERROR(Esselte[[#This Row],[V. 3 meses]]/Esselte[[#This Row],[Proj. de V. 3 meses]],"")</f>
        <v/>
      </c>
      <c r="X18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8" s="39">
        <f>IFERROR(VLOOKUP(Esselte[[#This Row],[Código]],Venda_12meses[],2,FALSE),0)</f>
        <v>0</v>
      </c>
      <c r="Z188" s="44" t="str">
        <f>IFERROR(Esselte[[#This Row],[V. 12 meses]]/Esselte[[#This Row],[Proj. de V. 12 meses]],"")</f>
        <v/>
      </c>
      <c r="AA188" s="22"/>
    </row>
    <row r="189" spans="1:27" x14ac:dyDescent="0.25">
      <c r="A189" s="22" t="str">
        <f>VLOOKUP(Esselte[[#This Row],[Código]],BD_Produto[#All],7,FALSE)</f>
        <v>Não entrou em linha</v>
      </c>
      <c r="B18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89" s="23">
        <v>33063063667</v>
      </c>
      <c r="D189" s="22" t="s">
        <v>1624</v>
      </c>
      <c r="E189" s="22">
        <f>VLOOKUP(Esselte[[#This Row],[Código]],BD_Produto[],3,FALSE)</f>
        <v>0</v>
      </c>
      <c r="F189" s="22">
        <f>VLOOKUP(Esselte[[#This Row],[Código]],BD_Produto[],4,FALSE)</f>
        <v>0</v>
      </c>
      <c r="G189" s="24">
        <v>1</v>
      </c>
      <c r="H189" s="25"/>
      <c r="I189" s="22"/>
      <c r="J189" s="24"/>
      <c r="K189" s="24" t="str">
        <f>IFERROR(VLOOKUP(Esselte[[#This Row],[Código]],Importação!P:R,3,FALSE),"")</f>
        <v/>
      </c>
      <c r="L189" s="24">
        <f>IFERROR(VLOOKUP(Esselte[[#This Row],[Código]],Saldo[],3,FALSE),0)</f>
        <v>0</v>
      </c>
      <c r="M189" s="24">
        <f>SUM(Esselte[[#This Row],[Produção]:[Estoque]])</f>
        <v>0</v>
      </c>
      <c r="N189" s="24" t="str">
        <f>IFERROR(Esselte[[#This Row],[Estoque+Importação]]/Esselte[[#This Row],[Proj. de V. No prox. mes]],"Sem Projeção")</f>
        <v>Sem Projeção</v>
      </c>
      <c r="O189" s="24" t="str">
        <f>IF(OR(Esselte[[#This Row],[Status]]="Em Linha",Esselte[[#This Row],[Status]]="Componente",Esselte[[#This Row],[Status]]="Materia Prima"),Esselte[[#This Row],[Proj. de V. No prox. mes]]*10,"-")</f>
        <v>-</v>
      </c>
      <c r="P18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89" s="34">
        <f>VLOOKUP(Esselte[[#This Row],[Código]],Projeção[#All],15,FALSE)</f>
        <v>0</v>
      </c>
      <c r="R189" s="43">
        <f>VLOOKUP(Esselte[[#This Row],[Código]],Projeção[#All],14,FALSE)</f>
        <v>0</v>
      </c>
      <c r="S189" s="39">
        <f>IFERROR(VLOOKUP(Esselte[[#This Row],[Código]],Venda_mes[],2,FALSE),0)</f>
        <v>0</v>
      </c>
      <c r="T189" s="44" t="str">
        <f>IFERROR(Esselte[[#This Row],[V. No mes]]/Esselte[[#This Row],[Proj. de V. No mes]],"")</f>
        <v/>
      </c>
      <c r="U189" s="43">
        <f>VLOOKUP(Esselte[[#This Row],[Código]],Projeção[#All],14,FALSE)+VLOOKUP(Esselte[[#This Row],[Código]],Projeção[#All],13,FALSE)+VLOOKUP(Esselte[[#This Row],[Código]],Projeção[#All],12,FALSE)</f>
        <v>0</v>
      </c>
      <c r="V189" s="39">
        <f>IFERROR(VLOOKUP(Esselte[[#This Row],[Código]],Venda_3meses[],2,FALSE),0)</f>
        <v>0</v>
      </c>
      <c r="W189" s="44" t="str">
        <f>IFERROR(Esselte[[#This Row],[V. 3 meses]]/Esselte[[#This Row],[Proj. de V. 3 meses]],"")</f>
        <v/>
      </c>
      <c r="X18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89" s="39">
        <f>IFERROR(VLOOKUP(Esselte[[#This Row],[Código]],Venda_12meses[],2,FALSE),0)</f>
        <v>0</v>
      </c>
      <c r="Z189" s="44" t="str">
        <f>IFERROR(Esselte[[#This Row],[V. 12 meses]]/Esselte[[#This Row],[Proj. de V. 12 meses]],"")</f>
        <v/>
      </c>
      <c r="AA189" s="22"/>
    </row>
    <row r="190" spans="1:27" x14ac:dyDescent="0.25">
      <c r="A190" s="22" t="str">
        <f>VLOOKUP(Esselte[[#This Row],[Código]],BD_Produto[#All],7,FALSE)</f>
        <v>Não entrou em linha</v>
      </c>
      <c r="B19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0" s="23">
        <v>33063063668</v>
      </c>
      <c r="D190" s="22" t="s">
        <v>1625</v>
      </c>
      <c r="E190" s="22">
        <f>VLOOKUP(Esselte[[#This Row],[Código]],BD_Produto[],3,FALSE)</f>
        <v>0</v>
      </c>
      <c r="F190" s="22">
        <f>VLOOKUP(Esselte[[#This Row],[Código]],BD_Produto[],4,FALSE)</f>
        <v>0</v>
      </c>
      <c r="G190" s="24">
        <v>1</v>
      </c>
      <c r="H190" s="25"/>
      <c r="I190" s="22"/>
      <c r="J190" s="24"/>
      <c r="K190" s="24" t="str">
        <f>IFERROR(VLOOKUP(Esselte[[#This Row],[Código]],Importação!P:R,3,FALSE),"")</f>
        <v/>
      </c>
      <c r="L190" s="24">
        <f>IFERROR(VLOOKUP(Esselte[[#This Row],[Código]],Saldo[],3,FALSE),0)</f>
        <v>0</v>
      </c>
      <c r="M190" s="24">
        <f>SUM(Esselte[[#This Row],[Produção]:[Estoque]])</f>
        <v>0</v>
      </c>
      <c r="N190" s="24" t="str">
        <f>IFERROR(Esselte[[#This Row],[Estoque+Importação]]/Esselte[[#This Row],[Proj. de V. No prox. mes]],"Sem Projeção")</f>
        <v>Sem Projeção</v>
      </c>
      <c r="O190" s="24" t="str">
        <f>IF(OR(Esselte[[#This Row],[Status]]="Em Linha",Esselte[[#This Row],[Status]]="Componente",Esselte[[#This Row],[Status]]="Materia Prima"),Esselte[[#This Row],[Proj. de V. No prox. mes]]*10,"-")</f>
        <v>-</v>
      </c>
      <c r="P19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0" s="34">
        <f>VLOOKUP(Esselte[[#This Row],[Código]],Projeção[#All],15,FALSE)</f>
        <v>0</v>
      </c>
      <c r="R190" s="43">
        <f>VLOOKUP(Esselte[[#This Row],[Código]],Projeção[#All],14,FALSE)</f>
        <v>0</v>
      </c>
      <c r="S190" s="39">
        <f>IFERROR(VLOOKUP(Esselte[[#This Row],[Código]],Venda_mes[],2,FALSE),0)</f>
        <v>0</v>
      </c>
      <c r="T190" s="44" t="str">
        <f>IFERROR(Esselte[[#This Row],[V. No mes]]/Esselte[[#This Row],[Proj. de V. No mes]],"")</f>
        <v/>
      </c>
      <c r="U190" s="43">
        <f>VLOOKUP(Esselte[[#This Row],[Código]],Projeção[#All],14,FALSE)+VLOOKUP(Esselte[[#This Row],[Código]],Projeção[#All],13,FALSE)+VLOOKUP(Esselte[[#This Row],[Código]],Projeção[#All],12,FALSE)</f>
        <v>0</v>
      </c>
      <c r="V190" s="39">
        <f>IFERROR(VLOOKUP(Esselte[[#This Row],[Código]],Venda_3meses[],2,FALSE),0)</f>
        <v>0</v>
      </c>
      <c r="W190" s="44" t="str">
        <f>IFERROR(Esselte[[#This Row],[V. 3 meses]]/Esselte[[#This Row],[Proj. de V. 3 meses]],"")</f>
        <v/>
      </c>
      <c r="X19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0" s="39">
        <f>IFERROR(VLOOKUP(Esselte[[#This Row],[Código]],Venda_12meses[],2,FALSE),0)</f>
        <v>0</v>
      </c>
      <c r="Z190" s="44" t="str">
        <f>IFERROR(Esselte[[#This Row],[V. 12 meses]]/Esselte[[#This Row],[Proj. de V. 12 meses]],"")</f>
        <v/>
      </c>
      <c r="AA190" s="22"/>
    </row>
    <row r="191" spans="1:27" x14ac:dyDescent="0.25">
      <c r="A191" s="22" t="str">
        <f>VLOOKUP(Esselte[[#This Row],[Código]],BD_Produto[#All],7,FALSE)</f>
        <v>Não entrou em linha</v>
      </c>
      <c r="B19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1" s="23">
        <v>33063063669</v>
      </c>
      <c r="D191" s="22" t="s">
        <v>1626</v>
      </c>
      <c r="E191" s="22">
        <f>VLOOKUP(Esselte[[#This Row],[Código]],BD_Produto[],3,FALSE)</f>
        <v>0</v>
      </c>
      <c r="F191" s="22">
        <f>VLOOKUP(Esselte[[#This Row],[Código]],BD_Produto[],4,FALSE)</f>
        <v>0</v>
      </c>
      <c r="G191" s="24">
        <v>1</v>
      </c>
      <c r="H191" s="25"/>
      <c r="I191" s="22"/>
      <c r="J191" s="24"/>
      <c r="K191" s="24" t="str">
        <f>IFERROR(VLOOKUP(Esselte[[#This Row],[Código]],Importação!P:R,3,FALSE),"")</f>
        <v/>
      </c>
      <c r="L191" s="24">
        <f>IFERROR(VLOOKUP(Esselte[[#This Row],[Código]],Saldo[],3,FALSE),0)</f>
        <v>0</v>
      </c>
      <c r="M191" s="24">
        <f>SUM(Esselte[[#This Row],[Produção]:[Estoque]])</f>
        <v>0</v>
      </c>
      <c r="N191" s="24" t="str">
        <f>IFERROR(Esselte[[#This Row],[Estoque+Importação]]/Esselte[[#This Row],[Proj. de V. No prox. mes]],"Sem Projeção")</f>
        <v>Sem Projeção</v>
      </c>
      <c r="O191" s="24" t="str">
        <f>IF(OR(Esselte[[#This Row],[Status]]="Em Linha",Esselte[[#This Row],[Status]]="Componente",Esselte[[#This Row],[Status]]="Materia Prima"),Esselte[[#This Row],[Proj. de V. No prox. mes]]*10,"-")</f>
        <v>-</v>
      </c>
      <c r="P19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1" s="34">
        <f>VLOOKUP(Esselte[[#This Row],[Código]],Projeção[#All],15,FALSE)</f>
        <v>0</v>
      </c>
      <c r="R191" s="43">
        <f>VLOOKUP(Esselte[[#This Row],[Código]],Projeção[#All],14,FALSE)</f>
        <v>0</v>
      </c>
      <c r="S191" s="39">
        <f>IFERROR(VLOOKUP(Esselte[[#This Row],[Código]],Venda_mes[],2,FALSE),0)</f>
        <v>0</v>
      </c>
      <c r="T191" s="44" t="str">
        <f>IFERROR(Esselte[[#This Row],[V. No mes]]/Esselte[[#This Row],[Proj. de V. No mes]],"")</f>
        <v/>
      </c>
      <c r="U191" s="43">
        <f>VLOOKUP(Esselte[[#This Row],[Código]],Projeção[#All],14,FALSE)+VLOOKUP(Esselte[[#This Row],[Código]],Projeção[#All],13,FALSE)+VLOOKUP(Esselte[[#This Row],[Código]],Projeção[#All],12,FALSE)</f>
        <v>0</v>
      </c>
      <c r="V191" s="39">
        <f>IFERROR(VLOOKUP(Esselte[[#This Row],[Código]],Venda_3meses[],2,FALSE),0)</f>
        <v>0</v>
      </c>
      <c r="W191" s="44" t="str">
        <f>IFERROR(Esselte[[#This Row],[V. 3 meses]]/Esselte[[#This Row],[Proj. de V. 3 meses]],"")</f>
        <v/>
      </c>
      <c r="X19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1" s="39">
        <f>IFERROR(VLOOKUP(Esselte[[#This Row],[Código]],Venda_12meses[],2,FALSE),0)</f>
        <v>0</v>
      </c>
      <c r="Z191" s="44" t="str">
        <f>IFERROR(Esselte[[#This Row],[V. 12 meses]]/Esselte[[#This Row],[Proj. de V. 12 meses]],"")</f>
        <v/>
      </c>
      <c r="AA191" s="22"/>
    </row>
    <row r="192" spans="1:27" x14ac:dyDescent="0.25">
      <c r="A192" s="22" t="str">
        <f>VLOOKUP(Esselte[[#This Row],[Código]],BD_Produto[#All],7,FALSE)</f>
        <v>Não entrou em linha</v>
      </c>
      <c r="B19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2" s="23">
        <v>33063063670</v>
      </c>
      <c r="D192" s="22" t="s">
        <v>1627</v>
      </c>
      <c r="E192" s="22" t="str">
        <f>VLOOKUP(Esselte[[#This Row],[Código]],BD_Produto[],3,FALSE)</f>
        <v>Pasta Organizadora (A/Z)</v>
      </c>
      <c r="F192" s="22" t="str">
        <f>VLOOKUP(Esselte[[#This Row],[Código]],BD_Produto[],4,FALSE)</f>
        <v>Pasta Organizadora (A/Z)</v>
      </c>
      <c r="G192" s="24">
        <v>1</v>
      </c>
      <c r="H192" s="25"/>
      <c r="I192" s="22"/>
      <c r="J192" s="24"/>
      <c r="K192" s="24" t="str">
        <f>IFERROR(VLOOKUP(Esselte[[#This Row],[Código]],Importação!P:R,3,FALSE),"")</f>
        <v/>
      </c>
      <c r="L192" s="24">
        <f>IFERROR(VLOOKUP(Esselte[[#This Row],[Código]],Saldo[],3,FALSE),0)</f>
        <v>0</v>
      </c>
      <c r="M192" s="24">
        <f>SUM(Esselte[[#This Row],[Produção]:[Estoque]])</f>
        <v>0</v>
      </c>
      <c r="N192" s="24" t="str">
        <f>IFERROR(Esselte[[#This Row],[Estoque+Importação]]/Esselte[[#This Row],[Proj. de V. No prox. mes]],"Sem Projeção")</f>
        <v>Sem Projeção</v>
      </c>
      <c r="O192" s="24" t="str">
        <f>IF(OR(Esselte[[#This Row],[Status]]="Em Linha",Esselte[[#This Row],[Status]]="Componente",Esselte[[#This Row],[Status]]="Materia Prima"),Esselte[[#This Row],[Proj. de V. No prox. mes]]*10,"-")</f>
        <v>-</v>
      </c>
      <c r="P19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2" s="34">
        <f>VLOOKUP(Esselte[[#This Row],[Código]],Projeção[#All],15,FALSE)</f>
        <v>0</v>
      </c>
      <c r="R192" s="43">
        <f>VLOOKUP(Esselte[[#This Row],[Código]],Projeção[#All],14,FALSE)</f>
        <v>0</v>
      </c>
      <c r="S192" s="39">
        <f>IFERROR(VLOOKUP(Esselte[[#This Row],[Código]],Venda_mes[],2,FALSE),0)</f>
        <v>0</v>
      </c>
      <c r="T192" s="44" t="str">
        <f>IFERROR(Esselte[[#This Row],[V. No mes]]/Esselte[[#This Row],[Proj. de V. No mes]],"")</f>
        <v/>
      </c>
      <c r="U192" s="43">
        <f>VLOOKUP(Esselte[[#This Row],[Código]],Projeção[#All],14,FALSE)+VLOOKUP(Esselte[[#This Row],[Código]],Projeção[#All],13,FALSE)+VLOOKUP(Esselte[[#This Row],[Código]],Projeção[#All],12,FALSE)</f>
        <v>0</v>
      </c>
      <c r="V192" s="39">
        <f>IFERROR(VLOOKUP(Esselte[[#This Row],[Código]],Venda_3meses[],2,FALSE),0)</f>
        <v>0</v>
      </c>
      <c r="W192" s="44" t="str">
        <f>IFERROR(Esselte[[#This Row],[V. 3 meses]]/Esselte[[#This Row],[Proj. de V. 3 meses]],"")</f>
        <v/>
      </c>
      <c r="X19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2" s="39">
        <f>IFERROR(VLOOKUP(Esselte[[#This Row],[Código]],Venda_12meses[],2,FALSE),0)</f>
        <v>0</v>
      </c>
      <c r="Z192" s="44" t="str">
        <f>IFERROR(Esselte[[#This Row],[V. 12 meses]]/Esselte[[#This Row],[Proj. de V. 12 meses]],"")</f>
        <v/>
      </c>
      <c r="AA192" s="22"/>
    </row>
    <row r="193" spans="1:27" x14ac:dyDescent="0.25">
      <c r="A193" s="22" t="str">
        <f>VLOOKUP(Esselte[[#This Row],[Código]],BD_Produto[#All],7,FALSE)</f>
        <v>Não entrou em linha</v>
      </c>
      <c r="B19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3" s="23">
        <v>33063063671</v>
      </c>
      <c r="D193" s="22" t="s">
        <v>1628</v>
      </c>
      <c r="E193" s="22" t="str">
        <f>VLOOKUP(Esselte[[#This Row],[Código]],BD_Produto[],3,FALSE)</f>
        <v>Pasta Organizadora (A/Z)</v>
      </c>
      <c r="F193" s="22" t="str">
        <f>VLOOKUP(Esselte[[#This Row],[Código]],BD_Produto[],4,FALSE)</f>
        <v>Pasta Organizadora (A/Z)</v>
      </c>
      <c r="G193" s="24">
        <v>1</v>
      </c>
      <c r="H193" s="25"/>
      <c r="I193" s="22"/>
      <c r="J193" s="24"/>
      <c r="K193" s="24" t="str">
        <f>IFERROR(VLOOKUP(Esselte[[#This Row],[Código]],Importação!P:R,3,FALSE),"")</f>
        <v/>
      </c>
      <c r="L193" s="24">
        <f>IFERROR(VLOOKUP(Esselte[[#This Row],[Código]],Saldo[],3,FALSE),0)</f>
        <v>0</v>
      </c>
      <c r="M193" s="24">
        <f>SUM(Esselte[[#This Row],[Produção]:[Estoque]])</f>
        <v>0</v>
      </c>
      <c r="N193" s="24" t="str">
        <f>IFERROR(Esselte[[#This Row],[Estoque+Importação]]/Esselte[[#This Row],[Proj. de V. No prox. mes]],"Sem Projeção")</f>
        <v>Sem Projeção</v>
      </c>
      <c r="O193" s="24" t="str">
        <f>IF(OR(Esselte[[#This Row],[Status]]="Em Linha",Esselte[[#This Row],[Status]]="Componente",Esselte[[#This Row],[Status]]="Materia Prima"),Esselte[[#This Row],[Proj. de V. No prox. mes]]*10,"-")</f>
        <v>-</v>
      </c>
      <c r="P19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3" s="34">
        <f>VLOOKUP(Esselte[[#This Row],[Código]],Projeção[#All],15,FALSE)</f>
        <v>0</v>
      </c>
      <c r="R193" s="43">
        <f>VLOOKUP(Esselte[[#This Row],[Código]],Projeção[#All],14,FALSE)</f>
        <v>0</v>
      </c>
      <c r="S193" s="39">
        <f>IFERROR(VLOOKUP(Esselte[[#This Row],[Código]],Venda_mes[],2,FALSE),0)</f>
        <v>0</v>
      </c>
      <c r="T193" s="44" t="str">
        <f>IFERROR(Esselte[[#This Row],[V. No mes]]/Esselte[[#This Row],[Proj. de V. No mes]],"")</f>
        <v/>
      </c>
      <c r="U193" s="43">
        <f>VLOOKUP(Esselte[[#This Row],[Código]],Projeção[#All],14,FALSE)+VLOOKUP(Esselte[[#This Row],[Código]],Projeção[#All],13,FALSE)+VLOOKUP(Esselte[[#This Row],[Código]],Projeção[#All],12,FALSE)</f>
        <v>0</v>
      </c>
      <c r="V193" s="39">
        <f>IFERROR(VLOOKUP(Esselte[[#This Row],[Código]],Venda_3meses[],2,FALSE),0)</f>
        <v>0</v>
      </c>
      <c r="W193" s="44" t="str">
        <f>IFERROR(Esselte[[#This Row],[V. 3 meses]]/Esselte[[#This Row],[Proj. de V. 3 meses]],"")</f>
        <v/>
      </c>
      <c r="X19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3" s="39">
        <f>IFERROR(VLOOKUP(Esselte[[#This Row],[Código]],Venda_12meses[],2,FALSE),0)</f>
        <v>0</v>
      </c>
      <c r="Z193" s="44" t="str">
        <f>IFERROR(Esselte[[#This Row],[V. 12 meses]]/Esselte[[#This Row],[Proj. de V. 12 meses]],"")</f>
        <v/>
      </c>
      <c r="AA193" s="22"/>
    </row>
    <row r="194" spans="1:27" x14ac:dyDescent="0.25">
      <c r="A194" s="22" t="str">
        <f>VLOOKUP(Esselte[[#This Row],[Código]],BD_Produto[#All],7,FALSE)</f>
        <v>Não entrou em linha</v>
      </c>
      <c r="B19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4" s="23">
        <v>33063063672</v>
      </c>
      <c r="D194" s="22" t="s">
        <v>1629</v>
      </c>
      <c r="E194" s="22" t="str">
        <f>VLOOKUP(Esselte[[#This Row],[Código]],BD_Produto[],3,FALSE)</f>
        <v>Pasta Organizadora (A/Z)</v>
      </c>
      <c r="F194" s="22" t="str">
        <f>VLOOKUP(Esselte[[#This Row],[Código]],BD_Produto[],4,FALSE)</f>
        <v>Pasta Organizadora (A/Z)</v>
      </c>
      <c r="G194" s="24">
        <v>1</v>
      </c>
      <c r="H194" s="25"/>
      <c r="I194" s="22"/>
      <c r="J194" s="24"/>
      <c r="K194" s="24" t="str">
        <f>IFERROR(VLOOKUP(Esselte[[#This Row],[Código]],Importação!P:R,3,FALSE),"")</f>
        <v/>
      </c>
      <c r="L194" s="24">
        <f>IFERROR(VLOOKUP(Esselte[[#This Row],[Código]],Saldo[],3,FALSE),0)</f>
        <v>0</v>
      </c>
      <c r="M194" s="24">
        <f>SUM(Esselte[[#This Row],[Produção]:[Estoque]])</f>
        <v>0</v>
      </c>
      <c r="N194" s="24" t="str">
        <f>IFERROR(Esselte[[#This Row],[Estoque+Importação]]/Esselte[[#This Row],[Proj. de V. No prox. mes]],"Sem Projeção")</f>
        <v>Sem Projeção</v>
      </c>
      <c r="O194" s="24" t="str">
        <f>IF(OR(Esselte[[#This Row],[Status]]="Em Linha",Esselte[[#This Row],[Status]]="Componente",Esselte[[#This Row],[Status]]="Materia Prima"),Esselte[[#This Row],[Proj. de V. No prox. mes]]*10,"-")</f>
        <v>-</v>
      </c>
      <c r="P19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4" s="34">
        <f>VLOOKUP(Esselte[[#This Row],[Código]],Projeção[#All],15,FALSE)</f>
        <v>0</v>
      </c>
      <c r="R194" s="43">
        <f>VLOOKUP(Esselte[[#This Row],[Código]],Projeção[#All],14,FALSE)</f>
        <v>0</v>
      </c>
      <c r="S194" s="39">
        <f>IFERROR(VLOOKUP(Esselte[[#This Row],[Código]],Venda_mes[],2,FALSE),0)</f>
        <v>0</v>
      </c>
      <c r="T194" s="44" t="str">
        <f>IFERROR(Esselte[[#This Row],[V. No mes]]/Esselte[[#This Row],[Proj. de V. No mes]],"")</f>
        <v/>
      </c>
      <c r="U194" s="43">
        <f>VLOOKUP(Esselte[[#This Row],[Código]],Projeção[#All],14,FALSE)+VLOOKUP(Esselte[[#This Row],[Código]],Projeção[#All],13,FALSE)+VLOOKUP(Esselte[[#This Row],[Código]],Projeção[#All],12,FALSE)</f>
        <v>0</v>
      </c>
      <c r="V194" s="39">
        <f>IFERROR(VLOOKUP(Esselte[[#This Row],[Código]],Venda_3meses[],2,FALSE),0)</f>
        <v>0</v>
      </c>
      <c r="W194" s="44" t="str">
        <f>IFERROR(Esselte[[#This Row],[V. 3 meses]]/Esselte[[#This Row],[Proj. de V. 3 meses]],"")</f>
        <v/>
      </c>
      <c r="X19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4" s="39">
        <f>IFERROR(VLOOKUP(Esselte[[#This Row],[Código]],Venda_12meses[],2,FALSE),0)</f>
        <v>0</v>
      </c>
      <c r="Z194" s="44" t="str">
        <f>IFERROR(Esselte[[#This Row],[V. 12 meses]]/Esselte[[#This Row],[Proj. de V. 12 meses]],"")</f>
        <v/>
      </c>
      <c r="AA194" s="22"/>
    </row>
    <row r="195" spans="1:27" x14ac:dyDescent="0.25">
      <c r="A195" s="22" t="str">
        <f>VLOOKUP(Esselte[[#This Row],[Código]],BD_Produto[#All],7,FALSE)</f>
        <v>Não entrou em linha</v>
      </c>
      <c r="B19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5" s="23">
        <v>33063063673</v>
      </c>
      <c r="D195" s="22" t="s">
        <v>1630</v>
      </c>
      <c r="E195" s="22" t="str">
        <f>VLOOKUP(Esselte[[#This Row],[Código]],BD_Produto[],3,FALSE)</f>
        <v>Pasta Organizadora (A/Z)</v>
      </c>
      <c r="F195" s="22" t="str">
        <f>VLOOKUP(Esselte[[#This Row],[Código]],BD_Produto[],4,FALSE)</f>
        <v>Pasta Organizadora (A/Z)</v>
      </c>
      <c r="G195" s="24">
        <v>1</v>
      </c>
      <c r="H195" s="25"/>
      <c r="I195" s="22"/>
      <c r="J195" s="24"/>
      <c r="K195" s="24" t="str">
        <f>IFERROR(VLOOKUP(Esselte[[#This Row],[Código]],Importação!P:R,3,FALSE),"")</f>
        <v/>
      </c>
      <c r="L195" s="24">
        <f>IFERROR(VLOOKUP(Esselte[[#This Row],[Código]],Saldo[],3,FALSE),0)</f>
        <v>0</v>
      </c>
      <c r="M195" s="24">
        <f>SUM(Esselte[[#This Row],[Produção]:[Estoque]])</f>
        <v>0</v>
      </c>
      <c r="N195" s="24" t="str">
        <f>IFERROR(Esselte[[#This Row],[Estoque+Importação]]/Esselte[[#This Row],[Proj. de V. No prox. mes]],"Sem Projeção")</f>
        <v>Sem Projeção</v>
      </c>
      <c r="O195" s="24" t="str">
        <f>IF(OR(Esselte[[#This Row],[Status]]="Em Linha",Esselte[[#This Row],[Status]]="Componente",Esselte[[#This Row],[Status]]="Materia Prima"),Esselte[[#This Row],[Proj. de V. No prox. mes]]*10,"-")</f>
        <v>-</v>
      </c>
      <c r="P19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5" s="34">
        <f>VLOOKUP(Esselte[[#This Row],[Código]],Projeção[#All],15,FALSE)</f>
        <v>0</v>
      </c>
      <c r="R195" s="43">
        <f>VLOOKUP(Esselte[[#This Row],[Código]],Projeção[#All],14,FALSE)</f>
        <v>0</v>
      </c>
      <c r="S195" s="39">
        <f>IFERROR(VLOOKUP(Esselte[[#This Row],[Código]],Venda_mes[],2,FALSE),0)</f>
        <v>0</v>
      </c>
      <c r="T195" s="44" t="str">
        <f>IFERROR(Esselte[[#This Row],[V. No mes]]/Esselte[[#This Row],[Proj. de V. No mes]],"")</f>
        <v/>
      </c>
      <c r="U195" s="43">
        <f>VLOOKUP(Esselte[[#This Row],[Código]],Projeção[#All],14,FALSE)+VLOOKUP(Esselte[[#This Row],[Código]],Projeção[#All],13,FALSE)+VLOOKUP(Esselte[[#This Row],[Código]],Projeção[#All],12,FALSE)</f>
        <v>0</v>
      </c>
      <c r="V195" s="39">
        <f>IFERROR(VLOOKUP(Esselte[[#This Row],[Código]],Venda_3meses[],2,FALSE),0)</f>
        <v>0</v>
      </c>
      <c r="W195" s="44" t="str">
        <f>IFERROR(Esselte[[#This Row],[V. 3 meses]]/Esselte[[#This Row],[Proj. de V. 3 meses]],"")</f>
        <v/>
      </c>
      <c r="X19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5" s="39">
        <f>IFERROR(VLOOKUP(Esselte[[#This Row],[Código]],Venda_12meses[],2,FALSE),0)</f>
        <v>0</v>
      </c>
      <c r="Z195" s="44" t="str">
        <f>IFERROR(Esselte[[#This Row],[V. 12 meses]]/Esselte[[#This Row],[Proj. de V. 12 meses]],"")</f>
        <v/>
      </c>
      <c r="AA195" s="22"/>
    </row>
    <row r="196" spans="1:27" x14ac:dyDescent="0.25">
      <c r="A196" s="22" t="str">
        <f>VLOOKUP(Esselte[[#This Row],[Código]],BD_Produto[#All],7,FALSE)</f>
        <v>Não entrou em linha</v>
      </c>
      <c r="B19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6" s="23">
        <v>33063063674</v>
      </c>
      <c r="D196" s="22" t="s">
        <v>1631</v>
      </c>
      <c r="E196" s="22" t="str">
        <f>VLOOKUP(Esselte[[#This Row],[Código]],BD_Produto[],3,FALSE)</f>
        <v>Pasta Organizadora (A/Z)</v>
      </c>
      <c r="F196" s="22" t="str">
        <f>VLOOKUP(Esselte[[#This Row],[Código]],BD_Produto[],4,FALSE)</f>
        <v>Pasta Organizadora (A/Z)</v>
      </c>
      <c r="G196" s="24">
        <v>1</v>
      </c>
      <c r="H196" s="25"/>
      <c r="I196" s="22"/>
      <c r="J196" s="24"/>
      <c r="K196" s="24" t="str">
        <f>IFERROR(VLOOKUP(Esselte[[#This Row],[Código]],Importação!P:R,3,FALSE),"")</f>
        <v/>
      </c>
      <c r="L196" s="24">
        <f>IFERROR(VLOOKUP(Esselte[[#This Row],[Código]],Saldo[],3,FALSE),0)</f>
        <v>0</v>
      </c>
      <c r="M196" s="24">
        <f>SUM(Esselte[[#This Row],[Produção]:[Estoque]])</f>
        <v>0</v>
      </c>
      <c r="N196" s="24" t="str">
        <f>IFERROR(Esselte[[#This Row],[Estoque+Importação]]/Esselte[[#This Row],[Proj. de V. No prox. mes]],"Sem Projeção")</f>
        <v>Sem Projeção</v>
      </c>
      <c r="O196" s="24" t="str">
        <f>IF(OR(Esselte[[#This Row],[Status]]="Em Linha",Esselte[[#This Row],[Status]]="Componente",Esselte[[#This Row],[Status]]="Materia Prima"),Esselte[[#This Row],[Proj. de V. No prox. mes]]*10,"-")</f>
        <v>-</v>
      </c>
      <c r="P19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6" s="34">
        <f>VLOOKUP(Esselte[[#This Row],[Código]],Projeção[#All],15,FALSE)</f>
        <v>0</v>
      </c>
      <c r="R196" s="43">
        <f>VLOOKUP(Esselte[[#This Row],[Código]],Projeção[#All],14,FALSE)</f>
        <v>0</v>
      </c>
      <c r="S196" s="39">
        <f>IFERROR(VLOOKUP(Esselte[[#This Row],[Código]],Venda_mes[],2,FALSE),0)</f>
        <v>0</v>
      </c>
      <c r="T196" s="44" t="str">
        <f>IFERROR(Esselte[[#This Row],[V. No mes]]/Esselte[[#This Row],[Proj. de V. No mes]],"")</f>
        <v/>
      </c>
      <c r="U196" s="43">
        <f>VLOOKUP(Esselte[[#This Row],[Código]],Projeção[#All],14,FALSE)+VLOOKUP(Esselte[[#This Row],[Código]],Projeção[#All],13,FALSE)+VLOOKUP(Esselte[[#This Row],[Código]],Projeção[#All],12,FALSE)</f>
        <v>0</v>
      </c>
      <c r="V196" s="39">
        <f>IFERROR(VLOOKUP(Esselte[[#This Row],[Código]],Venda_3meses[],2,FALSE),0)</f>
        <v>0</v>
      </c>
      <c r="W196" s="44" t="str">
        <f>IFERROR(Esselte[[#This Row],[V. 3 meses]]/Esselte[[#This Row],[Proj. de V. 3 meses]],"")</f>
        <v/>
      </c>
      <c r="X19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6" s="39">
        <f>IFERROR(VLOOKUP(Esselte[[#This Row],[Código]],Venda_12meses[],2,FALSE),0)</f>
        <v>0</v>
      </c>
      <c r="Z196" s="44" t="str">
        <f>IFERROR(Esselte[[#This Row],[V. 12 meses]]/Esselte[[#This Row],[Proj. de V. 12 meses]],"")</f>
        <v/>
      </c>
      <c r="AA196" s="22"/>
    </row>
    <row r="197" spans="1:27" x14ac:dyDescent="0.25">
      <c r="A197" s="22" t="str">
        <f>VLOOKUP(Esselte[[#This Row],[Código]],BD_Produto[#All],7,FALSE)</f>
        <v>Não entrou em linha</v>
      </c>
      <c r="B19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7" s="23">
        <v>33063063675</v>
      </c>
      <c r="D197" s="22" t="s">
        <v>1632</v>
      </c>
      <c r="E197" s="22" t="str">
        <f>VLOOKUP(Esselte[[#This Row],[Código]],BD_Produto[],3,FALSE)</f>
        <v>Pasta Organizadora (A/Z)</v>
      </c>
      <c r="F197" s="22" t="str">
        <f>VLOOKUP(Esselte[[#This Row],[Código]],BD_Produto[],4,FALSE)</f>
        <v>Pasta Organizadora (A/Z)</v>
      </c>
      <c r="G197" s="24">
        <v>1</v>
      </c>
      <c r="H197" s="25"/>
      <c r="I197" s="22"/>
      <c r="J197" s="24"/>
      <c r="K197" s="24" t="str">
        <f>IFERROR(VLOOKUP(Esselte[[#This Row],[Código]],Importação!P:R,3,FALSE),"")</f>
        <v/>
      </c>
      <c r="L197" s="24">
        <f>IFERROR(VLOOKUP(Esselte[[#This Row],[Código]],Saldo[],3,FALSE),0)</f>
        <v>0</v>
      </c>
      <c r="M197" s="24">
        <f>SUM(Esselte[[#This Row],[Produção]:[Estoque]])</f>
        <v>0</v>
      </c>
      <c r="N197" s="24" t="str">
        <f>IFERROR(Esselte[[#This Row],[Estoque+Importação]]/Esselte[[#This Row],[Proj. de V. No prox. mes]],"Sem Projeção")</f>
        <v>Sem Projeção</v>
      </c>
      <c r="O197" s="24" t="str">
        <f>IF(OR(Esselte[[#This Row],[Status]]="Em Linha",Esselte[[#This Row],[Status]]="Componente",Esselte[[#This Row],[Status]]="Materia Prima"),Esselte[[#This Row],[Proj. de V. No prox. mes]]*10,"-")</f>
        <v>-</v>
      </c>
      <c r="P19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7" s="34">
        <f>VLOOKUP(Esselte[[#This Row],[Código]],Projeção[#All],15,FALSE)</f>
        <v>0</v>
      </c>
      <c r="R197" s="43">
        <f>VLOOKUP(Esselte[[#This Row],[Código]],Projeção[#All],14,FALSE)</f>
        <v>0</v>
      </c>
      <c r="S197" s="39">
        <f>IFERROR(VLOOKUP(Esselte[[#This Row],[Código]],Venda_mes[],2,FALSE),0)</f>
        <v>0</v>
      </c>
      <c r="T197" s="44" t="str">
        <f>IFERROR(Esselte[[#This Row],[V. No mes]]/Esselte[[#This Row],[Proj. de V. No mes]],"")</f>
        <v/>
      </c>
      <c r="U197" s="43">
        <f>VLOOKUP(Esselte[[#This Row],[Código]],Projeção[#All],14,FALSE)+VLOOKUP(Esselte[[#This Row],[Código]],Projeção[#All],13,FALSE)+VLOOKUP(Esselte[[#This Row],[Código]],Projeção[#All],12,FALSE)</f>
        <v>0</v>
      </c>
      <c r="V197" s="39">
        <f>IFERROR(VLOOKUP(Esselte[[#This Row],[Código]],Venda_3meses[],2,FALSE),0)</f>
        <v>0</v>
      </c>
      <c r="W197" s="44" t="str">
        <f>IFERROR(Esselte[[#This Row],[V. 3 meses]]/Esselte[[#This Row],[Proj. de V. 3 meses]],"")</f>
        <v/>
      </c>
      <c r="X19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7" s="39">
        <f>IFERROR(VLOOKUP(Esselte[[#This Row],[Código]],Venda_12meses[],2,FALSE),0)</f>
        <v>0</v>
      </c>
      <c r="Z197" s="44" t="str">
        <f>IFERROR(Esselte[[#This Row],[V. 12 meses]]/Esselte[[#This Row],[Proj. de V. 12 meses]],"")</f>
        <v/>
      </c>
      <c r="AA197" s="22"/>
    </row>
    <row r="198" spans="1:27" x14ac:dyDescent="0.25">
      <c r="A198" s="22" t="str">
        <f>VLOOKUP(Esselte[[#This Row],[Código]],BD_Produto[#All],7,FALSE)</f>
        <v>Não entrou em linha</v>
      </c>
      <c r="B19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8" s="23">
        <v>33063063676</v>
      </c>
      <c r="D198" s="22" t="s">
        <v>1633</v>
      </c>
      <c r="E198" s="22" t="str">
        <f>VLOOKUP(Esselte[[#This Row],[Código]],BD_Produto[],3,FALSE)</f>
        <v>Pasta Organizadora (A/Z)</v>
      </c>
      <c r="F198" s="22" t="str">
        <f>VLOOKUP(Esselte[[#This Row],[Código]],BD_Produto[],4,FALSE)</f>
        <v>Pasta Organizadora (A/Z)</v>
      </c>
      <c r="G198" s="24">
        <v>1</v>
      </c>
      <c r="H198" s="25"/>
      <c r="I198" s="22"/>
      <c r="J198" s="24"/>
      <c r="K198" s="24" t="str">
        <f>IFERROR(VLOOKUP(Esselte[[#This Row],[Código]],Importação!P:R,3,FALSE),"")</f>
        <v/>
      </c>
      <c r="L198" s="24">
        <f>IFERROR(VLOOKUP(Esselte[[#This Row],[Código]],Saldo[],3,FALSE),0)</f>
        <v>0</v>
      </c>
      <c r="M198" s="24">
        <f>SUM(Esselte[[#This Row],[Produção]:[Estoque]])</f>
        <v>0</v>
      </c>
      <c r="N198" s="24" t="str">
        <f>IFERROR(Esselte[[#This Row],[Estoque+Importação]]/Esselte[[#This Row],[Proj. de V. No prox. mes]],"Sem Projeção")</f>
        <v>Sem Projeção</v>
      </c>
      <c r="O198" s="24" t="str">
        <f>IF(OR(Esselte[[#This Row],[Status]]="Em Linha",Esselte[[#This Row],[Status]]="Componente",Esselte[[#This Row],[Status]]="Materia Prima"),Esselte[[#This Row],[Proj. de V. No prox. mes]]*10,"-")</f>
        <v>-</v>
      </c>
      <c r="P19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8" s="34">
        <f>VLOOKUP(Esselte[[#This Row],[Código]],Projeção[#All],15,FALSE)</f>
        <v>0</v>
      </c>
      <c r="R198" s="43">
        <f>VLOOKUP(Esselte[[#This Row],[Código]],Projeção[#All],14,FALSE)</f>
        <v>0</v>
      </c>
      <c r="S198" s="39">
        <f>IFERROR(VLOOKUP(Esselte[[#This Row],[Código]],Venda_mes[],2,FALSE),0)</f>
        <v>0</v>
      </c>
      <c r="T198" s="44" t="str">
        <f>IFERROR(Esselte[[#This Row],[V. No mes]]/Esselte[[#This Row],[Proj. de V. No mes]],"")</f>
        <v/>
      </c>
      <c r="U198" s="43">
        <f>VLOOKUP(Esselte[[#This Row],[Código]],Projeção[#All],14,FALSE)+VLOOKUP(Esselte[[#This Row],[Código]],Projeção[#All],13,FALSE)+VLOOKUP(Esselte[[#This Row],[Código]],Projeção[#All],12,FALSE)</f>
        <v>0</v>
      </c>
      <c r="V198" s="39">
        <f>IFERROR(VLOOKUP(Esselte[[#This Row],[Código]],Venda_3meses[],2,FALSE),0)</f>
        <v>0</v>
      </c>
      <c r="W198" s="44" t="str">
        <f>IFERROR(Esselte[[#This Row],[V. 3 meses]]/Esselte[[#This Row],[Proj. de V. 3 meses]],"")</f>
        <v/>
      </c>
      <c r="X19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8" s="39">
        <f>IFERROR(VLOOKUP(Esselte[[#This Row],[Código]],Venda_12meses[],2,FALSE),0)</f>
        <v>0</v>
      </c>
      <c r="Z198" s="44" t="str">
        <f>IFERROR(Esselte[[#This Row],[V. 12 meses]]/Esselte[[#This Row],[Proj. de V. 12 meses]],"")</f>
        <v/>
      </c>
      <c r="AA198" s="22"/>
    </row>
    <row r="199" spans="1:27" x14ac:dyDescent="0.25">
      <c r="A199" s="22" t="str">
        <f>VLOOKUP(Esselte[[#This Row],[Código]],BD_Produto[#All],7,FALSE)</f>
        <v>Não entrou em linha</v>
      </c>
      <c r="B19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199" s="23">
        <v>33063063677</v>
      </c>
      <c r="D199" s="22" t="s">
        <v>1634</v>
      </c>
      <c r="E199" s="22" t="str">
        <f>VLOOKUP(Esselte[[#This Row],[Código]],BD_Produto[],3,FALSE)</f>
        <v>Pasta Organizadora (A/Z)</v>
      </c>
      <c r="F199" s="22" t="str">
        <f>VLOOKUP(Esselte[[#This Row],[Código]],BD_Produto[],4,FALSE)</f>
        <v>Pasta Organizadora (A/Z)</v>
      </c>
      <c r="G199" s="24">
        <v>1</v>
      </c>
      <c r="H199" s="25"/>
      <c r="I199" s="22"/>
      <c r="J199" s="24"/>
      <c r="K199" s="24" t="str">
        <f>IFERROR(VLOOKUP(Esselte[[#This Row],[Código]],Importação!P:R,3,FALSE),"")</f>
        <v/>
      </c>
      <c r="L199" s="24">
        <f>IFERROR(VLOOKUP(Esselte[[#This Row],[Código]],Saldo[],3,FALSE),0)</f>
        <v>0</v>
      </c>
      <c r="M199" s="24">
        <f>SUM(Esselte[[#This Row],[Produção]:[Estoque]])</f>
        <v>0</v>
      </c>
      <c r="N199" s="24" t="str">
        <f>IFERROR(Esselte[[#This Row],[Estoque+Importação]]/Esselte[[#This Row],[Proj. de V. No prox. mes]],"Sem Projeção")</f>
        <v>Sem Projeção</v>
      </c>
      <c r="O199" s="24" t="str">
        <f>IF(OR(Esselte[[#This Row],[Status]]="Em Linha",Esselte[[#This Row],[Status]]="Componente",Esselte[[#This Row],[Status]]="Materia Prima"),Esselte[[#This Row],[Proj. de V. No prox. mes]]*10,"-")</f>
        <v>-</v>
      </c>
      <c r="P19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199" s="34">
        <f>VLOOKUP(Esselte[[#This Row],[Código]],Projeção[#All],15,FALSE)</f>
        <v>0</v>
      </c>
      <c r="R199" s="43">
        <f>VLOOKUP(Esselte[[#This Row],[Código]],Projeção[#All],14,FALSE)</f>
        <v>0</v>
      </c>
      <c r="S199" s="39">
        <f>IFERROR(VLOOKUP(Esselte[[#This Row],[Código]],Venda_mes[],2,FALSE),0)</f>
        <v>0</v>
      </c>
      <c r="T199" s="44" t="str">
        <f>IFERROR(Esselte[[#This Row],[V. No mes]]/Esselte[[#This Row],[Proj. de V. No mes]],"")</f>
        <v/>
      </c>
      <c r="U199" s="43">
        <f>VLOOKUP(Esselte[[#This Row],[Código]],Projeção[#All],14,FALSE)+VLOOKUP(Esselte[[#This Row],[Código]],Projeção[#All],13,FALSE)+VLOOKUP(Esselte[[#This Row],[Código]],Projeção[#All],12,FALSE)</f>
        <v>0</v>
      </c>
      <c r="V199" s="39">
        <f>IFERROR(VLOOKUP(Esselte[[#This Row],[Código]],Venda_3meses[],2,FALSE),0)</f>
        <v>0</v>
      </c>
      <c r="W199" s="44" t="str">
        <f>IFERROR(Esselte[[#This Row],[V. 3 meses]]/Esselte[[#This Row],[Proj. de V. 3 meses]],"")</f>
        <v/>
      </c>
      <c r="X19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199" s="39">
        <f>IFERROR(VLOOKUP(Esselte[[#This Row],[Código]],Venda_12meses[],2,FALSE),0)</f>
        <v>0</v>
      </c>
      <c r="Z199" s="44" t="str">
        <f>IFERROR(Esselte[[#This Row],[V. 12 meses]]/Esselte[[#This Row],[Proj. de V. 12 meses]],"")</f>
        <v/>
      </c>
      <c r="AA199" s="22"/>
    </row>
    <row r="200" spans="1:27" x14ac:dyDescent="0.25">
      <c r="A200" s="22" t="str">
        <f>VLOOKUP(Esselte[[#This Row],[Código]],BD_Produto[#All],7,FALSE)</f>
        <v>Não entrou em linha</v>
      </c>
      <c r="B20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0" s="23">
        <v>33060763742</v>
      </c>
      <c r="D200" s="22" t="s">
        <v>1635</v>
      </c>
      <c r="E200" s="22">
        <f>VLOOKUP(Esselte[[#This Row],[Código]],BD_Produto[],3,FALSE)</f>
        <v>0</v>
      </c>
      <c r="F200" s="22">
        <f>VLOOKUP(Esselte[[#This Row],[Código]],BD_Produto[],4,FALSE)</f>
        <v>0</v>
      </c>
      <c r="G200" s="24">
        <v>1</v>
      </c>
      <c r="H200" s="25"/>
      <c r="I200" s="22"/>
      <c r="J200" s="24"/>
      <c r="K200" s="24" t="str">
        <f>IFERROR(VLOOKUP(Esselte[[#This Row],[Código]],Importação!P:R,3,FALSE),"")</f>
        <v/>
      </c>
      <c r="L200" s="24">
        <f>IFERROR(VLOOKUP(Esselte[[#This Row],[Código]],Saldo[],3,FALSE),0)</f>
        <v>0</v>
      </c>
      <c r="M200" s="24">
        <f>SUM(Esselte[[#This Row],[Produção]:[Estoque]])</f>
        <v>0</v>
      </c>
      <c r="N200" s="24" t="str">
        <f>IFERROR(Esselte[[#This Row],[Estoque+Importação]]/Esselte[[#This Row],[Proj. de V. No prox. mes]],"Sem Projeção")</f>
        <v>Sem Projeção</v>
      </c>
      <c r="O200" s="24" t="str">
        <f>IF(OR(Esselte[[#This Row],[Status]]="Em Linha",Esselte[[#This Row],[Status]]="Componente",Esselte[[#This Row],[Status]]="Materia Prima"),Esselte[[#This Row],[Proj. de V. No prox. mes]]*10,"-")</f>
        <v>-</v>
      </c>
      <c r="P20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0" s="34">
        <f>VLOOKUP(Esselte[[#This Row],[Código]],Projeção[#All],15,FALSE)</f>
        <v>0</v>
      </c>
      <c r="R200" s="43">
        <f>VLOOKUP(Esselte[[#This Row],[Código]],Projeção[#All],14,FALSE)</f>
        <v>0</v>
      </c>
      <c r="S200" s="39">
        <f>IFERROR(VLOOKUP(Esselte[[#This Row],[Código]],Venda_mes[],2,FALSE),0)</f>
        <v>0</v>
      </c>
      <c r="T200" s="44" t="str">
        <f>IFERROR(Esselte[[#This Row],[V. No mes]]/Esselte[[#This Row],[Proj. de V. No mes]],"")</f>
        <v/>
      </c>
      <c r="U200" s="43">
        <f>VLOOKUP(Esselte[[#This Row],[Código]],Projeção[#All],14,FALSE)+VLOOKUP(Esselte[[#This Row],[Código]],Projeção[#All],13,FALSE)+VLOOKUP(Esselte[[#This Row],[Código]],Projeção[#All],12,FALSE)</f>
        <v>0</v>
      </c>
      <c r="V200" s="39">
        <f>IFERROR(VLOOKUP(Esselte[[#This Row],[Código]],Venda_3meses[],2,FALSE),0)</f>
        <v>0</v>
      </c>
      <c r="W200" s="44" t="str">
        <f>IFERROR(Esselte[[#This Row],[V. 3 meses]]/Esselte[[#This Row],[Proj. de V. 3 meses]],"")</f>
        <v/>
      </c>
      <c r="X20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0" s="39">
        <f>IFERROR(VLOOKUP(Esselte[[#This Row],[Código]],Venda_12meses[],2,FALSE),0)</f>
        <v>0</v>
      </c>
      <c r="Z200" s="44" t="str">
        <f>IFERROR(Esselte[[#This Row],[V. 12 meses]]/Esselte[[#This Row],[Proj. de V. 12 meses]],"")</f>
        <v/>
      </c>
      <c r="AA200" s="22"/>
    </row>
    <row r="201" spans="1:27" x14ac:dyDescent="0.25">
      <c r="A201" s="22" t="str">
        <f>VLOOKUP(Esselte[[#This Row],[Código]],BD_Produto[#All],7,FALSE)</f>
        <v>Não entrou em linha</v>
      </c>
      <c r="B20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1" s="23">
        <v>33060163743</v>
      </c>
      <c r="D201" s="22" t="s">
        <v>1636</v>
      </c>
      <c r="E201" s="22">
        <f>VLOOKUP(Esselte[[#This Row],[Código]],BD_Produto[],3,FALSE)</f>
        <v>0</v>
      </c>
      <c r="F201" s="22">
        <f>VLOOKUP(Esselte[[#This Row],[Código]],BD_Produto[],4,FALSE)</f>
        <v>0</v>
      </c>
      <c r="G201" s="24">
        <v>1</v>
      </c>
      <c r="H201" s="25"/>
      <c r="I201" s="22"/>
      <c r="J201" s="24"/>
      <c r="K201" s="24" t="str">
        <f>IFERROR(VLOOKUP(Esselte[[#This Row],[Código]],Importação!P:R,3,FALSE),"")</f>
        <v/>
      </c>
      <c r="L201" s="24">
        <f>IFERROR(VLOOKUP(Esselte[[#This Row],[Código]],Saldo[],3,FALSE),0)</f>
        <v>0</v>
      </c>
      <c r="M201" s="24">
        <f>SUM(Esselte[[#This Row],[Produção]:[Estoque]])</f>
        <v>0</v>
      </c>
      <c r="N201" s="24" t="str">
        <f>IFERROR(Esselte[[#This Row],[Estoque+Importação]]/Esselte[[#This Row],[Proj. de V. No prox. mes]],"Sem Projeção")</f>
        <v>Sem Projeção</v>
      </c>
      <c r="O201" s="24" t="str">
        <f>IF(OR(Esselte[[#This Row],[Status]]="Em Linha",Esselte[[#This Row],[Status]]="Componente",Esselte[[#This Row],[Status]]="Materia Prima"),Esselte[[#This Row],[Proj. de V. No prox. mes]]*10,"-")</f>
        <v>-</v>
      </c>
      <c r="P20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1" s="34">
        <f>VLOOKUP(Esselte[[#This Row],[Código]],Projeção[#All],15,FALSE)</f>
        <v>0</v>
      </c>
      <c r="R201" s="43">
        <f>VLOOKUP(Esselte[[#This Row],[Código]],Projeção[#All],14,FALSE)</f>
        <v>0</v>
      </c>
      <c r="S201" s="39">
        <f>IFERROR(VLOOKUP(Esselte[[#This Row],[Código]],Venda_mes[],2,FALSE),0)</f>
        <v>0</v>
      </c>
      <c r="T201" s="44" t="str">
        <f>IFERROR(Esselte[[#This Row],[V. No mes]]/Esselte[[#This Row],[Proj. de V. No mes]],"")</f>
        <v/>
      </c>
      <c r="U201" s="43">
        <f>VLOOKUP(Esselte[[#This Row],[Código]],Projeção[#All],14,FALSE)+VLOOKUP(Esselte[[#This Row],[Código]],Projeção[#All],13,FALSE)+VLOOKUP(Esselte[[#This Row],[Código]],Projeção[#All],12,FALSE)</f>
        <v>0</v>
      </c>
      <c r="V201" s="39">
        <f>IFERROR(VLOOKUP(Esselte[[#This Row],[Código]],Venda_3meses[],2,FALSE),0)</f>
        <v>0</v>
      </c>
      <c r="W201" s="44" t="str">
        <f>IFERROR(Esselte[[#This Row],[V. 3 meses]]/Esselte[[#This Row],[Proj. de V. 3 meses]],"")</f>
        <v/>
      </c>
      <c r="X20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1" s="39">
        <f>IFERROR(VLOOKUP(Esselte[[#This Row],[Código]],Venda_12meses[],2,FALSE),0)</f>
        <v>0</v>
      </c>
      <c r="Z201" s="44" t="str">
        <f>IFERROR(Esselte[[#This Row],[V. 12 meses]]/Esselte[[#This Row],[Proj. de V. 12 meses]],"")</f>
        <v/>
      </c>
      <c r="AA201" s="22"/>
    </row>
    <row r="202" spans="1:27" x14ac:dyDescent="0.25">
      <c r="A202" s="22" t="str">
        <f>VLOOKUP(Esselte[[#This Row],[Código]],BD_Produto[#All],7,FALSE)</f>
        <v>Não entrou em linha</v>
      </c>
      <c r="B202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2" s="23">
        <v>33060763744</v>
      </c>
      <c r="D202" s="22" t="s">
        <v>1637</v>
      </c>
      <c r="E202" s="22">
        <f>VLOOKUP(Esselte[[#This Row],[Código]],BD_Produto[],3,FALSE)</f>
        <v>0</v>
      </c>
      <c r="F202" s="22">
        <f>VLOOKUP(Esselte[[#This Row],[Código]],BD_Produto[],4,FALSE)</f>
        <v>0</v>
      </c>
      <c r="G202" s="24">
        <v>1</v>
      </c>
      <c r="H202" s="25"/>
      <c r="I202" s="22"/>
      <c r="J202" s="24"/>
      <c r="K202" s="24" t="str">
        <f>IFERROR(VLOOKUP(Esselte[[#This Row],[Código]],Importação!P:R,3,FALSE),"")</f>
        <v/>
      </c>
      <c r="L202" s="24">
        <f>IFERROR(VLOOKUP(Esselte[[#This Row],[Código]],Saldo[],3,FALSE),0)</f>
        <v>0</v>
      </c>
      <c r="M202" s="24">
        <f>SUM(Esselte[[#This Row],[Produção]:[Estoque]])</f>
        <v>0</v>
      </c>
      <c r="N202" s="24" t="str">
        <f>IFERROR(Esselte[[#This Row],[Estoque+Importação]]/Esselte[[#This Row],[Proj. de V. No prox. mes]],"Sem Projeção")</f>
        <v>Sem Projeção</v>
      </c>
      <c r="O202" s="24" t="str">
        <f>IF(OR(Esselte[[#This Row],[Status]]="Em Linha",Esselte[[#This Row],[Status]]="Componente",Esselte[[#This Row],[Status]]="Materia Prima"),Esselte[[#This Row],[Proj. de V. No prox. mes]]*10,"-")</f>
        <v>-</v>
      </c>
      <c r="P202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2" s="75">
        <f>VLOOKUP(Esselte[[#This Row],[Código]],Projeção[#All],15,FALSE)</f>
        <v>0</v>
      </c>
      <c r="R202" s="39">
        <f>VLOOKUP(Esselte[[#This Row],[Código]],Projeção[#All],14,FALSE)</f>
        <v>0</v>
      </c>
      <c r="S202" s="39">
        <f>IFERROR(VLOOKUP(Esselte[[#This Row],[Código]],Venda_mes[],2,FALSE),0)</f>
        <v>0</v>
      </c>
      <c r="T202" s="44" t="str">
        <f>IFERROR(Esselte[[#This Row],[V. No mes]]/Esselte[[#This Row],[Proj. de V. No mes]],"")</f>
        <v/>
      </c>
      <c r="U202" s="43">
        <f>VLOOKUP(Esselte[[#This Row],[Código]],Projeção[#All],14,FALSE)+VLOOKUP(Esselte[[#This Row],[Código]],Projeção[#All],13,FALSE)+VLOOKUP(Esselte[[#This Row],[Código]],Projeção[#All],12,FALSE)</f>
        <v>0</v>
      </c>
      <c r="V202" s="39">
        <f>IFERROR(VLOOKUP(Esselte[[#This Row],[Código]],Venda_3meses[],2,FALSE),0)</f>
        <v>0</v>
      </c>
      <c r="W202" s="44" t="str">
        <f>IFERROR(Esselte[[#This Row],[V. 3 meses]]/Esselte[[#This Row],[Proj. de V. 3 meses]],"")</f>
        <v/>
      </c>
      <c r="X202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2" s="39">
        <f>IFERROR(VLOOKUP(Esselte[[#This Row],[Código]],Venda_12meses[],2,FALSE),0)</f>
        <v>0</v>
      </c>
      <c r="Z202" s="44" t="str">
        <f>IFERROR(Esselte[[#This Row],[V. 12 meses]]/Esselte[[#This Row],[Proj. de V. 12 meses]],"")</f>
        <v/>
      </c>
      <c r="AA202" s="22"/>
    </row>
    <row r="203" spans="1:27" x14ac:dyDescent="0.25">
      <c r="A203" s="22" t="str">
        <f>VLOOKUP(Esselte[[#This Row],[Código]],BD_Produto[#All],7,FALSE)</f>
        <v>Não entrou em linha</v>
      </c>
      <c r="B203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3" s="23">
        <v>33060163745</v>
      </c>
      <c r="D203" s="22" t="s">
        <v>1638</v>
      </c>
      <c r="E203" s="22">
        <f>VLOOKUP(Esselte[[#This Row],[Código]],BD_Produto[],3,FALSE)</f>
        <v>0</v>
      </c>
      <c r="F203" s="22">
        <f>VLOOKUP(Esselte[[#This Row],[Código]],BD_Produto[],4,FALSE)</f>
        <v>0</v>
      </c>
      <c r="G203" s="24">
        <v>1</v>
      </c>
      <c r="H203" s="25"/>
      <c r="I203" s="22"/>
      <c r="J203" s="24"/>
      <c r="K203" s="24" t="str">
        <f>IFERROR(VLOOKUP(Esselte[[#This Row],[Código]],Importação!P:R,3,FALSE),"")</f>
        <v/>
      </c>
      <c r="L203" s="24">
        <f>IFERROR(VLOOKUP(Esselte[[#This Row],[Código]],Saldo[],3,FALSE),0)</f>
        <v>0</v>
      </c>
      <c r="M203" s="24">
        <f>SUM(Esselte[[#This Row],[Produção]:[Estoque]])</f>
        <v>0</v>
      </c>
      <c r="N203" s="24" t="str">
        <f>IFERROR(Esselte[[#This Row],[Estoque+Importação]]/Esselte[[#This Row],[Proj. de V. No prox. mes]],"Sem Projeção")</f>
        <v>Sem Projeção</v>
      </c>
      <c r="O203" s="24" t="str">
        <f>IF(OR(Esselte[[#This Row],[Status]]="Em Linha",Esselte[[#This Row],[Status]]="Componente",Esselte[[#This Row],[Status]]="Materia Prima"),Esselte[[#This Row],[Proj. de V. No prox. mes]]*10,"-")</f>
        <v>-</v>
      </c>
      <c r="P203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3" s="75">
        <f>VLOOKUP(Esselte[[#This Row],[Código]],Projeção[#All],15,FALSE)</f>
        <v>0</v>
      </c>
      <c r="R203" s="39">
        <f>VLOOKUP(Esselte[[#This Row],[Código]],Projeção[#All],14,FALSE)</f>
        <v>0</v>
      </c>
      <c r="S203" s="39">
        <f>IFERROR(VLOOKUP(Esselte[[#This Row],[Código]],Venda_mes[],2,FALSE),0)</f>
        <v>0</v>
      </c>
      <c r="T203" s="44" t="str">
        <f>IFERROR(Esselte[[#This Row],[V. No mes]]/Esselte[[#This Row],[Proj. de V. No mes]],"")</f>
        <v/>
      </c>
      <c r="U203" s="43">
        <f>VLOOKUP(Esselte[[#This Row],[Código]],Projeção[#All],14,FALSE)+VLOOKUP(Esselte[[#This Row],[Código]],Projeção[#All],13,FALSE)+VLOOKUP(Esselte[[#This Row],[Código]],Projeção[#All],12,FALSE)</f>
        <v>0</v>
      </c>
      <c r="V203" s="39">
        <f>IFERROR(VLOOKUP(Esselte[[#This Row],[Código]],Venda_3meses[],2,FALSE),0)</f>
        <v>0</v>
      </c>
      <c r="W203" s="44" t="str">
        <f>IFERROR(Esselte[[#This Row],[V. 3 meses]]/Esselte[[#This Row],[Proj. de V. 3 meses]],"")</f>
        <v/>
      </c>
      <c r="X203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3" s="39">
        <f>IFERROR(VLOOKUP(Esselte[[#This Row],[Código]],Venda_12meses[],2,FALSE),0)</f>
        <v>0</v>
      </c>
      <c r="Z203" s="44" t="str">
        <f>IFERROR(Esselte[[#This Row],[V. 12 meses]]/Esselte[[#This Row],[Proj. de V. 12 meses]],"")</f>
        <v/>
      </c>
      <c r="AA203" s="22"/>
    </row>
    <row r="204" spans="1:27" x14ac:dyDescent="0.25">
      <c r="A204" s="22" t="str">
        <f>VLOOKUP(Esselte[[#This Row],[Código]],BD_Produto[#All],7,FALSE)</f>
        <v>Não entrou em linha</v>
      </c>
      <c r="B204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4" s="23">
        <v>33063063746</v>
      </c>
      <c r="D204" s="22" t="s">
        <v>1639</v>
      </c>
      <c r="E204" s="22">
        <f>VLOOKUP(Esselte[[#This Row],[Código]],BD_Produto[],3,FALSE)</f>
        <v>0</v>
      </c>
      <c r="F204" s="22">
        <f>VLOOKUP(Esselte[[#This Row],[Código]],BD_Produto[],4,FALSE)</f>
        <v>0</v>
      </c>
      <c r="G204" s="24">
        <v>1</v>
      </c>
      <c r="H204" s="25"/>
      <c r="I204" s="22"/>
      <c r="J204" s="24"/>
      <c r="K204" s="24" t="str">
        <f>IFERROR(VLOOKUP(Esselte[[#This Row],[Código]],Importação!P:R,3,FALSE),"")</f>
        <v/>
      </c>
      <c r="L204" s="24">
        <f>IFERROR(VLOOKUP(Esselte[[#This Row],[Código]],Saldo[],3,FALSE),0)</f>
        <v>0</v>
      </c>
      <c r="M204" s="24">
        <f>SUM(Esselte[[#This Row],[Produção]:[Estoque]])</f>
        <v>0</v>
      </c>
      <c r="N204" s="24" t="str">
        <f>IFERROR(Esselte[[#This Row],[Estoque+Importação]]/Esselte[[#This Row],[Proj. de V. No prox. mes]],"Sem Projeção")</f>
        <v>Sem Projeção</v>
      </c>
      <c r="O204" s="24" t="str">
        <f>IF(OR(Esselte[[#This Row],[Status]]="Em Linha",Esselte[[#This Row],[Status]]="Componente",Esselte[[#This Row],[Status]]="Materia Prima"),Esselte[[#This Row],[Proj. de V. No prox. mes]]*10,"-")</f>
        <v>-</v>
      </c>
      <c r="P204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4" s="75">
        <f>VLOOKUP(Esselte[[#This Row],[Código]],Projeção[#All],15,FALSE)</f>
        <v>0</v>
      </c>
      <c r="R204" s="39">
        <f>VLOOKUP(Esselte[[#This Row],[Código]],Projeção[#All],14,FALSE)</f>
        <v>0</v>
      </c>
      <c r="S204" s="39">
        <f>IFERROR(VLOOKUP(Esselte[[#This Row],[Código]],Venda_mes[],2,FALSE),0)</f>
        <v>0</v>
      </c>
      <c r="T204" s="44" t="str">
        <f>IFERROR(Esselte[[#This Row],[V. No mes]]/Esselte[[#This Row],[Proj. de V. No mes]],"")</f>
        <v/>
      </c>
      <c r="U204" s="43">
        <f>VLOOKUP(Esselte[[#This Row],[Código]],Projeção[#All],14,FALSE)+VLOOKUP(Esselte[[#This Row],[Código]],Projeção[#All],13,FALSE)+VLOOKUP(Esselte[[#This Row],[Código]],Projeção[#All],12,FALSE)</f>
        <v>0</v>
      </c>
      <c r="V204" s="39">
        <f>IFERROR(VLOOKUP(Esselte[[#This Row],[Código]],Venda_3meses[],2,FALSE),0)</f>
        <v>0</v>
      </c>
      <c r="W204" s="44" t="str">
        <f>IFERROR(Esselte[[#This Row],[V. 3 meses]]/Esselte[[#This Row],[Proj. de V. 3 meses]],"")</f>
        <v/>
      </c>
      <c r="X204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4" s="39">
        <f>IFERROR(VLOOKUP(Esselte[[#This Row],[Código]],Venda_12meses[],2,FALSE),0)</f>
        <v>0</v>
      </c>
      <c r="Z204" s="44" t="str">
        <f>IFERROR(Esselte[[#This Row],[V. 12 meses]]/Esselte[[#This Row],[Proj. de V. 12 meses]],"")</f>
        <v/>
      </c>
      <c r="AA204" s="22"/>
    </row>
    <row r="205" spans="1:27" x14ac:dyDescent="0.25">
      <c r="A205" s="22" t="str">
        <f>VLOOKUP(Esselte[[#This Row],[Código]],BD_Produto[#All],7,FALSE)</f>
        <v>Não entrou em linha</v>
      </c>
      <c r="B205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5" s="23">
        <v>33063063747</v>
      </c>
      <c r="D205" s="22" t="s">
        <v>1640</v>
      </c>
      <c r="E205" s="22">
        <f>VLOOKUP(Esselte[[#This Row],[Código]],BD_Produto[],3,FALSE)</f>
        <v>0</v>
      </c>
      <c r="F205" s="22">
        <f>VLOOKUP(Esselte[[#This Row],[Código]],BD_Produto[],4,FALSE)</f>
        <v>0</v>
      </c>
      <c r="G205" s="24">
        <v>1</v>
      </c>
      <c r="H205" s="25"/>
      <c r="I205" s="22"/>
      <c r="J205" s="24"/>
      <c r="K205" s="24" t="str">
        <f>IFERROR(VLOOKUP(Esselte[[#This Row],[Código]],Importação!P:R,3,FALSE),"")</f>
        <v/>
      </c>
      <c r="L205" s="24">
        <f>IFERROR(VLOOKUP(Esselte[[#This Row],[Código]],Saldo[],3,FALSE),0)</f>
        <v>0</v>
      </c>
      <c r="M205" s="24">
        <f>SUM(Esselte[[#This Row],[Produção]:[Estoque]])</f>
        <v>0</v>
      </c>
      <c r="N205" s="24" t="str">
        <f>IFERROR(Esselte[[#This Row],[Estoque+Importação]]/Esselte[[#This Row],[Proj. de V. No prox. mes]],"Sem Projeção")</f>
        <v>Sem Projeção</v>
      </c>
      <c r="O205" s="24" t="str">
        <f>IF(OR(Esselte[[#This Row],[Status]]="Em Linha",Esselte[[#This Row],[Status]]="Componente",Esselte[[#This Row],[Status]]="Materia Prima"),Esselte[[#This Row],[Proj. de V. No prox. mes]]*10,"-")</f>
        <v>-</v>
      </c>
      <c r="P205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5" s="75">
        <f>VLOOKUP(Esselte[[#This Row],[Código]],Projeção[#All],15,FALSE)</f>
        <v>0</v>
      </c>
      <c r="R205" s="39">
        <f>VLOOKUP(Esselte[[#This Row],[Código]],Projeção[#All],14,FALSE)</f>
        <v>0</v>
      </c>
      <c r="S205" s="39">
        <f>IFERROR(VLOOKUP(Esselte[[#This Row],[Código]],Venda_mes[],2,FALSE),0)</f>
        <v>0</v>
      </c>
      <c r="T205" s="44" t="str">
        <f>IFERROR(Esselte[[#This Row],[V. No mes]]/Esselte[[#This Row],[Proj. de V. No mes]],"")</f>
        <v/>
      </c>
      <c r="U205" s="43">
        <f>VLOOKUP(Esselte[[#This Row],[Código]],Projeção[#All],14,FALSE)+VLOOKUP(Esselte[[#This Row],[Código]],Projeção[#All],13,FALSE)+VLOOKUP(Esselte[[#This Row],[Código]],Projeção[#All],12,FALSE)</f>
        <v>0</v>
      </c>
      <c r="V205" s="39">
        <f>IFERROR(VLOOKUP(Esselte[[#This Row],[Código]],Venda_3meses[],2,FALSE),0)</f>
        <v>0</v>
      </c>
      <c r="W205" s="44" t="str">
        <f>IFERROR(Esselte[[#This Row],[V. 3 meses]]/Esselte[[#This Row],[Proj. de V. 3 meses]],"")</f>
        <v/>
      </c>
      <c r="X205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5" s="39">
        <f>IFERROR(VLOOKUP(Esselte[[#This Row],[Código]],Venda_12meses[],2,FALSE),0)</f>
        <v>0</v>
      </c>
      <c r="Z205" s="44" t="str">
        <f>IFERROR(Esselte[[#This Row],[V. 12 meses]]/Esselte[[#This Row],[Proj. de V. 12 meses]],"")</f>
        <v/>
      </c>
      <c r="AA205" s="22"/>
    </row>
    <row r="206" spans="1:27" x14ac:dyDescent="0.25">
      <c r="A206" s="22" t="str">
        <f>VLOOKUP(Esselte[[#This Row],[Código]],BD_Produto[#All],7,FALSE)</f>
        <v>Não entrou em linha</v>
      </c>
      <c r="B206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6" s="23">
        <v>33063063748</v>
      </c>
      <c r="D206" s="22" t="s">
        <v>1641</v>
      </c>
      <c r="E206" s="22">
        <f>VLOOKUP(Esselte[[#This Row],[Código]],BD_Produto[],3,FALSE)</f>
        <v>0</v>
      </c>
      <c r="F206" s="22">
        <f>VLOOKUP(Esselte[[#This Row],[Código]],BD_Produto[],4,FALSE)</f>
        <v>0</v>
      </c>
      <c r="G206" s="24">
        <v>1</v>
      </c>
      <c r="H206" s="25"/>
      <c r="I206" s="22"/>
      <c r="J206" s="24"/>
      <c r="K206" s="24" t="str">
        <f>IFERROR(VLOOKUP(Esselte[[#This Row],[Código]],Importação!P:R,3,FALSE),"")</f>
        <v/>
      </c>
      <c r="L206" s="24">
        <f>IFERROR(VLOOKUP(Esselte[[#This Row],[Código]],Saldo[],3,FALSE),0)</f>
        <v>0</v>
      </c>
      <c r="M206" s="24">
        <f>SUM(Esselte[[#This Row],[Produção]:[Estoque]])</f>
        <v>0</v>
      </c>
      <c r="N206" s="24" t="str">
        <f>IFERROR(Esselte[[#This Row],[Estoque+Importação]]/Esselte[[#This Row],[Proj. de V. No prox. mes]],"Sem Projeção")</f>
        <v>Sem Projeção</v>
      </c>
      <c r="O206" s="24" t="str">
        <f>IF(OR(Esselte[[#This Row],[Status]]="Em Linha",Esselte[[#This Row],[Status]]="Componente",Esselte[[#This Row],[Status]]="Materia Prima"),Esselte[[#This Row],[Proj. de V. No prox. mes]]*10,"-")</f>
        <v>-</v>
      </c>
      <c r="P206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6" s="75">
        <f>VLOOKUP(Esselte[[#This Row],[Código]],Projeção[#All],15,FALSE)</f>
        <v>0</v>
      </c>
      <c r="R206" s="39">
        <f>VLOOKUP(Esselte[[#This Row],[Código]],Projeção[#All],14,FALSE)</f>
        <v>0</v>
      </c>
      <c r="S206" s="39">
        <f>IFERROR(VLOOKUP(Esselte[[#This Row],[Código]],Venda_mes[],2,FALSE),0)</f>
        <v>0</v>
      </c>
      <c r="T206" s="44" t="str">
        <f>IFERROR(Esselte[[#This Row],[V. No mes]]/Esselte[[#This Row],[Proj. de V. No mes]],"")</f>
        <v/>
      </c>
      <c r="U206" s="43">
        <f>VLOOKUP(Esselte[[#This Row],[Código]],Projeção[#All],14,FALSE)+VLOOKUP(Esselte[[#This Row],[Código]],Projeção[#All],13,FALSE)+VLOOKUP(Esselte[[#This Row],[Código]],Projeção[#All],12,FALSE)</f>
        <v>0</v>
      </c>
      <c r="V206" s="39">
        <f>IFERROR(VLOOKUP(Esselte[[#This Row],[Código]],Venda_3meses[],2,FALSE),0)</f>
        <v>0</v>
      </c>
      <c r="W206" s="44" t="str">
        <f>IFERROR(Esselte[[#This Row],[V. 3 meses]]/Esselte[[#This Row],[Proj. de V. 3 meses]],"")</f>
        <v/>
      </c>
      <c r="X206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6" s="39">
        <f>IFERROR(VLOOKUP(Esselte[[#This Row],[Código]],Venda_12meses[],2,FALSE),0)</f>
        <v>0</v>
      </c>
      <c r="Z206" s="44" t="str">
        <f>IFERROR(Esselte[[#This Row],[V. 12 meses]]/Esselte[[#This Row],[Proj. de V. 12 meses]],"")</f>
        <v/>
      </c>
      <c r="AA206" s="22"/>
    </row>
    <row r="207" spans="1:27" x14ac:dyDescent="0.25">
      <c r="A207" s="22" t="str">
        <f>VLOOKUP(Esselte[[#This Row],[Código]],BD_Produto[#All],7,FALSE)</f>
        <v>Não entrou em linha</v>
      </c>
      <c r="B207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7" s="23">
        <v>33063063749</v>
      </c>
      <c r="D207" s="22" t="s">
        <v>1642</v>
      </c>
      <c r="E207" s="22">
        <f>VLOOKUP(Esselte[[#This Row],[Código]],BD_Produto[],3,FALSE)</f>
        <v>0</v>
      </c>
      <c r="F207" s="22">
        <f>VLOOKUP(Esselte[[#This Row],[Código]],BD_Produto[],4,FALSE)</f>
        <v>0</v>
      </c>
      <c r="G207" s="24">
        <v>1</v>
      </c>
      <c r="H207" s="25"/>
      <c r="I207" s="22"/>
      <c r="J207" s="24"/>
      <c r="K207" s="24" t="str">
        <f>IFERROR(VLOOKUP(Esselte[[#This Row],[Código]],Importação!P:R,3,FALSE),"")</f>
        <v/>
      </c>
      <c r="L207" s="24">
        <f>IFERROR(VLOOKUP(Esselte[[#This Row],[Código]],Saldo[],3,FALSE),0)</f>
        <v>0</v>
      </c>
      <c r="M207" s="24">
        <f>SUM(Esselte[[#This Row],[Produção]:[Estoque]])</f>
        <v>0</v>
      </c>
      <c r="N207" s="24" t="str">
        <f>IFERROR(Esselte[[#This Row],[Estoque+Importação]]/Esselte[[#This Row],[Proj. de V. No prox. mes]],"Sem Projeção")</f>
        <v>Sem Projeção</v>
      </c>
      <c r="O207" s="24" t="str">
        <f>IF(OR(Esselte[[#This Row],[Status]]="Em Linha",Esselte[[#This Row],[Status]]="Componente",Esselte[[#This Row],[Status]]="Materia Prima"),Esselte[[#This Row],[Proj. de V. No prox. mes]]*10,"-")</f>
        <v>-</v>
      </c>
      <c r="P207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7" s="75">
        <f>VLOOKUP(Esselte[[#This Row],[Código]],Projeção[#All],15,FALSE)</f>
        <v>0</v>
      </c>
      <c r="R207" s="39">
        <f>VLOOKUP(Esselte[[#This Row],[Código]],Projeção[#All],14,FALSE)</f>
        <v>0</v>
      </c>
      <c r="S207" s="39">
        <f>IFERROR(VLOOKUP(Esselte[[#This Row],[Código]],Venda_mes[],2,FALSE),0)</f>
        <v>0</v>
      </c>
      <c r="T207" s="44" t="str">
        <f>IFERROR(Esselte[[#This Row],[V. No mes]]/Esselte[[#This Row],[Proj. de V. No mes]],"")</f>
        <v/>
      </c>
      <c r="U207" s="43">
        <f>VLOOKUP(Esselte[[#This Row],[Código]],Projeção[#All],14,FALSE)+VLOOKUP(Esselte[[#This Row],[Código]],Projeção[#All],13,FALSE)+VLOOKUP(Esselte[[#This Row],[Código]],Projeção[#All],12,FALSE)</f>
        <v>0</v>
      </c>
      <c r="V207" s="39">
        <f>IFERROR(VLOOKUP(Esselte[[#This Row],[Código]],Venda_3meses[],2,FALSE),0)</f>
        <v>0</v>
      </c>
      <c r="W207" s="44" t="str">
        <f>IFERROR(Esselte[[#This Row],[V. 3 meses]]/Esselte[[#This Row],[Proj. de V. 3 meses]],"")</f>
        <v/>
      </c>
      <c r="X207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7" s="39">
        <f>IFERROR(VLOOKUP(Esselte[[#This Row],[Código]],Venda_12meses[],2,FALSE),0)</f>
        <v>0</v>
      </c>
      <c r="Z207" s="44" t="str">
        <f>IFERROR(Esselte[[#This Row],[V. 12 meses]]/Esselte[[#This Row],[Proj. de V. 12 meses]],"")</f>
        <v/>
      </c>
      <c r="AA207" s="22"/>
    </row>
    <row r="208" spans="1:27" x14ac:dyDescent="0.25">
      <c r="A208" s="22" t="str">
        <f>VLOOKUP(Esselte[[#This Row],[Código]],BD_Produto[#All],7,FALSE)</f>
        <v>Não entrou em linha</v>
      </c>
      <c r="B208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8" s="23">
        <v>33063163750</v>
      </c>
      <c r="D208" s="22" t="s">
        <v>1643</v>
      </c>
      <c r="E208" s="22">
        <f>VLOOKUP(Esselte[[#This Row],[Código]],BD_Produto[],3,FALSE)</f>
        <v>0</v>
      </c>
      <c r="F208" s="22">
        <f>VLOOKUP(Esselte[[#This Row],[Código]],BD_Produto[],4,FALSE)</f>
        <v>0</v>
      </c>
      <c r="G208" s="24">
        <v>1</v>
      </c>
      <c r="H208" s="25"/>
      <c r="I208" s="22"/>
      <c r="J208" s="24"/>
      <c r="K208" s="24" t="str">
        <f>IFERROR(VLOOKUP(Esselte[[#This Row],[Código]],Importação!P:R,3,FALSE),"")</f>
        <v/>
      </c>
      <c r="L208" s="24">
        <f>IFERROR(VLOOKUP(Esselte[[#This Row],[Código]],Saldo[],3,FALSE),0)</f>
        <v>0</v>
      </c>
      <c r="M208" s="24">
        <f>SUM(Esselte[[#This Row],[Produção]:[Estoque]])</f>
        <v>0</v>
      </c>
      <c r="N208" s="24" t="str">
        <f>IFERROR(Esselte[[#This Row],[Estoque+Importação]]/Esselte[[#This Row],[Proj. de V. No prox. mes]],"Sem Projeção")</f>
        <v>Sem Projeção</v>
      </c>
      <c r="O208" s="24" t="str">
        <f>IF(OR(Esselte[[#This Row],[Status]]="Em Linha",Esselte[[#This Row],[Status]]="Componente",Esselte[[#This Row],[Status]]="Materia Prima"),Esselte[[#This Row],[Proj. de V. No prox. mes]]*10,"-")</f>
        <v>-</v>
      </c>
      <c r="P208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8" s="75">
        <f>VLOOKUP(Esselte[[#This Row],[Código]],Projeção[#All],15,FALSE)</f>
        <v>0</v>
      </c>
      <c r="R208" s="39">
        <f>VLOOKUP(Esselte[[#This Row],[Código]],Projeção[#All],14,FALSE)</f>
        <v>0</v>
      </c>
      <c r="S208" s="39">
        <f>IFERROR(VLOOKUP(Esselte[[#This Row],[Código]],Venda_mes[],2,FALSE),0)</f>
        <v>0</v>
      </c>
      <c r="T208" s="44" t="str">
        <f>IFERROR(Esselte[[#This Row],[V. No mes]]/Esselte[[#This Row],[Proj. de V. No mes]],"")</f>
        <v/>
      </c>
      <c r="U208" s="43">
        <f>VLOOKUP(Esselte[[#This Row],[Código]],Projeção[#All],14,FALSE)+VLOOKUP(Esselte[[#This Row],[Código]],Projeção[#All],13,FALSE)+VLOOKUP(Esselte[[#This Row],[Código]],Projeção[#All],12,FALSE)</f>
        <v>0</v>
      </c>
      <c r="V208" s="39">
        <f>IFERROR(VLOOKUP(Esselte[[#This Row],[Código]],Venda_3meses[],2,FALSE),0)</f>
        <v>0</v>
      </c>
      <c r="W208" s="44" t="str">
        <f>IFERROR(Esselte[[#This Row],[V. 3 meses]]/Esselte[[#This Row],[Proj. de V. 3 meses]],"")</f>
        <v/>
      </c>
      <c r="X208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8" s="39">
        <f>IFERROR(VLOOKUP(Esselte[[#This Row],[Código]],Venda_12meses[],2,FALSE),0)</f>
        <v>0</v>
      </c>
      <c r="Z208" s="44" t="str">
        <f>IFERROR(Esselte[[#This Row],[V. 12 meses]]/Esselte[[#This Row],[Proj. de V. 12 meses]],"")</f>
        <v/>
      </c>
      <c r="AA208" s="22"/>
    </row>
    <row r="209" spans="1:27" x14ac:dyDescent="0.25">
      <c r="A209" s="22" t="str">
        <f>VLOOKUP(Esselte[[#This Row],[Código]],BD_Produto[#All],7,FALSE)</f>
        <v>Não entrou em linha</v>
      </c>
      <c r="B209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09" s="23">
        <v>33063163751</v>
      </c>
      <c r="D209" s="22" t="s">
        <v>1644</v>
      </c>
      <c r="E209" s="22">
        <f>VLOOKUP(Esselte[[#This Row],[Código]],BD_Produto[],3,FALSE)</f>
        <v>0</v>
      </c>
      <c r="F209" s="22">
        <f>VLOOKUP(Esselte[[#This Row],[Código]],BD_Produto[],4,FALSE)</f>
        <v>0</v>
      </c>
      <c r="G209" s="24">
        <v>1</v>
      </c>
      <c r="H209" s="25"/>
      <c r="I209" s="22"/>
      <c r="J209" s="24"/>
      <c r="K209" s="24" t="str">
        <f>IFERROR(VLOOKUP(Esselte[[#This Row],[Código]],Importação!P:R,3,FALSE),"")</f>
        <v/>
      </c>
      <c r="L209" s="24">
        <f>IFERROR(VLOOKUP(Esselte[[#This Row],[Código]],Saldo[],3,FALSE),0)</f>
        <v>0</v>
      </c>
      <c r="M209" s="24">
        <f>SUM(Esselte[[#This Row],[Produção]:[Estoque]])</f>
        <v>0</v>
      </c>
      <c r="N209" s="24" t="str">
        <f>IFERROR(Esselte[[#This Row],[Estoque+Importação]]/Esselte[[#This Row],[Proj. de V. No prox. mes]],"Sem Projeção")</f>
        <v>Sem Projeção</v>
      </c>
      <c r="O209" s="24" t="str">
        <f>IF(OR(Esselte[[#This Row],[Status]]="Em Linha",Esselte[[#This Row],[Status]]="Componente",Esselte[[#This Row],[Status]]="Materia Prima"),Esselte[[#This Row],[Proj. de V. No prox. mes]]*10,"-")</f>
        <v>-</v>
      </c>
      <c r="P209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09" s="75">
        <f>VLOOKUP(Esselte[[#This Row],[Código]],Projeção[#All],15,FALSE)</f>
        <v>0</v>
      </c>
      <c r="R209" s="39">
        <f>VLOOKUP(Esselte[[#This Row],[Código]],Projeção[#All],14,FALSE)</f>
        <v>0</v>
      </c>
      <c r="S209" s="39">
        <f>IFERROR(VLOOKUP(Esselte[[#This Row],[Código]],Venda_mes[],2,FALSE),0)</f>
        <v>0</v>
      </c>
      <c r="T209" s="44" t="str">
        <f>IFERROR(Esselte[[#This Row],[V. No mes]]/Esselte[[#This Row],[Proj. de V. No mes]],"")</f>
        <v/>
      </c>
      <c r="U209" s="43">
        <f>VLOOKUP(Esselte[[#This Row],[Código]],Projeção[#All],14,FALSE)+VLOOKUP(Esselte[[#This Row],[Código]],Projeção[#All],13,FALSE)+VLOOKUP(Esselte[[#This Row],[Código]],Projeção[#All],12,FALSE)</f>
        <v>0</v>
      </c>
      <c r="V209" s="39">
        <f>IFERROR(VLOOKUP(Esselte[[#This Row],[Código]],Venda_3meses[],2,FALSE),0)</f>
        <v>0</v>
      </c>
      <c r="W209" s="44" t="str">
        <f>IFERROR(Esselte[[#This Row],[V. 3 meses]]/Esselte[[#This Row],[Proj. de V. 3 meses]],"")</f>
        <v/>
      </c>
      <c r="X209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09" s="39">
        <f>IFERROR(VLOOKUP(Esselte[[#This Row],[Código]],Venda_12meses[],2,FALSE),0)</f>
        <v>0</v>
      </c>
      <c r="Z209" s="44" t="str">
        <f>IFERROR(Esselte[[#This Row],[V. 12 meses]]/Esselte[[#This Row],[Proj. de V. 12 meses]],"")</f>
        <v/>
      </c>
      <c r="AA209" s="22"/>
    </row>
    <row r="210" spans="1:27" x14ac:dyDescent="0.25">
      <c r="A210" s="22" t="str">
        <f>VLOOKUP(Esselte[[#This Row],[Código]],BD_Produto[#All],7,FALSE)</f>
        <v>Não entrou em linha</v>
      </c>
      <c r="B210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10" s="23">
        <v>41063063752</v>
      </c>
      <c r="D210" s="22" t="s">
        <v>1645</v>
      </c>
      <c r="E210" s="22">
        <f>VLOOKUP(Esselte[[#This Row],[Código]],BD_Produto[],3,FALSE)</f>
        <v>0</v>
      </c>
      <c r="F210" s="22">
        <f>VLOOKUP(Esselte[[#This Row],[Código]],BD_Produto[],4,FALSE)</f>
        <v>0</v>
      </c>
      <c r="G210" s="24">
        <v>1</v>
      </c>
      <c r="H210" s="25"/>
      <c r="I210" s="22"/>
      <c r="J210" s="24"/>
      <c r="K210" s="24" t="str">
        <f>IFERROR(VLOOKUP(Esselte[[#This Row],[Código]],Importação!P:R,3,FALSE),"")</f>
        <v/>
      </c>
      <c r="L210" s="24">
        <f>IFERROR(VLOOKUP(Esselte[[#This Row],[Código]],Saldo[],3,FALSE),0)</f>
        <v>0</v>
      </c>
      <c r="M210" s="24">
        <f>SUM(Esselte[[#This Row],[Produção]:[Estoque]])</f>
        <v>0</v>
      </c>
      <c r="N210" s="24" t="str">
        <f>IFERROR(Esselte[[#This Row],[Estoque+Importação]]/Esselte[[#This Row],[Proj. de V. No prox. mes]],"Sem Projeção")</f>
        <v>Sem Projeção</v>
      </c>
      <c r="O210" s="24" t="str">
        <f>IF(OR(Esselte[[#This Row],[Status]]="Em Linha",Esselte[[#This Row],[Status]]="Componente",Esselte[[#This Row],[Status]]="Materia Prima"),Esselte[[#This Row],[Proj. de V. No prox. mes]]*10,"-")</f>
        <v>-</v>
      </c>
      <c r="P210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10" s="75">
        <f>VLOOKUP(Esselte[[#This Row],[Código]],Projeção[#All],15,FALSE)</f>
        <v>0</v>
      </c>
      <c r="R210" s="39">
        <f>VLOOKUP(Esselte[[#This Row],[Código]],Projeção[#All],14,FALSE)</f>
        <v>0</v>
      </c>
      <c r="S210" s="39">
        <f>IFERROR(VLOOKUP(Esselte[[#This Row],[Código]],Venda_mes[],2,FALSE),0)</f>
        <v>0</v>
      </c>
      <c r="T210" s="44" t="str">
        <f>IFERROR(Esselte[[#This Row],[V. No mes]]/Esselte[[#This Row],[Proj. de V. No mes]],"")</f>
        <v/>
      </c>
      <c r="U210" s="43">
        <f>VLOOKUP(Esselte[[#This Row],[Código]],Projeção[#All],14,FALSE)+VLOOKUP(Esselte[[#This Row],[Código]],Projeção[#All],13,FALSE)+VLOOKUP(Esselte[[#This Row],[Código]],Projeção[#All],12,FALSE)</f>
        <v>0</v>
      </c>
      <c r="V210" s="39">
        <f>IFERROR(VLOOKUP(Esselte[[#This Row],[Código]],Venda_3meses[],2,FALSE),0)</f>
        <v>0</v>
      </c>
      <c r="W210" s="44" t="str">
        <f>IFERROR(Esselte[[#This Row],[V. 3 meses]]/Esselte[[#This Row],[Proj. de V. 3 meses]],"")</f>
        <v/>
      </c>
      <c r="X210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10" s="39">
        <f>IFERROR(VLOOKUP(Esselte[[#This Row],[Código]],Venda_12meses[],2,FALSE),0)</f>
        <v>0</v>
      </c>
      <c r="Z210" s="44" t="str">
        <f>IFERROR(Esselte[[#This Row],[V. 12 meses]]/Esselte[[#This Row],[Proj. de V. 12 meses]],"")</f>
        <v/>
      </c>
      <c r="AA210" s="22"/>
    </row>
    <row r="211" spans="1:27" x14ac:dyDescent="0.25">
      <c r="A211" s="22" t="str">
        <f>VLOOKUP(Esselte[[#This Row],[Código]],BD_Produto[#All],7,FALSE)</f>
        <v>Não entrou em linha</v>
      </c>
      <c r="B211" s="22" t="str">
        <f>IF(OR(Esselte[[#This Row],[Status]]="Em linha",Esselte[[#This Row],[Status]]="Materia Prima",Esselte[[#This Row],[Status]]="Componente"),"ok",IF(Esselte[[#This Row],[Estoque+Importação]]&lt;1,"Tirar","ok"))</f>
        <v>Tirar</v>
      </c>
      <c r="C211" s="23">
        <v>41063063753</v>
      </c>
      <c r="D211" s="22" t="s">
        <v>1646</v>
      </c>
      <c r="E211" s="22">
        <f>VLOOKUP(Esselte[[#This Row],[Código]],BD_Produto[],3,FALSE)</f>
        <v>0</v>
      </c>
      <c r="F211" s="22">
        <f>VLOOKUP(Esselte[[#This Row],[Código]],BD_Produto[],4,FALSE)</f>
        <v>0</v>
      </c>
      <c r="G211" s="24">
        <v>1</v>
      </c>
      <c r="H211" s="25"/>
      <c r="I211" s="22"/>
      <c r="J211" s="24"/>
      <c r="K211" s="24" t="str">
        <f>IFERROR(VLOOKUP(Esselte[[#This Row],[Código]],Importação!P:R,3,FALSE),"")</f>
        <v/>
      </c>
      <c r="L211" s="24">
        <f>IFERROR(VLOOKUP(Esselte[[#This Row],[Código]],Saldo[],3,FALSE),0)</f>
        <v>0</v>
      </c>
      <c r="M211" s="24">
        <f>SUM(Esselte[[#This Row],[Produção]:[Estoque]])</f>
        <v>0</v>
      </c>
      <c r="N211" s="24" t="str">
        <f>IFERROR(Esselte[[#This Row],[Estoque+Importação]]/Esselte[[#This Row],[Proj. de V. No prox. mes]],"Sem Projeção")</f>
        <v>Sem Projeção</v>
      </c>
      <c r="O211" s="24" t="str">
        <f>IF(OR(Esselte[[#This Row],[Status]]="Em Linha",Esselte[[#This Row],[Status]]="Componente",Esselte[[#This Row],[Status]]="Materia Prima"),Esselte[[#This Row],[Proj. de V. No prox. mes]]*10,"-")</f>
        <v>-</v>
      </c>
      <c r="P211" s="34">
        <f>IF(OR(Esselte[[#This Row],[Status]]="Em Linha",Esselte[[#This Row],[Status]]="Componente",Esselte[[#This Row],[Status]]="Materia Prima"),Esselte[[#This Row],[estoque 10 meses]]-Esselte[[#This Row],[Estoque+Importação]],0)</f>
        <v>0</v>
      </c>
      <c r="Q211" s="75">
        <f>VLOOKUP(Esselte[[#This Row],[Código]],Projeção[#All],15,FALSE)</f>
        <v>0</v>
      </c>
      <c r="R211" s="39">
        <f>VLOOKUP(Esselte[[#This Row],[Código]],Projeção[#All],14,FALSE)</f>
        <v>0</v>
      </c>
      <c r="S211" s="39">
        <f>IFERROR(VLOOKUP(Esselte[[#This Row],[Código]],Venda_mes[],2,FALSE),0)</f>
        <v>0</v>
      </c>
      <c r="T211" s="44" t="str">
        <f>IFERROR(Esselte[[#This Row],[V. No mes]]/Esselte[[#This Row],[Proj. de V. No mes]],"")</f>
        <v/>
      </c>
      <c r="U211" s="43">
        <f>VLOOKUP(Esselte[[#This Row],[Código]],Projeção[#All],14,FALSE)+VLOOKUP(Esselte[[#This Row],[Código]],Projeção[#All],13,FALSE)+VLOOKUP(Esselte[[#This Row],[Código]],Projeção[#All],12,FALSE)</f>
        <v>0</v>
      </c>
      <c r="V211" s="39">
        <f>IFERROR(VLOOKUP(Esselte[[#This Row],[Código]],Venda_3meses[],2,FALSE),0)</f>
        <v>0</v>
      </c>
      <c r="W211" s="44" t="str">
        <f>IFERROR(Esselte[[#This Row],[V. 3 meses]]/Esselte[[#This Row],[Proj. de V. 3 meses]],"")</f>
        <v/>
      </c>
      <c r="X211" s="43">
        <f>VLOOKUP(Esselte[[#This Row],[Código]],Projeção[#All],14,FALSE)+VLOOKUP(Esselte[[#This Row],[Código]],Projeção[#All],13,FALSE)+VLOOKUP(Esselte[[#This Row],[Código]],Projeção[#All],12,FALSE)+VLOOKUP(Esselte[[#This Row],[Código]],Projeção[#All],11,FALSE)+VLOOKUP(Esselte[[#This Row],[Código]],Projeção[#All],10,FALSE)+VLOOKUP(Esselte[[#This Row],[Código]],Projeção[#All],9,FALSE)+VLOOKUP(Esselte[[#This Row],[Código]],Projeção[#All],8,FALSE)+VLOOKUP(Esselte[[#This Row],[Código]],Projeção[#All],7,FALSE)+VLOOKUP(Esselte[[#This Row],[Código]],Projeção[#All],6,FALSE)+VLOOKUP(Esselte[[#This Row],[Código]],Projeção[#All],5,FALSE)+VLOOKUP(Esselte[[#This Row],[Código]],Projeção[#All],4,FALSE)+VLOOKUP(Esselte[[#This Row],[Código]],Projeção[#All],3,FALSE)</f>
        <v>0</v>
      </c>
      <c r="Y211" s="39">
        <f>IFERROR(VLOOKUP(Esselte[[#This Row],[Código]],Venda_12meses[],2,FALSE),0)</f>
        <v>0</v>
      </c>
      <c r="Z211" s="44" t="str">
        <f>IFERROR(Esselte[[#This Row],[V. 12 meses]]/Esselte[[#This Row],[Proj. de V. 12 meses]],"")</f>
        <v/>
      </c>
      <c r="AA211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2:T2"/>
    <mergeCell ref="R3:R5"/>
    <mergeCell ref="S3:S5"/>
    <mergeCell ref="T3:T5"/>
    <mergeCell ref="Z3:Z5"/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E1808B3-C745-49EC-8B30-566B1DBE6A11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T7:T211 W7:W211 Z7:Z211</xm:sqref>
        </x14:conditionalFormatting>
        <x14:conditionalFormatting xmlns:xm="http://schemas.microsoft.com/office/excel/2006/main">
          <x14:cfRule type="iconSet" priority="1" id="{A227ADDA-7771-4B9D-A55F-80A639589B0A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P7:P211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A181"/>
  <sheetViews>
    <sheetView zoomScale="70" zoomScaleNormal="70" workbookViewId="0">
      <pane xSplit="4" ySplit="6" topLeftCell="E7" activePane="bottomRight" state="frozen"/>
      <selection activeCell="N7" sqref="N7"/>
      <selection pane="topRight" activeCell="N7" sqref="N7"/>
      <selection pane="bottomLeft" activeCell="N7" sqref="N7"/>
      <selection pane="bottomRight" activeCell="C7" sqref="A7:AA181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15" bestFit="1" customWidth="1"/>
    <col min="4" max="4" width="105" bestFit="1" customWidth="1"/>
    <col min="5" max="5" width="20" bestFit="1" customWidth="1"/>
    <col min="6" max="6" width="33.5703125" bestFit="1" customWidth="1"/>
    <col min="7" max="7" width="23.85546875" hidden="1" customWidth="1"/>
    <col min="8" max="8" width="14.85546875" hidden="1" customWidth="1"/>
    <col min="9" max="9" width="11.5703125" hidden="1" customWidth="1"/>
    <col min="10" max="10" width="13.5703125" hidden="1" customWidth="1"/>
    <col min="11" max="11" width="15.28515625" bestFit="1" customWidth="1"/>
    <col min="12" max="12" width="14.85546875" bestFit="1" customWidth="1"/>
    <col min="13" max="13" width="16.5703125" customWidth="1"/>
    <col min="14" max="14" width="15.42578125" customWidth="1"/>
    <col min="15" max="15" width="14.85546875" customWidth="1"/>
    <col min="16" max="16" width="14.140625" customWidth="1"/>
    <col min="17" max="17" width="9.28515625" style="78" customWidth="1"/>
    <col min="18" max="26" width="9.7109375" customWidth="1"/>
    <col min="27" max="27" width="66.85546875" customWidth="1"/>
  </cols>
  <sheetData>
    <row r="1" spans="1:27" s="19" customFormat="1" ht="13.15" customHeight="1" x14ac:dyDescent="0.25">
      <c r="A1" s="184" t="s">
        <v>1</v>
      </c>
      <c r="B1" s="184"/>
      <c r="C1" s="184" t="s">
        <v>0</v>
      </c>
      <c r="D1" s="184" t="s">
        <v>2</v>
      </c>
      <c r="E1" s="184" t="s">
        <v>3</v>
      </c>
      <c r="F1" s="184" t="s">
        <v>4</v>
      </c>
      <c r="G1" s="184" t="s">
        <v>5</v>
      </c>
      <c r="H1" s="184" t="s">
        <v>6</v>
      </c>
      <c r="I1" s="184" t="s">
        <v>1648</v>
      </c>
      <c r="J1" s="18" t="s">
        <v>36</v>
      </c>
      <c r="K1" s="18" t="s">
        <v>11</v>
      </c>
      <c r="L1" s="184" t="str">
        <f>"Estoque em "&amp;Saldo[[#Headers],[05/10/2017]]&amp;" Tamboré"</f>
        <v>Estoque em 05/10/2017 Tamboré</v>
      </c>
      <c r="M1" s="184" t="s">
        <v>1647</v>
      </c>
      <c r="N1" s="184" t="s">
        <v>14</v>
      </c>
      <c r="O1" s="184" t="s">
        <v>17</v>
      </c>
      <c r="P1" s="185" t="s">
        <v>18</v>
      </c>
      <c r="Q1" s="76" t="s">
        <v>19</v>
      </c>
      <c r="R1" s="187" t="s">
        <v>19</v>
      </c>
      <c r="S1" s="187"/>
      <c r="T1" s="188"/>
      <c r="U1" s="184" t="s">
        <v>32</v>
      </c>
      <c r="V1" s="184"/>
      <c r="W1" s="184"/>
      <c r="X1" s="184" t="s">
        <v>33</v>
      </c>
      <c r="Y1" s="184"/>
      <c r="Z1" s="184"/>
      <c r="AA1" s="184" t="s">
        <v>34</v>
      </c>
    </row>
    <row r="2" spans="1:27" s="19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2" t="s">
        <v>7</v>
      </c>
      <c r="K2" s="2" t="s">
        <v>7</v>
      </c>
      <c r="L2" s="184"/>
      <c r="M2" s="184"/>
      <c r="N2" s="184"/>
      <c r="O2" s="184"/>
      <c r="P2" s="185"/>
      <c r="Q2" s="77" t="str">
        <f>Projeção!O2</f>
        <v>Maio</v>
      </c>
      <c r="R2" s="197" t="str">
        <f>Vendas!A2</f>
        <v>Abril</v>
      </c>
      <c r="S2" s="190"/>
      <c r="T2" s="191"/>
      <c r="U2" s="184"/>
      <c r="V2" s="184"/>
      <c r="W2" s="184"/>
      <c r="X2" s="184"/>
      <c r="Y2" s="184"/>
      <c r="Z2" s="184"/>
      <c r="AA2" s="184"/>
    </row>
    <row r="3" spans="1:27" s="19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" t="s">
        <v>8</v>
      </c>
      <c r="K3" s="2" t="s">
        <v>8</v>
      </c>
      <c r="L3" s="184"/>
      <c r="M3" s="184"/>
      <c r="N3" s="184"/>
      <c r="O3" s="184"/>
      <c r="P3" s="185"/>
      <c r="Q3" s="192" t="s">
        <v>20</v>
      </c>
      <c r="R3" s="191" t="s">
        <v>20</v>
      </c>
      <c r="S3" s="194" t="s">
        <v>21</v>
      </c>
      <c r="T3" s="194" t="s">
        <v>22</v>
      </c>
      <c r="U3" s="184" t="s">
        <v>20</v>
      </c>
      <c r="V3" s="184" t="s">
        <v>21</v>
      </c>
      <c r="W3" s="184" t="s">
        <v>22</v>
      </c>
      <c r="X3" s="184" t="s">
        <v>20</v>
      </c>
      <c r="Y3" s="184" t="s">
        <v>21</v>
      </c>
      <c r="Z3" s="184" t="s">
        <v>22</v>
      </c>
      <c r="AA3" s="184"/>
    </row>
    <row r="4" spans="1:27" s="19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2" t="s">
        <v>9</v>
      </c>
      <c r="K4" s="2" t="s">
        <v>9</v>
      </c>
      <c r="L4" s="184"/>
      <c r="M4" s="184"/>
      <c r="N4" s="184"/>
      <c r="O4" s="184"/>
      <c r="P4" s="185"/>
      <c r="Q4" s="193"/>
      <c r="R4" s="195"/>
      <c r="S4" s="184"/>
      <c r="T4" s="184"/>
      <c r="U4" s="184"/>
      <c r="V4" s="184"/>
      <c r="W4" s="184"/>
      <c r="X4" s="184"/>
      <c r="Y4" s="184"/>
      <c r="Z4" s="184"/>
      <c r="AA4" s="184"/>
    </row>
    <row r="5" spans="1:27" s="19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2" t="s">
        <v>10</v>
      </c>
      <c r="K5" s="2" t="s">
        <v>10</v>
      </c>
      <c r="L5" s="184"/>
      <c r="M5" s="184"/>
      <c r="N5" s="184"/>
      <c r="O5" s="184"/>
      <c r="P5" s="185"/>
      <c r="Q5" s="194"/>
      <c r="R5" s="195"/>
      <c r="S5" s="184"/>
      <c r="T5" s="184"/>
      <c r="U5" s="184"/>
      <c r="V5" s="184"/>
      <c r="W5" s="184"/>
      <c r="X5" s="184"/>
      <c r="Y5" s="184"/>
      <c r="Z5" s="184"/>
      <c r="AA5" s="184"/>
    </row>
    <row r="6" spans="1:27" s="20" customFormat="1" ht="12" x14ac:dyDescent="0.2">
      <c r="A6" s="20" t="s">
        <v>1</v>
      </c>
      <c r="B6" s="20" t="s">
        <v>35</v>
      </c>
      <c r="C6" s="20" t="s">
        <v>0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 t="s">
        <v>1648</v>
      </c>
      <c r="J6" s="20" t="s">
        <v>36</v>
      </c>
      <c r="K6" s="20" t="s">
        <v>11</v>
      </c>
      <c r="L6" s="21" t="s">
        <v>12</v>
      </c>
      <c r="M6" s="20" t="s">
        <v>13</v>
      </c>
      <c r="N6" s="20" t="s">
        <v>15</v>
      </c>
      <c r="O6" s="20" t="s">
        <v>16</v>
      </c>
      <c r="P6" s="20" t="s">
        <v>18</v>
      </c>
      <c r="Q6" s="74" t="s">
        <v>2836</v>
      </c>
      <c r="R6" s="37" t="s">
        <v>23</v>
      </c>
      <c r="S6" s="37" t="s">
        <v>24</v>
      </c>
      <c r="T6" s="42" t="s">
        <v>25</v>
      </c>
      <c r="U6" s="41" t="s">
        <v>26</v>
      </c>
      <c r="V6" s="37" t="s">
        <v>27</v>
      </c>
      <c r="W6" s="42" t="s">
        <v>28</v>
      </c>
      <c r="X6" s="41" t="s">
        <v>29</v>
      </c>
      <c r="Y6" s="37" t="s">
        <v>30</v>
      </c>
      <c r="Z6" s="42" t="s">
        <v>31</v>
      </c>
      <c r="AA6" s="20" t="s">
        <v>34</v>
      </c>
    </row>
    <row r="7" spans="1:27" x14ac:dyDescent="0.25">
      <c r="A7" s="22" t="str">
        <f>VLOOKUP(Youts[[#This Row],[Código]],BD_Produto[#All],7,FALSE)</f>
        <v>Fora de linha</v>
      </c>
      <c r="B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7" s="23">
        <v>33102163130</v>
      </c>
      <c r="D7" s="22" t="s">
        <v>801</v>
      </c>
      <c r="E7" s="22" t="str">
        <f>VLOOKUP(Youts[[#This Row],[Código]],BD_Produto[],3,FALSE)</f>
        <v>Áudio</v>
      </c>
      <c r="F7" s="22" t="str">
        <f>VLOOKUP(Youts[[#This Row],[Código]],BD_Produto[],4,FALSE)</f>
        <v>Fone Headset</v>
      </c>
      <c r="G7" s="24"/>
      <c r="H7" s="25"/>
      <c r="I7" s="22"/>
      <c r="J7" s="24"/>
      <c r="K7" s="24" t="str">
        <f>IFERROR(VLOOKUP(Youts[[#This Row],[Código]],Importação!P:R,3,FALSE),"")</f>
        <v/>
      </c>
      <c r="L7" s="24">
        <f>IFERROR(VLOOKUP(Youts[[#This Row],[Código]],Saldo[],3,FALSE),0)</f>
        <v>0</v>
      </c>
      <c r="M7" s="24">
        <f>SUM(Youts[[#This Row],[Produção]:[Estoque]])</f>
        <v>0</v>
      </c>
      <c r="N7" s="24">
        <f>IFERROR(Youts[[#This Row],[Estoque+Importação]]/Youts[[#This Row],[Proj. de V. No prox. mes]],"Sem Projeção")</f>
        <v>0</v>
      </c>
      <c r="O7" s="24" t="str">
        <f>IF(OR(Youts[[#This Row],[Status]]="Em Linha",Youts[[#This Row],[Status]]="Componente",Youts[[#This Row],[Status]]="Materia Prima"),Youts[[#This Row],[Proj. de V. No prox. mes]]*10,"-")</f>
        <v>-</v>
      </c>
      <c r="P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" s="83">
        <f>VLOOKUP(Youts[[#This Row],[Código]],Projeção[#All],15,FALSE)</f>
        <v>0.46666666666666667</v>
      </c>
      <c r="R7" s="43">
        <f>VLOOKUP(Youts[[#This Row],[Código]],Projeção[#All],14,FALSE)</f>
        <v>5.5333333333333323</v>
      </c>
      <c r="S7" s="39">
        <f>IFERROR(VLOOKUP(Youts[[#This Row],[Código]],Venda_mes[],2,FALSE),0)</f>
        <v>0</v>
      </c>
      <c r="T7" s="44">
        <f>IFERROR(Youts[[#This Row],[V. No mes]]/Youts[[#This Row],[Proj. de V. No mes]],"")</f>
        <v>0</v>
      </c>
      <c r="U7" s="43">
        <f>VLOOKUP(Youts[[#This Row],[Código]],Projeção[#All],14,FALSE)+VLOOKUP(Youts[[#This Row],[Código]],Projeção[#All],13,FALSE)+VLOOKUP(Youts[[#This Row],[Código]],Projeção[#All],12,FALSE)</f>
        <v>20.5</v>
      </c>
      <c r="V7" s="39">
        <f>IFERROR(VLOOKUP(Youts[[#This Row],[Código]],Venda_3meses[],2,FALSE),0)</f>
        <v>0</v>
      </c>
      <c r="W7" s="44">
        <f>IFERROR(Youts[[#This Row],[V. 3 meses]]/Youts[[#This Row],[Proj. de V. 3 meses]],"")</f>
        <v>0</v>
      </c>
      <c r="X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247.26666666666665</v>
      </c>
      <c r="Y7" s="39">
        <f>IFERROR(VLOOKUP(Youts[[#This Row],[Código]],Venda_12meses[],2,FALSE),0)</f>
        <v>14</v>
      </c>
      <c r="Z7" s="44">
        <f>IFERROR(Youts[[#This Row],[V. 12 meses]]/Youts[[#This Row],[Proj. de V. 12 meses]],"")</f>
        <v>5.6619034780264227E-2</v>
      </c>
      <c r="AA7" s="22" t="s">
        <v>1723</v>
      </c>
    </row>
    <row r="8" spans="1:27" x14ac:dyDescent="0.25">
      <c r="A8" s="22" t="str">
        <f>VLOOKUP(Youts[[#This Row],[Código]],BD_Produto[#All],7,FALSE)</f>
        <v>Fora de linha</v>
      </c>
      <c r="B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" s="23">
        <v>33102163132</v>
      </c>
      <c r="D8" s="22" t="s">
        <v>803</v>
      </c>
      <c r="E8" s="22" t="str">
        <f>VLOOKUP(Youts[[#This Row],[Código]],BD_Produto[],3,FALSE)</f>
        <v>Áudio</v>
      </c>
      <c r="F8" s="22" t="str">
        <f>VLOOKUP(Youts[[#This Row],[Código]],BD_Produto[],4,FALSE)</f>
        <v>Fone Headset</v>
      </c>
      <c r="G8" s="24"/>
      <c r="H8" s="25"/>
      <c r="I8" s="22"/>
      <c r="J8" s="24"/>
      <c r="K8" s="24" t="str">
        <f>IFERROR(VLOOKUP(Youts[[#This Row],[Código]],Importação!P:R,3,FALSE),"")</f>
        <v/>
      </c>
      <c r="L8" s="24">
        <f>IFERROR(VLOOKUP(Youts[[#This Row],[Código]],Saldo[],3,FALSE),0)</f>
        <v>0</v>
      </c>
      <c r="M8" s="24">
        <f>SUM(Youts[[#This Row],[Produção]:[Estoque]])</f>
        <v>0</v>
      </c>
      <c r="N8" s="24">
        <f>IFERROR(Youts[[#This Row],[Estoque+Importação]]/Youts[[#This Row],[Proj. de V. No prox. mes]],"Sem Projeção")</f>
        <v>0</v>
      </c>
      <c r="O8" s="24" t="str">
        <f>IF(OR(Youts[[#This Row],[Status]]="Em Linha",Youts[[#This Row],[Status]]="Componente",Youts[[#This Row],[Status]]="Materia Prima"),Youts[[#This Row],[Proj. de V. No prox. mes]]*10,"-")</f>
        <v>-</v>
      </c>
      <c r="P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" s="83">
        <f>VLOOKUP(Youts[[#This Row],[Código]],Projeção[#All],15,FALSE)</f>
        <v>1.0666666666666667</v>
      </c>
      <c r="R8" s="43">
        <f>VLOOKUP(Youts[[#This Row],[Código]],Projeção[#All],14,FALSE)</f>
        <v>5.7333333333333334</v>
      </c>
      <c r="S8" s="39">
        <f>IFERROR(VLOOKUP(Youts[[#This Row],[Código]],Venda_mes[],2,FALSE),0)</f>
        <v>0</v>
      </c>
      <c r="T8" s="44">
        <f>IFERROR(Youts[[#This Row],[V. No mes]]/Youts[[#This Row],[Proj. de V. No mes]],"")</f>
        <v>0</v>
      </c>
      <c r="U8" s="43">
        <f>VLOOKUP(Youts[[#This Row],[Código]],Projeção[#All],14,FALSE)+VLOOKUP(Youts[[#This Row],[Código]],Projeção[#All],13,FALSE)+VLOOKUP(Youts[[#This Row],[Código]],Projeção[#All],12,FALSE)</f>
        <v>22.366666666666667</v>
      </c>
      <c r="V8" s="39">
        <f>IFERROR(VLOOKUP(Youts[[#This Row],[Código]],Venda_3meses[],2,FALSE),0)</f>
        <v>0</v>
      </c>
      <c r="W8" s="44">
        <f>IFERROR(Youts[[#This Row],[V. 3 meses]]/Youts[[#This Row],[Proj. de V. 3 meses]],"")</f>
        <v>0</v>
      </c>
      <c r="X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252.06666666666663</v>
      </c>
      <c r="Y8" s="39">
        <f>IFERROR(VLOOKUP(Youts[[#This Row],[Código]],Venda_12meses[],2,FALSE),0)</f>
        <v>22</v>
      </c>
      <c r="Z8" s="44">
        <f>IFERROR(Youts[[#This Row],[V. 12 meses]]/Youts[[#This Row],[Proj. de V. 12 meses]],"")</f>
        <v>8.7278497751917497E-2</v>
      </c>
      <c r="AA8" s="22" t="s">
        <v>1723</v>
      </c>
    </row>
    <row r="9" spans="1:27" x14ac:dyDescent="0.25">
      <c r="A9" s="22" t="str">
        <f>VLOOKUP(Youts[[#This Row],[Código]],BD_Produto[#All],7,FALSE)</f>
        <v>Fora de linha</v>
      </c>
      <c r="B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" s="23">
        <v>33102163124</v>
      </c>
      <c r="D9" s="22" t="s">
        <v>797</v>
      </c>
      <c r="E9" s="22" t="str">
        <f>VLOOKUP(Youts[[#This Row],[Código]],BD_Produto[],3,FALSE)</f>
        <v>Áudio</v>
      </c>
      <c r="F9" s="22" t="str">
        <f>VLOOKUP(Youts[[#This Row],[Código]],BD_Produto[],4,FALSE)</f>
        <v>Fone de Ouvido</v>
      </c>
      <c r="G9" s="24"/>
      <c r="H9" s="25"/>
      <c r="I9" s="22"/>
      <c r="J9" s="24"/>
      <c r="K9" s="24" t="str">
        <f>IFERROR(VLOOKUP(Youts[[#This Row],[Código]],Importação!P:R,3,FALSE),"")</f>
        <v/>
      </c>
      <c r="L9" s="24">
        <f>IFERROR(VLOOKUP(Youts[[#This Row],[Código]],Saldo[],3,FALSE),0)</f>
        <v>0</v>
      </c>
      <c r="M9" s="24">
        <f>SUM(Youts[[#This Row],[Produção]:[Estoque]])</f>
        <v>0</v>
      </c>
      <c r="N9" s="24">
        <f>IFERROR(Youts[[#This Row],[Estoque+Importação]]/Youts[[#This Row],[Proj. de V. No prox. mes]],"Sem Projeção")</f>
        <v>0</v>
      </c>
      <c r="O9" s="24" t="str">
        <f>IF(OR(Youts[[#This Row],[Status]]="Em Linha",Youts[[#This Row],[Status]]="Componente",Youts[[#This Row],[Status]]="Materia Prima"),Youts[[#This Row],[Proj. de V. No prox. mes]]*10,"-")</f>
        <v>-</v>
      </c>
      <c r="P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" s="83">
        <f>VLOOKUP(Youts[[#This Row],[Código]],Projeção[#All],15,FALSE)</f>
        <v>39.966666666666661</v>
      </c>
      <c r="R9" s="43">
        <f>VLOOKUP(Youts[[#This Row],[Código]],Projeção[#All],14,FALSE)</f>
        <v>34.033333333333331</v>
      </c>
      <c r="S9" s="39">
        <f>IFERROR(VLOOKUP(Youts[[#This Row],[Código]],Venda_mes[],2,FALSE),0)</f>
        <v>66</v>
      </c>
      <c r="T9" s="44">
        <f>IFERROR(Youts[[#This Row],[V. No mes]]/Youts[[#This Row],[Proj. de V. No mes]],"")</f>
        <v>1.9392752203721841</v>
      </c>
      <c r="U9" s="43">
        <f>VLOOKUP(Youts[[#This Row],[Código]],Projeção[#All],14,FALSE)+VLOOKUP(Youts[[#This Row],[Código]],Projeção[#All],13,FALSE)+VLOOKUP(Youts[[#This Row],[Código]],Projeção[#All],12,FALSE)</f>
        <v>88.499999999999986</v>
      </c>
      <c r="V9" s="39">
        <f>IFERROR(VLOOKUP(Youts[[#This Row],[Código]],Venda_3meses[],2,FALSE),0)</f>
        <v>131</v>
      </c>
      <c r="W9" s="44">
        <f>IFERROR(Youts[[#This Row],[V. 3 meses]]/Youts[[#This Row],[Proj. de V. 3 meses]],"")</f>
        <v>1.4802259887005653</v>
      </c>
      <c r="X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396.40000000000009</v>
      </c>
      <c r="Y9" s="39">
        <f>IFERROR(VLOOKUP(Youts[[#This Row],[Código]],Venda_12meses[],2,FALSE),0)</f>
        <v>411</v>
      </c>
      <c r="Z9" s="44">
        <f>IFERROR(Youts[[#This Row],[V. 12 meses]]/Youts[[#This Row],[Proj. de V. 12 meses]],"")</f>
        <v>1.0368314833501511</v>
      </c>
      <c r="AA9" s="22" t="s">
        <v>1723</v>
      </c>
    </row>
    <row r="10" spans="1:27" x14ac:dyDescent="0.25">
      <c r="A10" s="22" t="str">
        <f>VLOOKUP(Youts[[#This Row],[Código]],BD_Produto[#All],7,FALSE)</f>
        <v>Fora de linha</v>
      </c>
      <c r="B10" s="22" t="str">
        <f>IF(OR(Youts[[#This Row],[Status]]="Em linha",Youts[[#This Row],[Status]]="Materia Prima",Youts[[#This Row],[Status]]="Componente"),"ok",IF(Youts[[#This Row],[Estoque+Importação]]&lt;1,"Tirar","ok"))</f>
        <v>ok</v>
      </c>
      <c r="C10" s="23">
        <v>33105263888</v>
      </c>
      <c r="D10" s="22" t="s">
        <v>1229</v>
      </c>
      <c r="E10" s="22" t="str">
        <f>VLOOKUP(Youts[[#This Row],[Código]],BD_Produto[],3,FALSE)</f>
        <v>Mobile</v>
      </c>
      <c r="F10" s="22" t="str">
        <f>VLOOKUP(Youts[[#This Row],[Código]],BD_Produto[],4,FALSE)</f>
        <v>Carregador</v>
      </c>
      <c r="G10" s="24"/>
      <c r="H10" s="25"/>
      <c r="I10" s="22"/>
      <c r="J10" s="24"/>
      <c r="K10" s="24" t="str">
        <f>IFERROR(VLOOKUP(Youts[[#This Row],[Código]],Importação!P:R,3,FALSE),"")</f>
        <v/>
      </c>
      <c r="L10" s="24">
        <f>IFERROR(VLOOKUP(Youts[[#This Row],[Código]],Saldo[],3,FALSE),0)</f>
        <v>623</v>
      </c>
      <c r="M10" s="24">
        <f>SUM(Youts[[#This Row],[Produção]:[Estoque]])</f>
        <v>623</v>
      </c>
      <c r="N10" s="24">
        <f>IFERROR(Youts[[#This Row],[Estoque+Importação]]/Youts[[#This Row],[Proj. de V. No prox. mes]],"Sem Projeção")</f>
        <v>70.528301886792448</v>
      </c>
      <c r="O10" s="24" t="str">
        <f>IF(OR(Youts[[#This Row],[Status]]="Em Linha",Youts[[#This Row],[Status]]="Componente",Youts[[#This Row],[Status]]="Materia Prima"),Youts[[#This Row],[Proj. de V. No prox. mes]]*10,"-")</f>
        <v>-</v>
      </c>
      <c r="P1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" s="83">
        <f>VLOOKUP(Youts[[#This Row],[Código]],Projeção[#All],15,FALSE)</f>
        <v>8.8333333333333339</v>
      </c>
      <c r="R10" s="43">
        <f>VLOOKUP(Youts[[#This Row],[Código]],Projeção[#All],14,FALSE)</f>
        <v>1.9333333333333331</v>
      </c>
      <c r="S10" s="39">
        <f>IFERROR(VLOOKUP(Youts[[#This Row],[Código]],Venda_mes[],2,FALSE),0)</f>
        <v>2</v>
      </c>
      <c r="T10" s="44">
        <f>IFERROR(Youts[[#This Row],[V. No mes]]/Youts[[#This Row],[Proj. de V. No mes]],"")</f>
        <v>1.0344827586206897</v>
      </c>
      <c r="U10" s="43">
        <f>VLOOKUP(Youts[[#This Row],[Código]],Projeção[#All],14,FALSE)+VLOOKUP(Youts[[#This Row],[Código]],Projeção[#All],13,FALSE)+VLOOKUP(Youts[[#This Row],[Código]],Projeção[#All],12,FALSE)</f>
        <v>3.7666666666666666</v>
      </c>
      <c r="V10" s="39">
        <f>IFERROR(VLOOKUP(Youts[[#This Row],[Código]],Venda_3meses[],2,FALSE),0)</f>
        <v>14</v>
      </c>
      <c r="W10" s="44">
        <f>IFERROR(Youts[[#This Row],[V. 3 meses]]/Youts[[#This Row],[Proj. de V. 3 meses]],"")</f>
        <v>3.7168141592920354</v>
      </c>
      <c r="X1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44.199999999999996</v>
      </c>
      <c r="Y10" s="39">
        <f>IFERROR(VLOOKUP(Youts[[#This Row],[Código]],Venda_12meses[],2,FALSE),0)</f>
        <v>151</v>
      </c>
      <c r="Z10" s="44">
        <f>IFERROR(Youts[[#This Row],[V. 12 meses]]/Youts[[#This Row],[Proj. de V. 12 meses]],"")</f>
        <v>3.4162895927601813</v>
      </c>
      <c r="AA10" s="22"/>
    </row>
    <row r="11" spans="1:27" x14ac:dyDescent="0.25">
      <c r="A11" s="22" t="str">
        <f>VLOOKUP(Youts[[#This Row],[Código]],BD_Produto[#All],7,FALSE)</f>
        <v>Fora de linha</v>
      </c>
      <c r="B1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" s="23">
        <v>33102163126</v>
      </c>
      <c r="D11" s="22" t="s">
        <v>799</v>
      </c>
      <c r="E11" s="22" t="str">
        <f>VLOOKUP(Youts[[#This Row],[Código]],BD_Produto[],3,FALSE)</f>
        <v>Áudio</v>
      </c>
      <c r="F11" s="22" t="str">
        <f>VLOOKUP(Youts[[#This Row],[Código]],BD_Produto[],4,FALSE)</f>
        <v>Fone de Ouvido</v>
      </c>
      <c r="G11" s="24"/>
      <c r="H11" s="25"/>
      <c r="I11" s="22"/>
      <c r="J11" s="24"/>
      <c r="K11" s="24" t="str">
        <f>IFERROR(VLOOKUP(Youts[[#This Row],[Código]],Importação!P:R,3,FALSE),"")</f>
        <v/>
      </c>
      <c r="L11" s="24">
        <f>IFERROR(VLOOKUP(Youts[[#This Row],[Código]],Saldo[],3,FALSE),0)</f>
        <v>0</v>
      </c>
      <c r="M11" s="24">
        <f>SUM(Youts[[#This Row],[Produção]:[Estoque]])</f>
        <v>0</v>
      </c>
      <c r="N11" s="24">
        <f>IFERROR(Youts[[#This Row],[Estoque+Importação]]/Youts[[#This Row],[Proj. de V. No prox. mes]],"Sem Projeção")</f>
        <v>0</v>
      </c>
      <c r="O11" s="24" t="str">
        <f>IF(OR(Youts[[#This Row],[Status]]="Em Linha",Youts[[#This Row],[Status]]="Componente",Youts[[#This Row],[Status]]="Materia Prima"),Youts[[#This Row],[Proj. de V. No prox. mes]]*10,"-")</f>
        <v>-</v>
      </c>
      <c r="P1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" s="83">
        <f>VLOOKUP(Youts[[#This Row],[Código]],Projeção[#All],15,FALSE)</f>
        <v>23.36666666666666</v>
      </c>
      <c r="R11" s="43">
        <f>VLOOKUP(Youts[[#This Row],[Código]],Projeção[#All],14,FALSE)</f>
        <v>25.766666666666669</v>
      </c>
      <c r="S11" s="39">
        <f>IFERROR(VLOOKUP(Youts[[#This Row],[Código]],Venda_mes[],2,FALSE),0)</f>
        <v>41</v>
      </c>
      <c r="T11" s="44">
        <f>IFERROR(Youts[[#This Row],[V. No mes]]/Youts[[#This Row],[Proj. de V. No mes]],"")</f>
        <v>1.5912031047865458</v>
      </c>
      <c r="U11" s="43">
        <f>VLOOKUP(Youts[[#This Row],[Código]],Projeção[#All],14,FALSE)+VLOOKUP(Youts[[#This Row],[Código]],Projeção[#All],13,FALSE)+VLOOKUP(Youts[[#This Row],[Código]],Projeção[#All],12,FALSE)</f>
        <v>68.333333333333329</v>
      </c>
      <c r="V11" s="39">
        <f>IFERROR(VLOOKUP(Youts[[#This Row],[Código]],Venda_3meses[],2,FALSE),0)</f>
        <v>70</v>
      </c>
      <c r="W11" s="44">
        <f>IFERROR(Youts[[#This Row],[V. 3 meses]]/Youts[[#This Row],[Proj. de V. 3 meses]],"")</f>
        <v>1.024390243902439</v>
      </c>
      <c r="X1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297.5</v>
      </c>
      <c r="Y11" s="39">
        <f>IFERROR(VLOOKUP(Youts[[#This Row],[Código]],Venda_12meses[],2,FALSE),0)</f>
        <v>277</v>
      </c>
      <c r="Z11" s="44">
        <f>IFERROR(Youts[[#This Row],[V. 12 meses]]/Youts[[#This Row],[Proj. de V. 12 meses]],"")</f>
        <v>0.93109243697478994</v>
      </c>
      <c r="AA11" s="22" t="s">
        <v>1723</v>
      </c>
    </row>
    <row r="12" spans="1:27" x14ac:dyDescent="0.25">
      <c r="A12" s="22" t="str">
        <f>VLOOKUP(Youts[[#This Row],[Código]],BD_Produto[#All],7,FALSE)</f>
        <v>Fora de linha</v>
      </c>
      <c r="B1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" s="23">
        <v>33102163131</v>
      </c>
      <c r="D12" s="22" t="s">
        <v>802</v>
      </c>
      <c r="E12" s="22" t="str">
        <f>VLOOKUP(Youts[[#This Row],[Código]],BD_Produto[],3,FALSE)</f>
        <v>Áudio</v>
      </c>
      <c r="F12" s="22" t="str">
        <f>VLOOKUP(Youts[[#This Row],[Código]],BD_Produto[],4,FALSE)</f>
        <v>Fone Headset</v>
      </c>
      <c r="G12" s="24"/>
      <c r="H12" s="25"/>
      <c r="I12" s="22"/>
      <c r="J12" s="24"/>
      <c r="K12" s="24" t="str">
        <f>IFERROR(VLOOKUP(Youts[[#This Row],[Código]],Importação!P:R,3,FALSE),"")</f>
        <v/>
      </c>
      <c r="L12" s="24">
        <f>IFERROR(VLOOKUP(Youts[[#This Row],[Código]],Saldo[],3,FALSE),0)</f>
        <v>0</v>
      </c>
      <c r="M12" s="24">
        <f>SUM(Youts[[#This Row],[Produção]:[Estoque]])</f>
        <v>0</v>
      </c>
      <c r="N12" s="24">
        <f>IFERROR(Youts[[#This Row],[Estoque+Importação]]/Youts[[#This Row],[Proj. de V. No prox. mes]],"Sem Projeção")</f>
        <v>0</v>
      </c>
      <c r="O12" s="24" t="str">
        <f>IF(OR(Youts[[#This Row],[Status]]="Em Linha",Youts[[#This Row],[Status]]="Componente",Youts[[#This Row],[Status]]="Materia Prima"),Youts[[#This Row],[Proj. de V. No prox. mes]]*10,"-")</f>
        <v>-</v>
      </c>
      <c r="P1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" s="83">
        <f>VLOOKUP(Youts[[#This Row],[Código]],Projeção[#All],15,FALSE)</f>
        <v>2.0333333333333337</v>
      </c>
      <c r="R12" s="43">
        <f>VLOOKUP(Youts[[#This Row],[Código]],Projeção[#All],14,FALSE)</f>
        <v>5.4666666666666659</v>
      </c>
      <c r="S12" s="39">
        <f>IFERROR(VLOOKUP(Youts[[#This Row],[Código]],Venda_mes[],2,FALSE),0)</f>
        <v>0</v>
      </c>
      <c r="T12" s="44">
        <f>IFERROR(Youts[[#This Row],[V. No mes]]/Youts[[#This Row],[Proj. de V. No mes]],"")</f>
        <v>0</v>
      </c>
      <c r="U12" s="43">
        <f>VLOOKUP(Youts[[#This Row],[Código]],Projeção[#All],14,FALSE)+VLOOKUP(Youts[[#This Row],[Código]],Projeção[#All],13,FALSE)+VLOOKUP(Youts[[#This Row],[Código]],Projeção[#All],12,FALSE)</f>
        <v>18</v>
      </c>
      <c r="V12" s="39">
        <f>IFERROR(VLOOKUP(Youts[[#This Row],[Código]],Venda_3meses[],2,FALSE),0)</f>
        <v>6</v>
      </c>
      <c r="W12" s="44">
        <f>IFERROR(Youts[[#This Row],[V. 3 meses]]/Youts[[#This Row],[Proj. de V. 3 meses]],"")</f>
        <v>0.33333333333333331</v>
      </c>
      <c r="X1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187.56666666666666</v>
      </c>
      <c r="Y12" s="39">
        <f>IFERROR(VLOOKUP(Youts[[#This Row],[Código]],Venda_12meses[],2,FALSE),0)</f>
        <v>23</v>
      </c>
      <c r="Z12" s="44">
        <f>IFERROR(Youts[[#This Row],[V. 12 meses]]/Youts[[#This Row],[Proj. de V. 12 meses]],"")</f>
        <v>0.12262306735382975</v>
      </c>
      <c r="AA12" s="22" t="s">
        <v>1723</v>
      </c>
    </row>
    <row r="13" spans="1:27" x14ac:dyDescent="0.25">
      <c r="A13" s="22" t="str">
        <f>VLOOKUP(Youts[[#This Row],[Código]],BD_Produto[#All],7,FALSE)</f>
        <v>Fora de linha</v>
      </c>
      <c r="B1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" s="23">
        <v>33102163127</v>
      </c>
      <c r="D13" s="22" t="s">
        <v>800</v>
      </c>
      <c r="E13" s="22" t="str">
        <f>VLOOKUP(Youts[[#This Row],[Código]],BD_Produto[],3,FALSE)</f>
        <v>Áudio</v>
      </c>
      <c r="F13" s="22" t="str">
        <f>VLOOKUP(Youts[[#This Row],[Código]],BD_Produto[],4,FALSE)</f>
        <v>Fone de Ouvido</v>
      </c>
      <c r="G13" s="24"/>
      <c r="H13" s="25"/>
      <c r="I13" s="22"/>
      <c r="J13" s="24"/>
      <c r="K13" s="24" t="str">
        <f>IFERROR(VLOOKUP(Youts[[#This Row],[Código]],Importação!P:R,3,FALSE),"")</f>
        <v/>
      </c>
      <c r="L13" s="24">
        <f>IFERROR(VLOOKUP(Youts[[#This Row],[Código]],Saldo[],3,FALSE),0)</f>
        <v>0</v>
      </c>
      <c r="M13" s="24">
        <f>SUM(Youts[[#This Row],[Produção]:[Estoque]])</f>
        <v>0</v>
      </c>
      <c r="N13" s="24">
        <f>IFERROR(Youts[[#This Row],[Estoque+Importação]]/Youts[[#This Row],[Proj. de V. No prox. mes]],"Sem Projeção")</f>
        <v>0</v>
      </c>
      <c r="O13" s="24" t="str">
        <f>IF(OR(Youts[[#This Row],[Status]]="Em Linha",Youts[[#This Row],[Status]]="Componente",Youts[[#This Row],[Status]]="Materia Prima"),Youts[[#This Row],[Proj. de V. No prox. mes]]*10,"-")</f>
        <v>-</v>
      </c>
      <c r="P1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" s="75">
        <f>VLOOKUP(Youts[[#This Row],[Código]],Projeção[#All],15,FALSE)</f>
        <v>15.499999999999998</v>
      </c>
      <c r="R13" s="39">
        <f>VLOOKUP(Youts[[#This Row],[Código]],Projeção[#All],14,FALSE)</f>
        <v>22.466666666666669</v>
      </c>
      <c r="S13" s="39">
        <f>IFERROR(VLOOKUP(Youts[[#This Row],[Código]],Venda_mes[],2,FALSE),0)</f>
        <v>20</v>
      </c>
      <c r="T13" s="44">
        <f>IFERROR(Youts[[#This Row],[V. No mes]]/Youts[[#This Row],[Proj. de V. No mes]],"")</f>
        <v>0.89020771513353103</v>
      </c>
      <c r="U13" s="43">
        <f>VLOOKUP(Youts[[#This Row],[Código]],Projeção[#All],14,FALSE)+VLOOKUP(Youts[[#This Row],[Código]],Projeção[#All],13,FALSE)+VLOOKUP(Youts[[#This Row],[Código]],Projeção[#All],12,FALSE)</f>
        <v>51.6</v>
      </c>
      <c r="V13" s="39">
        <f>IFERROR(VLOOKUP(Youts[[#This Row],[Código]],Venda_3meses[],2,FALSE),0)</f>
        <v>45</v>
      </c>
      <c r="W13" s="44">
        <f>IFERROR(Youts[[#This Row],[V. 3 meses]]/Youts[[#This Row],[Proj. de V. 3 meses]],"")</f>
        <v>0.87209302325581395</v>
      </c>
      <c r="X1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203.43333333333331</v>
      </c>
      <c r="Y13" s="39">
        <f>IFERROR(VLOOKUP(Youts[[#This Row],[Código]],Venda_12meses[],2,FALSE),0)</f>
        <v>195</v>
      </c>
      <c r="Z13" s="44">
        <f>IFERROR(Youts[[#This Row],[V. 12 meses]]/Youts[[#This Row],[Proj. de V. 12 meses]],"")</f>
        <v>0.95854497787973136</v>
      </c>
      <c r="AA13" s="22" t="s">
        <v>1723</v>
      </c>
    </row>
    <row r="14" spans="1:27" x14ac:dyDescent="0.25">
      <c r="A14" s="22" t="str">
        <f>VLOOKUP(Youts[[#This Row],[Código]],BD_Produto[#All],7,FALSE)</f>
        <v>Fora de linha</v>
      </c>
      <c r="B1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" s="23">
        <v>33102164050</v>
      </c>
      <c r="D14" s="22" t="s">
        <v>1197</v>
      </c>
      <c r="E14" s="22" t="str">
        <f>VLOOKUP(Youts[[#This Row],[Código]],BD_Produto[],3,FALSE)</f>
        <v>Áudio</v>
      </c>
      <c r="F14" s="22" t="str">
        <f>VLOOKUP(Youts[[#This Row],[Código]],BD_Produto[],4,FALSE)</f>
        <v>Fone de Ouvido - Headphone</v>
      </c>
      <c r="G14" s="24"/>
      <c r="H14" s="25"/>
      <c r="I14" s="22"/>
      <c r="J14" s="24"/>
      <c r="K14" s="24" t="str">
        <f>IFERROR(VLOOKUP(Youts[[#This Row],[Código]],Importação!P:R,3,FALSE),"")</f>
        <v/>
      </c>
      <c r="L14" s="24">
        <f>IFERROR(VLOOKUP(Youts[[#This Row],[Código]],Saldo[],3,FALSE),0)</f>
        <v>0</v>
      </c>
      <c r="M14" s="24">
        <f>SUM(Youts[[#This Row],[Produção]:[Estoque]])</f>
        <v>0</v>
      </c>
      <c r="N14" s="24">
        <f>IFERROR(Youts[[#This Row],[Estoque+Importação]]/Youts[[#This Row],[Proj. de V. No prox. mes]],"Sem Projeção")</f>
        <v>0</v>
      </c>
      <c r="O14" s="24" t="str">
        <f>IF(OR(Youts[[#This Row],[Status]]="Em Linha",Youts[[#This Row],[Status]]="Componente",Youts[[#This Row],[Status]]="Materia Prima"),Youts[[#This Row],[Proj. de V. No prox. mes]]*10,"-")</f>
        <v>-</v>
      </c>
      <c r="P1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" s="75">
        <f>VLOOKUP(Youts[[#This Row],[Código]],Projeção[#All],15,FALSE)</f>
        <v>17.766666666666666</v>
      </c>
      <c r="R14" s="39">
        <f>VLOOKUP(Youts[[#This Row],[Código]],Projeção[#All],14,FALSE)</f>
        <v>44.466666666666661</v>
      </c>
      <c r="S14" s="39">
        <f>IFERROR(VLOOKUP(Youts[[#This Row],[Código]],Venda_mes[],2,FALSE),0)</f>
        <v>5</v>
      </c>
      <c r="T14" s="44">
        <f>IFERROR(Youts[[#This Row],[V. No mes]]/Youts[[#This Row],[Proj. de V. No mes]],"")</f>
        <v>0.11244377811094454</v>
      </c>
      <c r="U14" s="43">
        <f>VLOOKUP(Youts[[#This Row],[Código]],Projeção[#All],14,FALSE)+VLOOKUP(Youts[[#This Row],[Código]],Projeção[#All],13,FALSE)+VLOOKUP(Youts[[#This Row],[Código]],Projeção[#All],12,FALSE)</f>
        <v>106.26666666666665</v>
      </c>
      <c r="V14" s="39">
        <f>IFERROR(VLOOKUP(Youts[[#This Row],[Código]],Venda_3meses[],2,FALSE),0)</f>
        <v>41</v>
      </c>
      <c r="W14" s="44">
        <f>IFERROR(Youts[[#This Row],[V. 3 meses]]/Youts[[#This Row],[Proj. de V. 3 meses]],"")</f>
        <v>0.38582183186951075</v>
      </c>
      <c r="X1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181.1333333333333</v>
      </c>
      <c r="Y14" s="39">
        <f>IFERROR(VLOOKUP(Youts[[#This Row],[Código]],Venda_12meses[],2,FALSE),0)</f>
        <v>283</v>
      </c>
      <c r="Z14" s="44">
        <f>IFERROR(Youts[[#This Row],[V. 12 meses]]/Youts[[#This Row],[Proj. de V. 12 meses]],"")</f>
        <v>1.5623849834376153</v>
      </c>
      <c r="AA14" s="22"/>
    </row>
    <row r="15" spans="1:27" x14ac:dyDescent="0.25">
      <c r="A15" s="22" t="str">
        <f>VLOOKUP(Youts[[#This Row],[Código]],BD_Produto[#All],7,FALSE)</f>
        <v>Fora de linha</v>
      </c>
      <c r="B1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" s="23">
        <v>33102163125</v>
      </c>
      <c r="D15" s="22" t="s">
        <v>798</v>
      </c>
      <c r="E15" s="22" t="str">
        <f>VLOOKUP(Youts[[#This Row],[Código]],BD_Produto[],3,FALSE)</f>
        <v>Áudio</v>
      </c>
      <c r="F15" s="22" t="str">
        <f>VLOOKUP(Youts[[#This Row],[Código]],BD_Produto[],4,FALSE)</f>
        <v>Fone de Ouvido</v>
      </c>
      <c r="G15" s="24"/>
      <c r="H15" s="25"/>
      <c r="I15" s="22"/>
      <c r="J15" s="24"/>
      <c r="K15" s="24" t="str">
        <f>IFERROR(VLOOKUP(Youts[[#This Row],[Código]],Importação!P:R,3,FALSE),"")</f>
        <v/>
      </c>
      <c r="L15" s="24">
        <f>IFERROR(VLOOKUP(Youts[[#This Row],[Código]],Saldo[],3,FALSE),0)</f>
        <v>0</v>
      </c>
      <c r="M15" s="24">
        <f>SUM(Youts[[#This Row],[Produção]:[Estoque]])</f>
        <v>0</v>
      </c>
      <c r="N15" s="24">
        <f>IFERROR(Youts[[#This Row],[Estoque+Importação]]/Youts[[#This Row],[Proj. de V. No prox. mes]],"Sem Projeção")</f>
        <v>0</v>
      </c>
      <c r="O15" s="24" t="str">
        <f>IF(OR(Youts[[#This Row],[Status]]="Em Linha",Youts[[#This Row],[Status]]="Componente",Youts[[#This Row],[Status]]="Materia Prima"),Youts[[#This Row],[Proj. de V. No prox. mes]]*10,"-")</f>
        <v>-</v>
      </c>
      <c r="P1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" s="75">
        <f>VLOOKUP(Youts[[#This Row],[Código]],Projeção[#All],15,FALSE)</f>
        <v>15.7</v>
      </c>
      <c r="R15" s="39">
        <f>VLOOKUP(Youts[[#This Row],[Código]],Projeção[#All],14,FALSE)</f>
        <v>17</v>
      </c>
      <c r="S15" s="39">
        <f>IFERROR(VLOOKUP(Youts[[#This Row],[Código]],Venda_mes[],2,FALSE),0)</f>
        <v>20</v>
      </c>
      <c r="T15" s="44">
        <f>IFERROR(Youts[[#This Row],[V. No mes]]/Youts[[#This Row],[Proj. de V. No mes]],"")</f>
        <v>1.1764705882352942</v>
      </c>
      <c r="U15" s="43">
        <f>VLOOKUP(Youts[[#This Row],[Código]],Projeção[#All],14,FALSE)+VLOOKUP(Youts[[#This Row],[Código]],Projeção[#All],13,FALSE)+VLOOKUP(Youts[[#This Row],[Código]],Projeção[#All],12,FALSE)</f>
        <v>50.599999999999994</v>
      </c>
      <c r="V15" s="39">
        <f>IFERROR(VLOOKUP(Youts[[#This Row],[Código]],Venda_3meses[],2,FALSE),0)</f>
        <v>44</v>
      </c>
      <c r="W15" s="44">
        <f>IFERROR(Youts[[#This Row],[V. 3 meses]]/Youts[[#This Row],[Proj. de V. 3 meses]],"")</f>
        <v>0.86956521739130443</v>
      </c>
      <c r="X1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211.5</v>
      </c>
      <c r="Y15" s="39">
        <f>IFERROR(VLOOKUP(Youts[[#This Row],[Código]],Venda_12meses[],2,FALSE),0)</f>
        <v>207</v>
      </c>
      <c r="Z15" s="44">
        <f>IFERROR(Youts[[#This Row],[V. 12 meses]]/Youts[[#This Row],[Proj. de V. 12 meses]],"")</f>
        <v>0.97872340425531912</v>
      </c>
      <c r="AA15" s="22" t="s">
        <v>1723</v>
      </c>
    </row>
    <row r="16" spans="1:27" x14ac:dyDescent="0.25">
      <c r="A16" s="22" t="str">
        <f>VLOOKUP(Youts[[#This Row],[Código]],BD_Produto[#All],7,FALSE)</f>
        <v>Fora de linha</v>
      </c>
      <c r="B1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" s="23">
        <v>33102163123</v>
      </c>
      <c r="D16" s="22" t="s">
        <v>796</v>
      </c>
      <c r="E16" s="22" t="str">
        <f>VLOOKUP(Youts[[#This Row],[Código]],BD_Produto[],3,FALSE)</f>
        <v>Áudio</v>
      </c>
      <c r="F16" s="22" t="str">
        <f>VLOOKUP(Youts[[#This Row],[Código]],BD_Produto[],4,FALSE)</f>
        <v>Fone de Ouvido</v>
      </c>
      <c r="G16" s="24"/>
      <c r="H16" s="25"/>
      <c r="I16" s="22"/>
      <c r="J16" s="24"/>
      <c r="K16" s="24" t="str">
        <f>IFERROR(VLOOKUP(Youts[[#This Row],[Código]],Importação!P:R,3,FALSE),"")</f>
        <v/>
      </c>
      <c r="L16" s="24">
        <f>IFERROR(VLOOKUP(Youts[[#This Row],[Código]],Saldo[],3,FALSE),0)</f>
        <v>0</v>
      </c>
      <c r="M16" s="24">
        <f>SUM(Youts[[#This Row],[Produção]:[Estoque]])</f>
        <v>0</v>
      </c>
      <c r="N16" s="24">
        <f>IFERROR(Youts[[#This Row],[Estoque+Importação]]/Youts[[#This Row],[Proj. de V. No prox. mes]],"Sem Projeção")</f>
        <v>0</v>
      </c>
      <c r="O16" s="24" t="str">
        <f>IF(OR(Youts[[#This Row],[Status]]="Em Linha",Youts[[#This Row],[Status]]="Componente",Youts[[#This Row],[Status]]="Materia Prima"),Youts[[#This Row],[Proj. de V. No prox. mes]]*10,"-")</f>
        <v>-</v>
      </c>
      <c r="P1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" s="75">
        <f>VLOOKUP(Youts[[#This Row],[Código]],Projeção[#All],15,FALSE)</f>
        <v>19.5</v>
      </c>
      <c r="R16" s="39">
        <f>VLOOKUP(Youts[[#This Row],[Código]],Projeção[#All],14,FALSE)</f>
        <v>17.899999999999999</v>
      </c>
      <c r="S16" s="39">
        <f>IFERROR(VLOOKUP(Youts[[#This Row],[Código]],Venda_mes[],2,FALSE),0)</f>
        <v>32</v>
      </c>
      <c r="T16" s="44">
        <f>IFERROR(Youts[[#This Row],[V. No mes]]/Youts[[#This Row],[Proj. de V. No mes]],"")</f>
        <v>1.787709497206704</v>
      </c>
      <c r="U16" s="43">
        <f>VLOOKUP(Youts[[#This Row],[Código]],Projeção[#All],14,FALSE)+VLOOKUP(Youts[[#This Row],[Código]],Projeção[#All],13,FALSE)+VLOOKUP(Youts[[#This Row],[Código]],Projeção[#All],12,FALSE)</f>
        <v>40.633333333333333</v>
      </c>
      <c r="V16" s="39">
        <f>IFERROR(VLOOKUP(Youts[[#This Row],[Código]],Venda_3meses[],2,FALSE),0)</f>
        <v>69</v>
      </c>
      <c r="W16" s="44">
        <f>IFERROR(Youts[[#This Row],[V. 3 meses]]/Youts[[#This Row],[Proj. de V. 3 meses]],"")</f>
        <v>1.6981132075471699</v>
      </c>
      <c r="X1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164.59999999999997</v>
      </c>
      <c r="Y16" s="39">
        <f>IFERROR(VLOOKUP(Youts[[#This Row],[Código]],Venda_12meses[],2,FALSE),0)</f>
        <v>171</v>
      </c>
      <c r="Z16" s="44">
        <f>IFERROR(Youts[[#This Row],[V. 12 meses]]/Youts[[#This Row],[Proj. de V. 12 meses]],"")</f>
        <v>1.0388821385176188</v>
      </c>
      <c r="AA16" s="22" t="s">
        <v>1723</v>
      </c>
    </row>
    <row r="17" spans="1:27" x14ac:dyDescent="0.25">
      <c r="A17" s="22" t="str">
        <f>VLOOKUP(Youts[[#This Row],[Código]],BD_Produto[#All],7,FALSE)</f>
        <v>Fora de linha</v>
      </c>
      <c r="B17" s="22" t="str">
        <f>IF(OR(Youts[[#This Row],[Status]]="Em linha",Youts[[#This Row],[Status]]="Materia Prima",Youts[[#This Row],[Status]]="Componente"),"ok",IF(Youts[[#This Row],[Estoque+Importação]]&lt;1,"Tirar","ok"))</f>
        <v>ok</v>
      </c>
      <c r="C17" s="23">
        <v>32105064277</v>
      </c>
      <c r="D17" s="22" t="s">
        <v>1109</v>
      </c>
      <c r="E17" s="22" t="str">
        <f>VLOOKUP(Youts[[#This Row],[Código]],BD_Produto[],3,FALSE)</f>
        <v>Mobile</v>
      </c>
      <c r="F17" s="22" t="str">
        <f>VLOOKUP(Youts[[#This Row],[Código]],BD_Produto[],4,FALSE)</f>
        <v>iPhone 5/5S</v>
      </c>
      <c r="G17" s="24"/>
      <c r="H17" s="25"/>
      <c r="I17" s="22"/>
      <c r="J17" s="24"/>
      <c r="K17" s="24" t="str">
        <f>IFERROR(VLOOKUP(Youts[[#This Row],[Código]],Importação!P:R,3,FALSE),"")</f>
        <v/>
      </c>
      <c r="L17" s="24">
        <f>IFERROR(VLOOKUP(Youts[[#This Row],[Código]],Saldo[],3,FALSE),0)</f>
        <v>49</v>
      </c>
      <c r="M17" s="24">
        <f>SUM(Youts[[#This Row],[Produção]:[Estoque]])</f>
        <v>49</v>
      </c>
      <c r="N17" s="24">
        <f>IFERROR(Youts[[#This Row],[Estoque+Importação]]/Youts[[#This Row],[Proj. de V. No prox. mes]],"Sem Projeção")</f>
        <v>1470</v>
      </c>
      <c r="O17" s="24" t="str">
        <f>IF(OR(Youts[[#This Row],[Status]]="Em Linha",Youts[[#This Row],[Status]]="Componente",Youts[[#This Row],[Status]]="Materia Prima"),Youts[[#This Row],[Proj. de V. No prox. mes]]*10,"-")</f>
        <v>-</v>
      </c>
      <c r="P1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" s="75">
        <f>VLOOKUP(Youts[[#This Row],[Código]],Projeção[#All],15,FALSE)</f>
        <v>3.3333333333333333E-2</v>
      </c>
      <c r="R17" s="39">
        <f>VLOOKUP(Youts[[#This Row],[Código]],Projeção[#All],14,FALSE)</f>
        <v>0</v>
      </c>
      <c r="S17" s="39">
        <f>IFERROR(VLOOKUP(Youts[[#This Row],[Código]],Venda_mes[],2,FALSE),0)</f>
        <v>0</v>
      </c>
      <c r="T17" s="44" t="str">
        <f>IFERROR(Youts[[#This Row],[V. No mes]]/Youts[[#This Row],[Proj. de V. No mes]],"")</f>
        <v/>
      </c>
      <c r="U17" s="43">
        <f>VLOOKUP(Youts[[#This Row],[Código]],Projeção[#All],14,FALSE)+VLOOKUP(Youts[[#This Row],[Código]],Projeção[#All],13,FALSE)+VLOOKUP(Youts[[#This Row],[Código]],Projeção[#All],12,FALSE)</f>
        <v>0</v>
      </c>
      <c r="V17" s="39">
        <f>IFERROR(VLOOKUP(Youts[[#This Row],[Código]],Venda_3meses[],2,FALSE),0)</f>
        <v>0</v>
      </c>
      <c r="W17" s="44" t="str">
        <f>IFERROR(Youts[[#This Row],[V. 3 meses]]/Youts[[#This Row],[Proj. de V. 3 meses]],"")</f>
        <v/>
      </c>
      <c r="X1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0.6</v>
      </c>
      <c r="Y17" s="39">
        <f>IFERROR(VLOOKUP(Youts[[#This Row],[Código]],Venda_12meses[],2,FALSE),0)</f>
        <v>1</v>
      </c>
      <c r="Z17" s="44">
        <f>IFERROR(Youts[[#This Row],[V. 12 meses]]/Youts[[#This Row],[Proj. de V. 12 meses]],"")</f>
        <v>1.6666666666666667</v>
      </c>
      <c r="AA17" s="22"/>
    </row>
    <row r="18" spans="1:27" x14ac:dyDescent="0.25">
      <c r="A18" s="22" t="str">
        <f>VLOOKUP(Youts[[#This Row],[Código]],BD_Produto[#All],7,FALSE)</f>
        <v>Fora de linha</v>
      </c>
      <c r="B18" s="22" t="str">
        <f>IF(OR(Youts[[#This Row],[Status]]="Em linha",Youts[[#This Row],[Status]]="Materia Prima",Youts[[#This Row],[Status]]="Componente"),"ok",IF(Youts[[#This Row],[Estoque+Importação]]&lt;1,"Tirar","ok"))</f>
        <v>ok</v>
      </c>
      <c r="C18" s="23">
        <v>32105064302</v>
      </c>
      <c r="D18" s="22" t="s">
        <v>141</v>
      </c>
      <c r="E18" s="22" t="str">
        <f>VLOOKUP(Youts[[#This Row],[Código]],BD_Produto[],3,FALSE)</f>
        <v>Mobile</v>
      </c>
      <c r="F18" s="22" t="str">
        <f>VLOOKUP(Youts[[#This Row],[Código]],BD_Produto[],4,FALSE)</f>
        <v>iPhone 5/5S</v>
      </c>
      <c r="G18" s="24"/>
      <c r="H18" s="25"/>
      <c r="I18" s="22"/>
      <c r="J18" s="24"/>
      <c r="K18" s="24" t="str">
        <f>IFERROR(VLOOKUP(Youts[[#This Row],[Código]],Importação!P:R,3,FALSE),"")</f>
        <v/>
      </c>
      <c r="L18" s="24">
        <f>IFERROR(VLOOKUP(Youts[[#This Row],[Código]],Saldo[],3,FALSE),0)</f>
        <v>61</v>
      </c>
      <c r="M18" s="24">
        <f>SUM(Youts[[#This Row],[Produção]:[Estoque]])</f>
        <v>61</v>
      </c>
      <c r="N18" s="24">
        <f>IFERROR(Youts[[#This Row],[Estoque+Importação]]/Youts[[#This Row],[Proj. de V. No prox. mes]],"Sem Projeção")</f>
        <v>228.75</v>
      </c>
      <c r="O18" s="24" t="str">
        <f>IF(OR(Youts[[#This Row],[Status]]="Em Linha",Youts[[#This Row],[Status]]="Componente",Youts[[#This Row],[Status]]="Materia Prima"),Youts[[#This Row],[Proj. de V. No prox. mes]]*10,"-")</f>
        <v>-</v>
      </c>
      <c r="P1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8" s="75">
        <f>VLOOKUP(Youts[[#This Row],[Código]],Projeção[#All],15,FALSE)</f>
        <v>0.26666666666666666</v>
      </c>
      <c r="R18" s="39">
        <f>VLOOKUP(Youts[[#This Row],[Código]],Projeção[#All],14,FALSE)</f>
        <v>0</v>
      </c>
      <c r="S18" s="39">
        <f>IFERROR(VLOOKUP(Youts[[#This Row],[Código]],Venda_mes[],2,FALSE),0)</f>
        <v>0</v>
      </c>
      <c r="T18" s="44" t="str">
        <f>IFERROR(Youts[[#This Row],[V. No mes]]/Youts[[#This Row],[Proj. de V. No mes]],"")</f>
        <v/>
      </c>
      <c r="U18" s="43">
        <f>VLOOKUP(Youts[[#This Row],[Código]],Projeção[#All],14,FALSE)+VLOOKUP(Youts[[#This Row],[Código]],Projeção[#All],13,FALSE)+VLOOKUP(Youts[[#This Row],[Código]],Projeção[#All],12,FALSE)</f>
        <v>6.6666666666666666E-2</v>
      </c>
      <c r="V18" s="39">
        <f>IFERROR(VLOOKUP(Youts[[#This Row],[Código]],Venda_3meses[],2,FALSE),0)</f>
        <v>1</v>
      </c>
      <c r="W18" s="44">
        <f>IFERROR(Youts[[#This Row],[V. 3 meses]]/Youts[[#This Row],[Proj. de V. 3 meses]],"")</f>
        <v>15</v>
      </c>
      <c r="X1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1.0666666666666667</v>
      </c>
      <c r="Y18" s="39">
        <f>IFERROR(VLOOKUP(Youts[[#This Row],[Código]],Venda_12meses[],2,FALSE),0)</f>
        <v>2</v>
      </c>
      <c r="Z18" s="44">
        <f>IFERROR(Youts[[#This Row],[V. 12 meses]]/Youts[[#This Row],[Proj. de V. 12 meses]],"")</f>
        <v>1.875</v>
      </c>
      <c r="AA18" s="22"/>
    </row>
    <row r="19" spans="1:27" x14ac:dyDescent="0.25">
      <c r="A19" s="22" t="str">
        <f>VLOOKUP(Youts[[#This Row],[Código]],BD_Produto[#All],7,FALSE)</f>
        <v>Fora de linha</v>
      </c>
      <c r="B19" s="22" t="str">
        <f>IF(OR(Youts[[#This Row],[Status]]="Em linha",Youts[[#This Row],[Status]]="Materia Prima",Youts[[#This Row],[Status]]="Componente"),"ok",IF(Youts[[#This Row],[Estoque+Importação]]&lt;1,"Tirar","ok"))</f>
        <v>ok</v>
      </c>
      <c r="C19" s="23">
        <v>32105064275</v>
      </c>
      <c r="D19" s="22" t="s">
        <v>1061</v>
      </c>
      <c r="E19" s="22" t="str">
        <f>VLOOKUP(Youts[[#This Row],[Código]],BD_Produto[],3,FALSE)</f>
        <v>Mobile</v>
      </c>
      <c r="F19" s="22" t="str">
        <f>VLOOKUP(Youts[[#This Row],[Código]],BD_Produto[],4,FALSE)</f>
        <v>iPhone 5/5S</v>
      </c>
      <c r="G19" s="24"/>
      <c r="H19" s="25"/>
      <c r="I19" s="22"/>
      <c r="J19" s="24"/>
      <c r="K19" s="24" t="str">
        <f>IFERROR(VLOOKUP(Youts[[#This Row],[Código]],Importação!P:R,3,FALSE),"")</f>
        <v/>
      </c>
      <c r="L19" s="24">
        <f>IFERROR(VLOOKUP(Youts[[#This Row],[Código]],Saldo[],3,FALSE),0)</f>
        <v>90</v>
      </c>
      <c r="M19" s="24">
        <f>SUM(Youts[[#This Row],[Produção]:[Estoque]])</f>
        <v>90</v>
      </c>
      <c r="N19" s="24">
        <f>IFERROR(Youts[[#This Row],[Estoque+Importação]]/Youts[[#This Row],[Proj. de V. No prox. mes]],"Sem Projeção")</f>
        <v>2700</v>
      </c>
      <c r="O19" s="24" t="str">
        <f>IF(OR(Youts[[#This Row],[Status]]="Em Linha",Youts[[#This Row],[Status]]="Componente",Youts[[#This Row],[Status]]="Materia Prima"),Youts[[#This Row],[Proj. de V. No prox. mes]]*10,"-")</f>
        <v>-</v>
      </c>
      <c r="P1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9" s="75">
        <f>VLOOKUP(Youts[[#This Row],[Código]],Projeção[#All],15,FALSE)</f>
        <v>3.3333333333333333E-2</v>
      </c>
      <c r="R19" s="39">
        <f>VLOOKUP(Youts[[#This Row],[Código]],Projeção[#All],14,FALSE)</f>
        <v>0</v>
      </c>
      <c r="S19" s="39">
        <f>IFERROR(VLOOKUP(Youts[[#This Row],[Código]],Venda_mes[],2,FALSE),0)</f>
        <v>0</v>
      </c>
      <c r="T19" s="44" t="str">
        <f>IFERROR(Youts[[#This Row],[V. No mes]]/Youts[[#This Row],[Proj. de V. No mes]],"")</f>
        <v/>
      </c>
      <c r="U19" s="43">
        <f>VLOOKUP(Youts[[#This Row],[Código]],Projeção[#All],14,FALSE)+VLOOKUP(Youts[[#This Row],[Código]],Projeção[#All],13,FALSE)+VLOOKUP(Youts[[#This Row],[Código]],Projeção[#All],12,FALSE)</f>
        <v>0</v>
      </c>
      <c r="V19" s="39">
        <f>IFERROR(VLOOKUP(Youts[[#This Row],[Código]],Venda_3meses[],2,FALSE),0)</f>
        <v>0</v>
      </c>
      <c r="W19" s="44" t="str">
        <f>IFERROR(Youts[[#This Row],[V. 3 meses]]/Youts[[#This Row],[Proj. de V. 3 meses]],"")</f>
        <v/>
      </c>
      <c r="X1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0.26666666666666666</v>
      </c>
      <c r="Y19" s="39">
        <f>IFERROR(VLOOKUP(Youts[[#This Row],[Código]],Venda_12meses[],2,FALSE),0)</f>
        <v>1</v>
      </c>
      <c r="Z19" s="44">
        <f>IFERROR(Youts[[#This Row],[V. 12 meses]]/Youts[[#This Row],[Proj. de V. 12 meses]],"")</f>
        <v>3.75</v>
      </c>
      <c r="AA19" s="22"/>
    </row>
    <row r="20" spans="1:27" x14ac:dyDescent="0.25">
      <c r="A20" s="22" t="str">
        <f>VLOOKUP(Youts[[#This Row],[Código]],BD_Produto[#All],7,FALSE)</f>
        <v>Fora de linha</v>
      </c>
      <c r="B20" s="22" t="str">
        <f>IF(OR(Youts[[#This Row],[Status]]="Em linha",Youts[[#This Row],[Status]]="Materia Prima",Youts[[#This Row],[Status]]="Componente"),"ok",IF(Youts[[#This Row],[Estoque+Importação]]&lt;1,"Tirar","ok"))</f>
        <v>ok</v>
      </c>
      <c r="C20" s="23">
        <v>32105064303</v>
      </c>
      <c r="D20" s="22" t="s">
        <v>989</v>
      </c>
      <c r="E20" s="22" t="str">
        <f>VLOOKUP(Youts[[#This Row],[Código]],BD_Produto[],3,FALSE)</f>
        <v>Mobile</v>
      </c>
      <c r="F20" s="22" t="str">
        <f>VLOOKUP(Youts[[#This Row],[Código]],BD_Produto[],4,FALSE)</f>
        <v>iPhone 5/5S</v>
      </c>
      <c r="G20" s="24"/>
      <c r="H20" s="25"/>
      <c r="I20" s="22"/>
      <c r="J20" s="24"/>
      <c r="K20" s="24" t="str">
        <f>IFERROR(VLOOKUP(Youts[[#This Row],[Código]],Importação!P:R,3,FALSE),"")</f>
        <v/>
      </c>
      <c r="L20" s="24">
        <f>IFERROR(VLOOKUP(Youts[[#This Row],[Código]],Saldo[],3,FALSE),0)</f>
        <v>100</v>
      </c>
      <c r="M20" s="24">
        <f>SUM(Youts[[#This Row],[Produção]:[Estoque]])</f>
        <v>100</v>
      </c>
      <c r="N20" s="24">
        <f>IFERROR(Youts[[#This Row],[Estoque+Importação]]/Youts[[#This Row],[Proj. de V. No prox. mes]],"Sem Projeção")</f>
        <v>3000</v>
      </c>
      <c r="O20" s="24" t="str">
        <f>IF(OR(Youts[[#This Row],[Status]]="Em Linha",Youts[[#This Row],[Status]]="Componente",Youts[[#This Row],[Status]]="Materia Prima"),Youts[[#This Row],[Proj. de V. No prox. mes]]*10,"-")</f>
        <v>-</v>
      </c>
      <c r="P2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0" s="75">
        <f>VLOOKUP(Youts[[#This Row],[Código]],Projeção[#All],15,FALSE)</f>
        <v>3.3333333333333333E-2</v>
      </c>
      <c r="R20" s="39">
        <f>VLOOKUP(Youts[[#This Row],[Código]],Projeção[#All],14,FALSE)</f>
        <v>0</v>
      </c>
      <c r="S20" s="39">
        <f>IFERROR(VLOOKUP(Youts[[#This Row],[Código]],Venda_mes[],2,FALSE),0)</f>
        <v>0</v>
      </c>
      <c r="T20" s="44" t="str">
        <f>IFERROR(Youts[[#This Row],[V. No mes]]/Youts[[#This Row],[Proj. de V. No mes]],"")</f>
        <v/>
      </c>
      <c r="U20" s="43">
        <f>VLOOKUP(Youts[[#This Row],[Código]],Projeção[#All],14,FALSE)+VLOOKUP(Youts[[#This Row],[Código]],Projeção[#All],13,FALSE)+VLOOKUP(Youts[[#This Row],[Código]],Projeção[#All],12,FALSE)</f>
        <v>0</v>
      </c>
      <c r="V20" s="39">
        <f>IFERROR(VLOOKUP(Youts[[#This Row],[Código]],Venda_3meses[],2,FALSE),0)</f>
        <v>0</v>
      </c>
      <c r="W20" s="44" t="str">
        <f>IFERROR(Youts[[#This Row],[V. 3 meses]]/Youts[[#This Row],[Proj. de V. 3 meses]],"")</f>
        <v/>
      </c>
      <c r="X2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0.39999999999999997</v>
      </c>
      <c r="Y20" s="39">
        <f>IFERROR(VLOOKUP(Youts[[#This Row],[Código]],Venda_12meses[],2,FALSE),0)</f>
        <v>1</v>
      </c>
      <c r="Z20" s="44">
        <f>IFERROR(Youts[[#This Row],[V. 12 meses]]/Youts[[#This Row],[Proj. de V. 12 meses]],"")</f>
        <v>2.5</v>
      </c>
      <c r="AA20" s="22"/>
    </row>
    <row r="21" spans="1:27" x14ac:dyDescent="0.25">
      <c r="A21" s="22" t="str">
        <f>VLOOKUP(Youts[[#This Row],[Código]],BD_Produto[#All],7,FALSE)</f>
        <v>Fora de linha</v>
      </c>
      <c r="B21" s="22" t="str">
        <f>IF(OR(Youts[[#This Row],[Status]]="Em linha",Youts[[#This Row],[Status]]="Materia Prima",Youts[[#This Row],[Status]]="Componente"),"ok",IF(Youts[[#This Row],[Estoque+Importação]]&lt;1,"Tirar","ok"))</f>
        <v>ok</v>
      </c>
      <c r="C21" s="23">
        <v>32105064170</v>
      </c>
      <c r="D21" s="22" t="s">
        <v>972</v>
      </c>
      <c r="E21" s="22" t="str">
        <f>VLOOKUP(Youts[[#This Row],[Código]],BD_Produto[],3,FALSE)</f>
        <v>Mobile</v>
      </c>
      <c r="F21" s="22" t="str">
        <f>VLOOKUP(Youts[[#This Row],[Código]],BD_Produto[],4,FALSE)</f>
        <v>iPhone 5/5S</v>
      </c>
      <c r="G21" s="24"/>
      <c r="H21" s="25"/>
      <c r="I21" s="22"/>
      <c r="J21" s="24"/>
      <c r="K21" s="24" t="str">
        <f>IFERROR(VLOOKUP(Youts[[#This Row],[Código]],Importação!P:R,3,FALSE),"")</f>
        <v/>
      </c>
      <c r="L21" s="24">
        <f>IFERROR(VLOOKUP(Youts[[#This Row],[Código]],Saldo[],3,FALSE),0)</f>
        <v>102</v>
      </c>
      <c r="M21" s="24">
        <f>SUM(Youts[[#This Row],[Produção]:[Estoque]])</f>
        <v>102</v>
      </c>
      <c r="N21" s="24">
        <f>IFERROR(Youts[[#This Row],[Estoque+Importação]]/Youts[[#This Row],[Proj. de V. No prox. mes]],"Sem Projeção")</f>
        <v>765</v>
      </c>
      <c r="O21" s="24" t="str">
        <f>IF(OR(Youts[[#This Row],[Status]]="Em Linha",Youts[[#This Row],[Status]]="Componente",Youts[[#This Row],[Status]]="Materia Prima"),Youts[[#This Row],[Proj. de V. No prox. mes]]*10,"-")</f>
        <v>-</v>
      </c>
      <c r="P2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1" s="75">
        <f>VLOOKUP(Youts[[#This Row],[Código]],Projeção[#All],15,FALSE)</f>
        <v>0.13333333333333333</v>
      </c>
      <c r="R21" s="39">
        <f>VLOOKUP(Youts[[#This Row],[Código]],Projeção[#All],14,FALSE)</f>
        <v>0</v>
      </c>
      <c r="S21" s="39">
        <f>IFERROR(VLOOKUP(Youts[[#This Row],[Código]],Venda_mes[],2,FALSE),0)</f>
        <v>0</v>
      </c>
      <c r="T21" s="44" t="str">
        <f>IFERROR(Youts[[#This Row],[V. No mes]]/Youts[[#This Row],[Proj. de V. No mes]],"")</f>
        <v/>
      </c>
      <c r="U21" s="43">
        <f>VLOOKUP(Youts[[#This Row],[Código]],Projeção[#All],14,FALSE)+VLOOKUP(Youts[[#This Row],[Código]],Projeção[#All],13,FALSE)+VLOOKUP(Youts[[#This Row],[Código]],Projeção[#All],12,FALSE)</f>
        <v>0</v>
      </c>
      <c r="V21" s="39">
        <f>IFERROR(VLOOKUP(Youts[[#This Row],[Código]],Venda_3meses[],2,FALSE),0)</f>
        <v>0</v>
      </c>
      <c r="W21" s="44" t="str">
        <f>IFERROR(Youts[[#This Row],[V. 3 meses]]/Youts[[#This Row],[Proj. de V. 3 meses]],"")</f>
        <v/>
      </c>
      <c r="X2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0.46666666666666667</v>
      </c>
      <c r="Y21" s="39">
        <f>IFERROR(VLOOKUP(Youts[[#This Row],[Código]],Venda_12meses[],2,FALSE),0)</f>
        <v>2</v>
      </c>
      <c r="Z21" s="44">
        <f>IFERROR(Youts[[#This Row],[V. 12 meses]]/Youts[[#This Row],[Proj. de V. 12 meses]],"")</f>
        <v>4.2857142857142856</v>
      </c>
      <c r="AA21" s="22"/>
    </row>
    <row r="22" spans="1:27" x14ac:dyDescent="0.25">
      <c r="A22" s="22" t="str">
        <f>VLOOKUP(Youts[[#This Row],[Código]],BD_Produto[#All],7,FALSE)</f>
        <v>Fora de linha</v>
      </c>
      <c r="B2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2" s="23">
        <v>33102263134</v>
      </c>
      <c r="D22" s="22" t="s">
        <v>806</v>
      </c>
      <c r="E22" s="22" t="str">
        <f>VLOOKUP(Youts[[#This Row],[Código]],BD_Produto[],3,FALSE)</f>
        <v>Áudio</v>
      </c>
      <c r="F22" s="22" t="str">
        <f>VLOOKUP(Youts[[#This Row],[Código]],BD_Produto[],4,FALSE)</f>
        <v>Caixa de Som</v>
      </c>
      <c r="G22" s="24"/>
      <c r="H22" s="25"/>
      <c r="I22" s="22"/>
      <c r="J22" s="24"/>
      <c r="K22" s="24" t="str">
        <f>IFERROR(VLOOKUP(Youts[[#This Row],[Código]],Importação!P:R,3,FALSE),"")</f>
        <v/>
      </c>
      <c r="L22" s="24">
        <f>IFERROR(VLOOKUP(Youts[[#This Row],[Código]],Saldo[],3,FALSE),0)</f>
        <v>0</v>
      </c>
      <c r="M22" s="24">
        <f>SUM(Youts[[#This Row],[Produção]:[Estoque]])</f>
        <v>0</v>
      </c>
      <c r="N22" s="24">
        <f>IFERROR(Youts[[#This Row],[Estoque+Importação]]/Youts[[#This Row],[Proj. de V. No prox. mes]],"Sem Projeção")</f>
        <v>0</v>
      </c>
      <c r="O22" s="24" t="str">
        <f>IF(OR(Youts[[#This Row],[Status]]="Em Linha",Youts[[#This Row],[Status]]="Componente",Youts[[#This Row],[Status]]="Materia Prima"),Youts[[#This Row],[Proj. de V. No prox. mes]]*10,"-")</f>
        <v>-</v>
      </c>
      <c r="P2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2" s="75">
        <f>VLOOKUP(Youts[[#This Row],[Código]],Projeção[#All],15,FALSE)</f>
        <v>0.39999999999999997</v>
      </c>
      <c r="R22" s="39">
        <f>VLOOKUP(Youts[[#This Row],[Código]],Projeção[#All],14,FALSE)</f>
        <v>0.70000000000000007</v>
      </c>
      <c r="S22" s="39">
        <f>IFERROR(VLOOKUP(Youts[[#This Row],[Código]],Venda_mes[],2,FALSE),0)</f>
        <v>0</v>
      </c>
      <c r="T22" s="44">
        <f>IFERROR(Youts[[#This Row],[V. No mes]]/Youts[[#This Row],[Proj. de V. No mes]],"")</f>
        <v>0</v>
      </c>
      <c r="U22" s="43">
        <f>VLOOKUP(Youts[[#This Row],[Código]],Projeção[#All],14,FALSE)+VLOOKUP(Youts[[#This Row],[Código]],Projeção[#All],13,FALSE)+VLOOKUP(Youts[[#This Row],[Código]],Projeção[#All],12,FALSE)</f>
        <v>1.7999999999999998</v>
      </c>
      <c r="V22" s="39">
        <f>IFERROR(VLOOKUP(Youts[[#This Row],[Código]],Venda_3meses[],2,FALSE),0)</f>
        <v>0</v>
      </c>
      <c r="W22" s="44">
        <f>IFERROR(Youts[[#This Row],[V. 3 meses]]/Youts[[#This Row],[Proj. de V. 3 meses]],"")</f>
        <v>0</v>
      </c>
      <c r="X2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5.6666666666666652</v>
      </c>
      <c r="Y22" s="39">
        <f>IFERROR(VLOOKUP(Youts[[#This Row],[Código]],Venda_12meses[],2,FALSE),0)</f>
        <v>6</v>
      </c>
      <c r="Z22" s="44">
        <f>IFERROR(Youts[[#This Row],[V. 12 meses]]/Youts[[#This Row],[Proj. de V. 12 meses]],"")</f>
        <v>1.0588235294117649</v>
      </c>
      <c r="AA22" s="22" t="s">
        <v>1723</v>
      </c>
    </row>
    <row r="23" spans="1:27" x14ac:dyDescent="0.25">
      <c r="A23" s="22" t="str">
        <f>VLOOKUP(Youts[[#This Row],[Código]],BD_Produto[#All],7,FALSE)</f>
        <v>Fora de linha</v>
      </c>
      <c r="B23" s="22" t="str">
        <f>IF(OR(Youts[[#This Row],[Status]]="Em linha",Youts[[#This Row],[Status]]="Materia Prima",Youts[[#This Row],[Status]]="Componente"),"ok",IF(Youts[[#This Row],[Estoque+Importação]]&lt;1,"Tirar","ok"))</f>
        <v>ok</v>
      </c>
      <c r="C23" s="23">
        <v>32105064301</v>
      </c>
      <c r="D23" s="22" t="s">
        <v>140</v>
      </c>
      <c r="E23" s="22" t="str">
        <f>VLOOKUP(Youts[[#This Row],[Código]],BD_Produto[],3,FALSE)</f>
        <v>Mobile</v>
      </c>
      <c r="F23" s="22" t="str">
        <f>VLOOKUP(Youts[[#This Row],[Código]],BD_Produto[],4,FALSE)</f>
        <v>iPhone 5/5S</v>
      </c>
      <c r="G23" s="24"/>
      <c r="H23" s="25"/>
      <c r="I23" s="22"/>
      <c r="J23" s="24"/>
      <c r="K23" s="24" t="str">
        <f>IFERROR(VLOOKUP(Youts[[#This Row],[Código]],Importação!P:R,3,FALSE),"")</f>
        <v/>
      </c>
      <c r="L23" s="24">
        <f>IFERROR(VLOOKUP(Youts[[#This Row],[Código]],Saldo[],3,FALSE),0)</f>
        <v>86</v>
      </c>
      <c r="M23" s="24">
        <f>SUM(Youts[[#This Row],[Produção]:[Estoque]])</f>
        <v>86</v>
      </c>
      <c r="N23" s="24">
        <f>IFERROR(Youts[[#This Row],[Estoque+Importação]]/Youts[[#This Row],[Proj. de V. No prox. mes]],"Sem Projeção")</f>
        <v>2580</v>
      </c>
      <c r="O23" s="24" t="str">
        <f>IF(OR(Youts[[#This Row],[Status]]="Em Linha",Youts[[#This Row],[Status]]="Componente",Youts[[#This Row],[Status]]="Materia Prima"),Youts[[#This Row],[Proj. de V. No prox. mes]]*10,"-")</f>
        <v>-</v>
      </c>
      <c r="P2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3" s="75">
        <f>VLOOKUP(Youts[[#This Row],[Código]],Projeção[#All],15,FALSE)</f>
        <v>3.3333333333333333E-2</v>
      </c>
      <c r="R23" s="39">
        <f>VLOOKUP(Youts[[#This Row],[Código]],Projeção[#All],14,FALSE)</f>
        <v>9.9999999999999992E-2</v>
      </c>
      <c r="S23" s="39">
        <f>IFERROR(VLOOKUP(Youts[[#This Row],[Código]],Venda_mes[],2,FALSE),0)</f>
        <v>0</v>
      </c>
      <c r="T23" s="44">
        <f>IFERROR(Youts[[#This Row],[V. No mes]]/Youts[[#This Row],[Proj. de V. No mes]],"")</f>
        <v>0</v>
      </c>
      <c r="U23" s="43">
        <f>VLOOKUP(Youts[[#This Row],[Código]],Projeção[#All],14,FALSE)+VLOOKUP(Youts[[#This Row],[Código]],Projeção[#All],13,FALSE)+VLOOKUP(Youts[[#This Row],[Código]],Projeção[#All],12,FALSE)</f>
        <v>0.49999999999999994</v>
      </c>
      <c r="V23" s="39">
        <f>IFERROR(VLOOKUP(Youts[[#This Row],[Código]],Venda_3meses[],2,FALSE),0)</f>
        <v>0</v>
      </c>
      <c r="W23" s="44">
        <f>IFERROR(Youts[[#This Row],[V. 3 meses]]/Youts[[#This Row],[Proj. de V. 3 meses]],"")</f>
        <v>0</v>
      </c>
      <c r="X2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0.79999999999999993</v>
      </c>
      <c r="Y23" s="39">
        <f>IFERROR(VLOOKUP(Youts[[#This Row],[Código]],Venda_12meses[],2,FALSE),0)</f>
        <v>1</v>
      </c>
      <c r="Z23" s="44">
        <f>IFERROR(Youts[[#This Row],[V. 12 meses]]/Youts[[#This Row],[Proj. de V. 12 meses]],"")</f>
        <v>1.25</v>
      </c>
      <c r="AA23" s="22"/>
    </row>
    <row r="24" spans="1:27" x14ac:dyDescent="0.25">
      <c r="A24" s="22" t="str">
        <f>VLOOKUP(Youts[[#This Row],[Código]],BD_Produto[#All],7,FALSE)</f>
        <v>Fora de linha</v>
      </c>
      <c r="B2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4" s="23">
        <v>33102263137</v>
      </c>
      <c r="D24" s="22" t="s">
        <v>809</v>
      </c>
      <c r="E24" s="22" t="str">
        <f>VLOOKUP(Youts[[#This Row],[Código]],BD_Produto[],3,FALSE)</f>
        <v>Áudio</v>
      </c>
      <c r="F24" s="22" t="str">
        <f>VLOOKUP(Youts[[#This Row],[Código]],BD_Produto[],4,FALSE)</f>
        <v>Caixa de Som</v>
      </c>
      <c r="G24" s="24"/>
      <c r="H24" s="25"/>
      <c r="I24" s="22"/>
      <c r="J24" s="24"/>
      <c r="K24" s="24" t="str">
        <f>IFERROR(VLOOKUP(Youts[[#This Row],[Código]],Importação!P:R,3,FALSE),"")</f>
        <v/>
      </c>
      <c r="L24" s="24">
        <f>IFERROR(VLOOKUP(Youts[[#This Row],[Código]],Saldo[],3,FALSE),0)</f>
        <v>0</v>
      </c>
      <c r="M24" s="24">
        <f>SUM(Youts[[#This Row],[Produção]:[Estoque]])</f>
        <v>0</v>
      </c>
      <c r="N24" s="24">
        <f>IFERROR(Youts[[#This Row],[Estoque+Importação]]/Youts[[#This Row],[Proj. de V. No prox. mes]],"Sem Projeção")</f>
        <v>0</v>
      </c>
      <c r="O24" s="24" t="str">
        <f>IF(OR(Youts[[#This Row],[Status]]="Em Linha",Youts[[#This Row],[Status]]="Componente",Youts[[#This Row],[Status]]="Materia Prima"),Youts[[#This Row],[Proj. de V. No prox. mes]]*10,"-")</f>
        <v>-</v>
      </c>
      <c r="P2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4" s="75">
        <f>VLOOKUP(Youts[[#This Row],[Código]],Projeção[#All],15,FALSE)</f>
        <v>0.4333333333333334</v>
      </c>
      <c r="R24" s="39">
        <f>VLOOKUP(Youts[[#This Row],[Código]],Projeção[#All],14,FALSE)</f>
        <v>0.56666666666666654</v>
      </c>
      <c r="S24" s="39">
        <f>IFERROR(VLOOKUP(Youts[[#This Row],[Código]],Venda_mes[],2,FALSE),0)</f>
        <v>0</v>
      </c>
      <c r="T24" s="44">
        <f>IFERROR(Youts[[#This Row],[V. No mes]]/Youts[[#This Row],[Proj. de V. No mes]],"")</f>
        <v>0</v>
      </c>
      <c r="U24" s="43">
        <f>VLOOKUP(Youts[[#This Row],[Código]],Projeção[#All],14,FALSE)+VLOOKUP(Youts[[#This Row],[Código]],Projeção[#All],13,FALSE)+VLOOKUP(Youts[[#This Row],[Código]],Projeção[#All],12,FALSE)</f>
        <v>0.93333333333333313</v>
      </c>
      <c r="V24" s="39">
        <f>IFERROR(VLOOKUP(Youts[[#This Row],[Código]],Venda_3meses[],2,FALSE),0)</f>
        <v>0</v>
      </c>
      <c r="W24" s="44">
        <f>IFERROR(Youts[[#This Row],[V. 3 meses]]/Youts[[#This Row],[Proj. de V. 3 meses]],"")</f>
        <v>0</v>
      </c>
      <c r="X2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2.2666666666666666</v>
      </c>
      <c r="Y24" s="39">
        <f>IFERROR(VLOOKUP(Youts[[#This Row],[Código]],Venda_12meses[],2,FALSE),0)</f>
        <v>7</v>
      </c>
      <c r="Z24" s="44">
        <f>IFERROR(Youts[[#This Row],[V. 12 meses]]/Youts[[#This Row],[Proj. de V. 12 meses]],"")</f>
        <v>3.0882352941176472</v>
      </c>
      <c r="AA24" s="22" t="s">
        <v>1723</v>
      </c>
    </row>
    <row r="25" spans="1:27" x14ac:dyDescent="0.25">
      <c r="A25" s="22" t="str">
        <f>VLOOKUP(Youts[[#This Row],[Código]],BD_Produto[#All],7,FALSE)</f>
        <v>Fora de linha</v>
      </c>
      <c r="B2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5" s="23">
        <v>33105063090</v>
      </c>
      <c r="D25" s="22" t="s">
        <v>1100</v>
      </c>
      <c r="E25" s="22" t="str">
        <f>VLOOKUP(Youts[[#This Row],[Código]],BD_Produto[],3,FALSE)</f>
        <v>Mobile</v>
      </c>
      <c r="F25" s="22" t="str">
        <f>VLOOKUP(Youts[[#This Row],[Código]],BD_Produto[],4,FALSE)</f>
        <v>Case iPad</v>
      </c>
      <c r="G25" s="24"/>
      <c r="H25" s="25"/>
      <c r="I25" s="22"/>
      <c r="J25" s="24"/>
      <c r="K25" s="24" t="str">
        <f>IFERROR(VLOOKUP(Youts[[#This Row],[Código]],Importação!P:R,3,FALSE),"")</f>
        <v/>
      </c>
      <c r="L25" s="24">
        <f>IFERROR(VLOOKUP(Youts[[#This Row],[Código]],Saldo[],3,FALSE),0)</f>
        <v>0</v>
      </c>
      <c r="M25" s="24">
        <f>SUM(Youts[[#This Row],[Produção]:[Estoque]])</f>
        <v>0</v>
      </c>
      <c r="N25" s="24">
        <f>IFERROR(Youts[[#This Row],[Estoque+Importação]]/Youts[[#This Row],[Proj. de V. No prox. mes]],"Sem Projeção")</f>
        <v>0</v>
      </c>
      <c r="O25" s="24" t="str">
        <f>IF(OR(Youts[[#This Row],[Status]]="Em Linha",Youts[[#This Row],[Status]]="Componente",Youts[[#This Row],[Status]]="Materia Prima"),Youts[[#This Row],[Proj. de V. No prox. mes]]*10,"-")</f>
        <v>-</v>
      </c>
      <c r="P2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5" s="75">
        <f>VLOOKUP(Youts[[#This Row],[Código]],Projeção[#All],15,FALSE)</f>
        <v>0.33333333333333326</v>
      </c>
      <c r="R25" s="39">
        <f>VLOOKUP(Youts[[#This Row],[Código]],Projeção[#All],14,FALSE)</f>
        <v>0.36666666666666664</v>
      </c>
      <c r="S25" s="39">
        <f>IFERROR(VLOOKUP(Youts[[#This Row],[Código]],Venda_mes[],2,FALSE),0)</f>
        <v>0</v>
      </c>
      <c r="T25" s="44">
        <f>IFERROR(Youts[[#This Row],[V. No mes]]/Youts[[#This Row],[Proj. de V. No mes]],"")</f>
        <v>0</v>
      </c>
      <c r="U25" s="43">
        <f>VLOOKUP(Youts[[#This Row],[Código]],Projeção[#All],14,FALSE)+VLOOKUP(Youts[[#This Row],[Código]],Projeção[#All],13,FALSE)+VLOOKUP(Youts[[#This Row],[Código]],Projeção[#All],12,FALSE)</f>
        <v>1.1666666666666665</v>
      </c>
      <c r="V25" s="39">
        <f>IFERROR(VLOOKUP(Youts[[#This Row],[Código]],Venda_3meses[],2,FALSE),0)</f>
        <v>1</v>
      </c>
      <c r="W25" s="44">
        <f>IFERROR(Youts[[#This Row],[V. 3 meses]]/Youts[[#This Row],[Proj. de V. 3 meses]],"")</f>
        <v>0.85714285714285721</v>
      </c>
      <c r="X2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10.433333333333332</v>
      </c>
      <c r="Y25" s="39">
        <f>IFERROR(VLOOKUP(Youts[[#This Row],[Código]],Venda_12meses[],2,FALSE),0)</f>
        <v>2</v>
      </c>
      <c r="Z25" s="44">
        <f>IFERROR(Youts[[#This Row],[V. 12 meses]]/Youts[[#This Row],[Proj. de V. 12 meses]],"")</f>
        <v>0.1916932907348243</v>
      </c>
      <c r="AA25" s="22" t="s">
        <v>1723</v>
      </c>
    </row>
    <row r="26" spans="1:27" x14ac:dyDescent="0.25">
      <c r="A26" s="22" t="str">
        <f>VLOOKUP(Youts[[#This Row],[Código]],BD_Produto[#All],7,FALSE)</f>
        <v>Fora de linha</v>
      </c>
      <c r="B2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6" s="23">
        <v>33105063092</v>
      </c>
      <c r="D26" s="22" t="s">
        <v>1186</v>
      </c>
      <c r="E26" s="22" t="str">
        <f>VLOOKUP(Youts[[#This Row],[Código]],BD_Produto[],3,FALSE)</f>
        <v>Mobile</v>
      </c>
      <c r="F26" s="22" t="str">
        <f>VLOOKUP(Youts[[#This Row],[Código]],BD_Produto[],4,FALSE)</f>
        <v>Case iPad</v>
      </c>
      <c r="G26" s="24"/>
      <c r="H26" s="25"/>
      <c r="I26" s="22"/>
      <c r="J26" s="24"/>
      <c r="K26" s="24" t="str">
        <f>IFERROR(VLOOKUP(Youts[[#This Row],[Código]],Importação!P:R,3,FALSE),"")</f>
        <v/>
      </c>
      <c r="L26" s="24">
        <f>IFERROR(VLOOKUP(Youts[[#This Row],[Código]],Saldo[],3,FALSE),0)</f>
        <v>0</v>
      </c>
      <c r="M26" s="24">
        <f>SUM(Youts[[#This Row],[Produção]:[Estoque]])</f>
        <v>0</v>
      </c>
      <c r="N26" s="24">
        <f>IFERROR(Youts[[#This Row],[Estoque+Importação]]/Youts[[#This Row],[Proj. de V. No prox. mes]],"Sem Projeção")</f>
        <v>0</v>
      </c>
      <c r="O26" s="24" t="str">
        <f>IF(OR(Youts[[#This Row],[Status]]="Em Linha",Youts[[#This Row],[Status]]="Componente",Youts[[#This Row],[Status]]="Materia Prima"),Youts[[#This Row],[Proj. de V. No prox. mes]]*10,"-")</f>
        <v>-</v>
      </c>
      <c r="P2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6" s="75">
        <f>VLOOKUP(Youts[[#This Row],[Código]],Projeção[#All],15,FALSE)</f>
        <v>0.26666666666666666</v>
      </c>
      <c r="R26" s="39">
        <f>VLOOKUP(Youts[[#This Row],[Código]],Projeção[#All],14,FALSE)</f>
        <v>0</v>
      </c>
      <c r="S26" s="39">
        <f>IFERROR(VLOOKUP(Youts[[#This Row],[Código]],Venda_mes[],2,FALSE),0)</f>
        <v>0</v>
      </c>
      <c r="T26" s="44" t="str">
        <f>IFERROR(Youts[[#This Row],[V. No mes]]/Youts[[#This Row],[Proj. de V. No mes]],"")</f>
        <v/>
      </c>
      <c r="U26" s="43">
        <f>VLOOKUP(Youts[[#This Row],[Código]],Projeção[#All],14,FALSE)+VLOOKUP(Youts[[#This Row],[Código]],Projeção[#All],13,FALSE)+VLOOKUP(Youts[[#This Row],[Código]],Projeção[#All],12,FALSE)</f>
        <v>0</v>
      </c>
      <c r="V26" s="39">
        <f>IFERROR(VLOOKUP(Youts[[#This Row],[Código]],Venda_3meses[],2,FALSE),0)</f>
        <v>1</v>
      </c>
      <c r="W26" s="44" t="str">
        <f>IFERROR(Youts[[#This Row],[V. 3 meses]]/Youts[[#This Row],[Proj. de V. 3 meses]],"")</f>
        <v/>
      </c>
      <c r="X2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1.9666666666666668</v>
      </c>
      <c r="Y26" s="39">
        <f>IFERROR(VLOOKUP(Youts[[#This Row],[Código]],Venda_12meses[],2,FALSE),0)</f>
        <v>2</v>
      </c>
      <c r="Z26" s="44">
        <f>IFERROR(Youts[[#This Row],[V. 12 meses]]/Youts[[#This Row],[Proj. de V. 12 meses]],"")</f>
        <v>1.0169491525423728</v>
      </c>
      <c r="AA26" s="22" t="s">
        <v>1723</v>
      </c>
    </row>
    <row r="27" spans="1:27" x14ac:dyDescent="0.25">
      <c r="A27" s="22" t="str">
        <f>VLOOKUP(Youts[[#This Row],[Código]],BD_Produto[#All],7,FALSE)</f>
        <v>Fora de linha</v>
      </c>
      <c r="B2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7" s="23">
        <v>33105063942</v>
      </c>
      <c r="D27" s="22" t="s">
        <v>1085</v>
      </c>
      <c r="E27" s="22" t="str">
        <f>VLOOKUP(Youts[[#This Row],[Código]],BD_Produto[],3,FALSE)</f>
        <v>Mobile</v>
      </c>
      <c r="F27" s="22" t="str">
        <f>VLOOKUP(Youts[[#This Row],[Código]],BD_Produto[],4,FALSE)</f>
        <v>iPhone 5/5S</v>
      </c>
      <c r="G27" s="24"/>
      <c r="H27" s="25"/>
      <c r="I27" s="22"/>
      <c r="J27" s="24"/>
      <c r="K27" s="24" t="str">
        <f>IFERROR(VLOOKUP(Youts[[#This Row],[Código]],Importação!P:R,3,FALSE),"")</f>
        <v/>
      </c>
      <c r="L27" s="24">
        <f>IFERROR(VLOOKUP(Youts[[#This Row],[Código]],Saldo[],3,FALSE),0)</f>
        <v>0</v>
      </c>
      <c r="M27" s="24">
        <f>SUM(Youts[[#This Row],[Produção]:[Estoque]])</f>
        <v>0</v>
      </c>
      <c r="N27" s="24">
        <f>IFERROR(Youts[[#This Row],[Estoque+Importação]]/Youts[[#This Row],[Proj. de V. No prox. mes]],"Sem Projeção")</f>
        <v>0</v>
      </c>
      <c r="O27" s="24" t="str">
        <f>IF(OR(Youts[[#This Row],[Status]]="Em Linha",Youts[[#This Row],[Status]]="Componente",Youts[[#This Row],[Status]]="Materia Prima"),Youts[[#This Row],[Proj. de V. No prox. mes]]*10,"-")</f>
        <v>-</v>
      </c>
      <c r="P2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7" s="75">
        <f>VLOOKUP(Youts[[#This Row],[Código]],Projeção[#All],15,FALSE)</f>
        <v>6.6666666666666666E-2</v>
      </c>
      <c r="R27" s="39">
        <f>VLOOKUP(Youts[[#This Row],[Código]],Projeção[#All],14,FALSE)</f>
        <v>0.23333333333333334</v>
      </c>
      <c r="S27" s="39">
        <f>IFERROR(VLOOKUP(Youts[[#This Row],[Código]],Venda_mes[],2,FALSE),0)</f>
        <v>0</v>
      </c>
      <c r="T27" s="44">
        <f>IFERROR(Youts[[#This Row],[V. No mes]]/Youts[[#This Row],[Proj. de V. No mes]],"")</f>
        <v>0</v>
      </c>
      <c r="U27" s="43">
        <f>VLOOKUP(Youts[[#This Row],[Código]],Projeção[#All],14,FALSE)+VLOOKUP(Youts[[#This Row],[Código]],Projeção[#All],13,FALSE)+VLOOKUP(Youts[[#This Row],[Código]],Projeção[#All],12,FALSE)</f>
        <v>0.23333333333333334</v>
      </c>
      <c r="V27" s="39">
        <f>IFERROR(VLOOKUP(Youts[[#This Row],[Código]],Venda_3meses[],2,FALSE),0)</f>
        <v>0</v>
      </c>
      <c r="W27" s="44">
        <f>IFERROR(Youts[[#This Row],[V. 3 meses]]/Youts[[#This Row],[Proj. de V. 3 meses]],"")</f>
        <v>0</v>
      </c>
      <c r="X2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0.3</v>
      </c>
      <c r="Y27" s="39">
        <f>IFERROR(VLOOKUP(Youts[[#This Row],[Código]],Venda_12meses[],2,FALSE),0)</f>
        <v>2</v>
      </c>
      <c r="Z27" s="44">
        <f>IFERROR(Youts[[#This Row],[V. 12 meses]]/Youts[[#This Row],[Proj. de V. 12 meses]],"")</f>
        <v>6.666666666666667</v>
      </c>
      <c r="AA27" s="22"/>
    </row>
    <row r="28" spans="1:27" x14ac:dyDescent="0.25">
      <c r="A28" s="22" t="str">
        <f>VLOOKUP(Youts[[#This Row],[Código]],BD_Produto[#All],7,FALSE)</f>
        <v>Fora de linha</v>
      </c>
      <c r="B2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8" s="23">
        <v>33105063084</v>
      </c>
      <c r="D28" s="22" t="s">
        <v>1090</v>
      </c>
      <c r="E28" s="22" t="str">
        <f>VLOOKUP(Youts[[#This Row],[Código]],BD_Produto[],3,FALSE)</f>
        <v>Mobile</v>
      </c>
      <c r="F28" s="22" t="str">
        <f>VLOOKUP(Youts[[#This Row],[Código]],BD_Produto[],4,FALSE)</f>
        <v>Case iPad</v>
      </c>
      <c r="G28" s="24"/>
      <c r="H28" s="25"/>
      <c r="I28" s="22"/>
      <c r="J28" s="24"/>
      <c r="K28" s="24" t="str">
        <f>IFERROR(VLOOKUP(Youts[[#This Row],[Código]],Importação!P:R,3,FALSE),"")</f>
        <v/>
      </c>
      <c r="L28" s="24">
        <f>IFERROR(VLOOKUP(Youts[[#This Row],[Código]],Saldo[],3,FALSE),0)</f>
        <v>0</v>
      </c>
      <c r="M28" s="24">
        <f>SUM(Youts[[#This Row],[Produção]:[Estoque]])</f>
        <v>0</v>
      </c>
      <c r="N28" s="24">
        <f>IFERROR(Youts[[#This Row],[Estoque+Importação]]/Youts[[#This Row],[Proj. de V. No prox. mes]],"Sem Projeção")</f>
        <v>0</v>
      </c>
      <c r="O28" s="24" t="str">
        <f>IF(OR(Youts[[#This Row],[Status]]="Em Linha",Youts[[#This Row],[Status]]="Componente",Youts[[#This Row],[Status]]="Materia Prima"),Youts[[#This Row],[Proj. de V. No prox. mes]]*10,"-")</f>
        <v>-</v>
      </c>
      <c r="P2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8" s="75">
        <f>VLOOKUP(Youts[[#This Row],[Código]],Projeção[#All],15,FALSE)</f>
        <v>0.13333333333333333</v>
      </c>
      <c r="R28" s="39">
        <f>VLOOKUP(Youts[[#This Row],[Código]],Projeção[#All],14,FALSE)</f>
        <v>0.23333333333333334</v>
      </c>
      <c r="S28" s="39">
        <f>IFERROR(VLOOKUP(Youts[[#This Row],[Código]],Venda_mes[],2,FALSE),0)</f>
        <v>0</v>
      </c>
      <c r="T28" s="44">
        <f>IFERROR(Youts[[#This Row],[V. No mes]]/Youts[[#This Row],[Proj. de V. No mes]],"")</f>
        <v>0</v>
      </c>
      <c r="U28" s="43">
        <f>VLOOKUP(Youts[[#This Row],[Código]],Projeção[#All],14,FALSE)+VLOOKUP(Youts[[#This Row],[Código]],Projeção[#All],13,FALSE)+VLOOKUP(Youts[[#This Row],[Código]],Projeção[#All],12,FALSE)</f>
        <v>0.6333333333333333</v>
      </c>
      <c r="V28" s="39">
        <f>IFERROR(VLOOKUP(Youts[[#This Row],[Código]],Venda_3meses[],2,FALSE),0)</f>
        <v>0</v>
      </c>
      <c r="W28" s="44">
        <f>IFERROR(Youts[[#This Row],[V. 3 meses]]/Youts[[#This Row],[Proj. de V. 3 meses]],"")</f>
        <v>0</v>
      </c>
      <c r="X2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2.833333333333333</v>
      </c>
      <c r="Y28" s="39">
        <f>IFERROR(VLOOKUP(Youts[[#This Row],[Código]],Venda_12meses[],2,FALSE),0)</f>
        <v>2</v>
      </c>
      <c r="Z28" s="44">
        <f>IFERROR(Youts[[#This Row],[V. 12 meses]]/Youts[[#This Row],[Proj. de V. 12 meses]],"")</f>
        <v>0.70588235294117652</v>
      </c>
      <c r="AA28" s="22" t="s">
        <v>1723</v>
      </c>
    </row>
    <row r="29" spans="1:27" x14ac:dyDescent="0.25">
      <c r="A29" s="22" t="str">
        <f>VLOOKUP(Youts[[#This Row],[Código]],BD_Produto[#All],7,FALSE)</f>
        <v>Fora de linha</v>
      </c>
      <c r="B2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29" s="23">
        <v>33105063941</v>
      </c>
      <c r="D29" s="22" t="s">
        <v>1104</v>
      </c>
      <c r="E29" s="22" t="str">
        <f>VLOOKUP(Youts[[#This Row],[Código]],BD_Produto[],3,FALSE)</f>
        <v>Mobile</v>
      </c>
      <c r="F29" s="22" t="str">
        <f>VLOOKUP(Youts[[#This Row],[Código]],BD_Produto[],4,FALSE)</f>
        <v>iPhone 4/4S</v>
      </c>
      <c r="G29" s="24"/>
      <c r="H29" s="25"/>
      <c r="I29" s="22"/>
      <c r="J29" s="24"/>
      <c r="K29" s="24" t="str">
        <f>IFERROR(VLOOKUP(Youts[[#This Row],[Código]],Importação!P:R,3,FALSE),"")</f>
        <v/>
      </c>
      <c r="L29" s="24">
        <f>IFERROR(VLOOKUP(Youts[[#This Row],[Código]],Saldo[],3,FALSE),0)</f>
        <v>0</v>
      </c>
      <c r="M29" s="24">
        <f>SUM(Youts[[#This Row],[Produção]:[Estoque]])</f>
        <v>0</v>
      </c>
      <c r="N29" s="24">
        <f>IFERROR(Youts[[#This Row],[Estoque+Importação]]/Youts[[#This Row],[Proj. de V. No prox. mes]],"Sem Projeção")</f>
        <v>0</v>
      </c>
      <c r="O29" s="24" t="str">
        <f>IF(OR(Youts[[#This Row],[Status]]="Em Linha",Youts[[#This Row],[Status]]="Componente",Youts[[#This Row],[Status]]="Materia Prima"),Youts[[#This Row],[Proj. de V. No prox. mes]]*10,"-")</f>
        <v>-</v>
      </c>
      <c r="P2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29" s="75">
        <f>VLOOKUP(Youts[[#This Row],[Código]],Projeção[#All],15,FALSE)</f>
        <v>0.13333333333333333</v>
      </c>
      <c r="R29" s="39">
        <f>VLOOKUP(Youts[[#This Row],[Código]],Projeção[#All],14,FALSE)</f>
        <v>0</v>
      </c>
      <c r="S29" s="39">
        <f>IFERROR(VLOOKUP(Youts[[#This Row],[Código]],Venda_mes[],2,FALSE),0)</f>
        <v>0</v>
      </c>
      <c r="T29" s="44" t="str">
        <f>IFERROR(Youts[[#This Row],[V. No mes]]/Youts[[#This Row],[Proj. de V. No mes]],"")</f>
        <v/>
      </c>
      <c r="U29" s="43">
        <f>VLOOKUP(Youts[[#This Row],[Código]],Projeção[#All],14,FALSE)+VLOOKUP(Youts[[#This Row],[Código]],Projeção[#All],13,FALSE)+VLOOKUP(Youts[[#This Row],[Código]],Projeção[#All],12,FALSE)</f>
        <v>0</v>
      </c>
      <c r="V29" s="39">
        <f>IFERROR(VLOOKUP(Youts[[#This Row],[Código]],Venda_3meses[],2,FALSE),0)</f>
        <v>0</v>
      </c>
      <c r="W29" s="44" t="str">
        <f>IFERROR(Youts[[#This Row],[V. 3 meses]]/Youts[[#This Row],[Proj. de V. 3 meses]],"")</f>
        <v/>
      </c>
      <c r="X2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1.4333333333333333</v>
      </c>
      <c r="Y29" s="39">
        <f>IFERROR(VLOOKUP(Youts[[#This Row],[Código]],Venda_12meses[],2,FALSE),0)</f>
        <v>2</v>
      </c>
      <c r="Z29" s="44">
        <f>IFERROR(Youts[[#This Row],[V. 12 meses]]/Youts[[#This Row],[Proj. de V. 12 meses]],"")</f>
        <v>1.3953488372093024</v>
      </c>
      <c r="AA29" s="22"/>
    </row>
    <row r="30" spans="1:27" x14ac:dyDescent="0.25">
      <c r="A30" s="22" t="str">
        <f>VLOOKUP(Youts[[#This Row],[Código]],BD_Produto[#All],7,FALSE)</f>
        <v>Fora de linha</v>
      </c>
      <c r="B3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0" s="23">
        <v>33105063091</v>
      </c>
      <c r="D30" s="22" t="s">
        <v>1044</v>
      </c>
      <c r="E30" s="22" t="str">
        <f>VLOOKUP(Youts[[#This Row],[Código]],BD_Produto[],3,FALSE)</f>
        <v>Mobile</v>
      </c>
      <c r="F30" s="22" t="str">
        <f>VLOOKUP(Youts[[#This Row],[Código]],BD_Produto[],4,FALSE)</f>
        <v>Case iPad</v>
      </c>
      <c r="G30" s="24"/>
      <c r="H30" s="25"/>
      <c r="I30" s="22"/>
      <c r="J30" s="24"/>
      <c r="K30" s="24" t="str">
        <f>IFERROR(VLOOKUP(Youts[[#This Row],[Código]],Importação!P:R,3,FALSE),"")</f>
        <v/>
      </c>
      <c r="L30" s="24">
        <f>IFERROR(VLOOKUP(Youts[[#This Row],[Código]],Saldo[],3,FALSE),0)</f>
        <v>0</v>
      </c>
      <c r="M30" s="24">
        <f>SUM(Youts[[#This Row],[Produção]:[Estoque]])</f>
        <v>0</v>
      </c>
      <c r="N30" s="24">
        <f>IFERROR(Youts[[#This Row],[Estoque+Importação]]/Youts[[#This Row],[Proj. de V. No prox. mes]],"Sem Projeção")</f>
        <v>0</v>
      </c>
      <c r="O30" s="24" t="str">
        <f>IF(OR(Youts[[#This Row],[Status]]="Em Linha",Youts[[#This Row],[Status]]="Componente",Youts[[#This Row],[Status]]="Materia Prima"),Youts[[#This Row],[Proj. de V. No prox. mes]]*10,"-")</f>
        <v>-</v>
      </c>
      <c r="P3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0" s="75">
        <f>VLOOKUP(Youts[[#This Row],[Código]],Projeção[#All],15,FALSE)</f>
        <v>9.9999999999999992E-2</v>
      </c>
      <c r="R30" s="39">
        <f>VLOOKUP(Youts[[#This Row],[Código]],Projeção[#All],14,FALSE)</f>
        <v>0.13333333333333333</v>
      </c>
      <c r="S30" s="39">
        <f>IFERROR(VLOOKUP(Youts[[#This Row],[Código]],Venda_mes[],2,FALSE),0)</f>
        <v>0</v>
      </c>
      <c r="T30" s="44">
        <f>IFERROR(Youts[[#This Row],[V. No mes]]/Youts[[#This Row],[Proj. de V. No mes]],"")</f>
        <v>0</v>
      </c>
      <c r="U30" s="43">
        <f>VLOOKUP(Youts[[#This Row],[Código]],Projeção[#All],14,FALSE)+VLOOKUP(Youts[[#This Row],[Código]],Projeção[#All],13,FALSE)+VLOOKUP(Youts[[#This Row],[Código]],Projeção[#All],12,FALSE)</f>
        <v>0.4</v>
      </c>
      <c r="V30" s="39">
        <f>IFERROR(VLOOKUP(Youts[[#This Row],[Código]],Venda_3meses[],2,FALSE),0)</f>
        <v>0</v>
      </c>
      <c r="W30" s="44">
        <f>IFERROR(Youts[[#This Row],[V. 3 meses]]/Youts[[#This Row],[Proj. de V. 3 meses]],"")</f>
        <v>0</v>
      </c>
      <c r="X3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5.0999999999999996</v>
      </c>
      <c r="Y30" s="39">
        <f>IFERROR(VLOOKUP(Youts[[#This Row],[Código]],Venda_12meses[],2,FALSE),0)</f>
        <v>1</v>
      </c>
      <c r="Z30" s="44">
        <f>IFERROR(Youts[[#This Row],[V. 12 meses]]/Youts[[#This Row],[Proj. de V. 12 meses]],"")</f>
        <v>0.19607843137254904</v>
      </c>
      <c r="AA30" s="22" t="s">
        <v>1723</v>
      </c>
    </row>
    <row r="31" spans="1:27" x14ac:dyDescent="0.25">
      <c r="A31" s="22" t="str">
        <f>VLOOKUP(Youts[[#This Row],[Código]],BD_Produto[#All],7,FALSE)</f>
        <v>Fora de linha</v>
      </c>
      <c r="B3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1" s="23">
        <v>33105063085</v>
      </c>
      <c r="D31" s="22" t="s">
        <v>1072</v>
      </c>
      <c r="E31" s="22" t="str">
        <f>VLOOKUP(Youts[[#This Row],[Código]],BD_Produto[],3,FALSE)</f>
        <v>Mobile</v>
      </c>
      <c r="F31" s="22" t="str">
        <f>VLOOKUP(Youts[[#This Row],[Código]],BD_Produto[],4,FALSE)</f>
        <v>Case iPad</v>
      </c>
      <c r="G31" s="24"/>
      <c r="H31" s="25"/>
      <c r="I31" s="22"/>
      <c r="J31" s="24"/>
      <c r="K31" s="24" t="str">
        <f>IFERROR(VLOOKUP(Youts[[#This Row],[Código]],Importação!P:R,3,FALSE),"")</f>
        <v/>
      </c>
      <c r="L31" s="24">
        <f>IFERROR(VLOOKUP(Youts[[#This Row],[Código]],Saldo[],3,FALSE),0)</f>
        <v>0</v>
      </c>
      <c r="M31" s="24">
        <f>SUM(Youts[[#This Row],[Produção]:[Estoque]])</f>
        <v>0</v>
      </c>
      <c r="N31" s="24">
        <f>IFERROR(Youts[[#This Row],[Estoque+Importação]]/Youts[[#This Row],[Proj. de V. No prox. mes]],"Sem Projeção")</f>
        <v>0</v>
      </c>
      <c r="O31" s="24" t="str">
        <f>IF(OR(Youts[[#This Row],[Status]]="Em Linha",Youts[[#This Row],[Status]]="Componente",Youts[[#This Row],[Status]]="Materia Prima"),Youts[[#This Row],[Proj. de V. No prox. mes]]*10,"-")</f>
        <v>-</v>
      </c>
      <c r="P3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1" s="75">
        <f>VLOOKUP(Youts[[#This Row],[Código]],Projeção[#All],15,FALSE)</f>
        <v>9.9999999999999992E-2</v>
      </c>
      <c r="R31" s="39">
        <f>VLOOKUP(Youts[[#This Row],[Código]],Projeção[#All],14,FALSE)</f>
        <v>0.19999999999999998</v>
      </c>
      <c r="S31" s="39">
        <f>IFERROR(VLOOKUP(Youts[[#This Row],[Código]],Venda_mes[],2,FALSE),0)</f>
        <v>0</v>
      </c>
      <c r="T31" s="44">
        <f>IFERROR(Youts[[#This Row],[V. No mes]]/Youts[[#This Row],[Proj. de V. No mes]],"")</f>
        <v>0</v>
      </c>
      <c r="U31" s="43">
        <f>VLOOKUP(Youts[[#This Row],[Código]],Projeção[#All],14,FALSE)+VLOOKUP(Youts[[#This Row],[Código]],Projeção[#All],13,FALSE)+VLOOKUP(Youts[[#This Row],[Código]],Projeção[#All],12,FALSE)</f>
        <v>0.76666666666666661</v>
      </c>
      <c r="V31" s="39">
        <f>IFERROR(VLOOKUP(Youts[[#This Row],[Código]],Venda_3meses[],2,FALSE),0)</f>
        <v>0</v>
      </c>
      <c r="W31" s="44">
        <f>IFERROR(Youts[[#This Row],[V. 3 meses]]/Youts[[#This Row],[Proj. de V. 3 meses]],"")</f>
        <v>0</v>
      </c>
      <c r="X3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10.166666666666666</v>
      </c>
      <c r="Y31" s="39">
        <f>IFERROR(VLOOKUP(Youts[[#This Row],[Código]],Venda_12meses[],2,FALSE),0)</f>
        <v>1</v>
      </c>
      <c r="Z31" s="44">
        <f>IFERROR(Youts[[#This Row],[V. 12 meses]]/Youts[[#This Row],[Proj. de V. 12 meses]],"")</f>
        <v>9.836065573770493E-2</v>
      </c>
      <c r="AA31" s="22" t="s">
        <v>1723</v>
      </c>
    </row>
    <row r="32" spans="1:27" x14ac:dyDescent="0.25">
      <c r="A32" s="22" t="str">
        <f>VLOOKUP(Youts[[#This Row],[Código]],BD_Produto[#All],7,FALSE)</f>
        <v>Fora de linha</v>
      </c>
      <c r="B3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2" s="23">
        <v>33105063093</v>
      </c>
      <c r="D32" s="22" t="s">
        <v>1093</v>
      </c>
      <c r="E32" s="22" t="str">
        <f>VLOOKUP(Youts[[#This Row],[Código]],BD_Produto[],3,FALSE)</f>
        <v>Mobile</v>
      </c>
      <c r="F32" s="22" t="str">
        <f>VLOOKUP(Youts[[#This Row],[Código]],BD_Produto[],4,FALSE)</f>
        <v>Case iPad</v>
      </c>
      <c r="G32" s="24"/>
      <c r="H32" s="25"/>
      <c r="I32" s="22"/>
      <c r="J32" s="24"/>
      <c r="K32" s="24" t="str">
        <f>IFERROR(VLOOKUP(Youts[[#This Row],[Código]],Importação!P:R,3,FALSE),"")</f>
        <v/>
      </c>
      <c r="L32" s="24">
        <f>IFERROR(VLOOKUP(Youts[[#This Row],[Código]],Saldo[],3,FALSE),0)</f>
        <v>0</v>
      </c>
      <c r="M32" s="24">
        <f>SUM(Youts[[#This Row],[Produção]:[Estoque]])</f>
        <v>0</v>
      </c>
      <c r="N32" s="24">
        <f>IFERROR(Youts[[#This Row],[Estoque+Importação]]/Youts[[#This Row],[Proj. de V. No prox. mes]],"Sem Projeção")</f>
        <v>0</v>
      </c>
      <c r="O32" s="24" t="str">
        <f>IF(OR(Youts[[#This Row],[Status]]="Em Linha",Youts[[#This Row],[Status]]="Componente",Youts[[#This Row],[Status]]="Materia Prima"),Youts[[#This Row],[Proj. de V. No prox. mes]]*10,"-")</f>
        <v>-</v>
      </c>
      <c r="P3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2" s="75">
        <f>VLOOKUP(Youts[[#This Row],[Código]],Projeção[#All],15,FALSE)</f>
        <v>3.3333333333333333E-2</v>
      </c>
      <c r="R32" s="39">
        <f>VLOOKUP(Youts[[#This Row],[Código]],Projeção[#All],14,FALSE)</f>
        <v>6.6666666666666666E-2</v>
      </c>
      <c r="S32" s="39">
        <f>IFERROR(VLOOKUP(Youts[[#This Row],[Código]],Venda_mes[],2,FALSE),0)</f>
        <v>0</v>
      </c>
      <c r="T32" s="44">
        <f>IFERROR(Youts[[#This Row],[V. No mes]]/Youts[[#This Row],[Proj. de V. No mes]],"")</f>
        <v>0</v>
      </c>
      <c r="U32" s="43">
        <f>VLOOKUP(Youts[[#This Row],[Código]],Projeção[#All],14,FALSE)+VLOOKUP(Youts[[#This Row],[Código]],Projeção[#All],13,FALSE)+VLOOKUP(Youts[[#This Row],[Código]],Projeção[#All],12,FALSE)</f>
        <v>0.2</v>
      </c>
      <c r="V32" s="39">
        <f>IFERROR(VLOOKUP(Youts[[#This Row],[Código]],Venda_3meses[],2,FALSE),0)</f>
        <v>0</v>
      </c>
      <c r="W32" s="44">
        <f>IFERROR(Youts[[#This Row],[V. 3 meses]]/Youts[[#This Row],[Proj. de V. 3 meses]],"")</f>
        <v>0</v>
      </c>
      <c r="X3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2.3999999999999995</v>
      </c>
      <c r="Y32" s="39">
        <f>IFERROR(VLOOKUP(Youts[[#This Row],[Código]],Venda_12meses[],2,FALSE),0)</f>
        <v>1</v>
      </c>
      <c r="Z32" s="44">
        <f>IFERROR(Youts[[#This Row],[V. 12 meses]]/Youts[[#This Row],[Proj. de V. 12 meses]],"")</f>
        <v>0.41666666666666674</v>
      </c>
      <c r="AA32" s="22" t="s">
        <v>1723</v>
      </c>
    </row>
    <row r="33" spans="1:27" x14ac:dyDescent="0.25">
      <c r="A33" s="22" t="str">
        <f>VLOOKUP(Youts[[#This Row],[Código]],BD_Produto[#All],7,FALSE)</f>
        <v>Fora de linha</v>
      </c>
      <c r="B3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3" s="23">
        <v>33105063990</v>
      </c>
      <c r="D33" s="22" t="s">
        <v>1187</v>
      </c>
      <c r="E33" s="22" t="str">
        <f>VLOOKUP(Youts[[#This Row],[Código]],BD_Produto[],3,FALSE)</f>
        <v>Mobile</v>
      </c>
      <c r="F33" s="22" t="str">
        <f>VLOOKUP(Youts[[#This Row],[Código]],BD_Produto[],4,FALSE)</f>
        <v>Galaxy S4</v>
      </c>
      <c r="G33" s="24"/>
      <c r="H33" s="25"/>
      <c r="I33" s="22"/>
      <c r="J33" s="24"/>
      <c r="K33" s="24" t="str">
        <f>IFERROR(VLOOKUP(Youts[[#This Row],[Código]],Importação!P:R,3,FALSE),"")</f>
        <v/>
      </c>
      <c r="L33" s="24">
        <f>IFERROR(VLOOKUP(Youts[[#This Row],[Código]],Saldo[],3,FALSE),0)</f>
        <v>0</v>
      </c>
      <c r="M33" s="24">
        <f>SUM(Youts[[#This Row],[Produção]:[Estoque]])</f>
        <v>0</v>
      </c>
      <c r="N33" s="24">
        <f>IFERROR(Youts[[#This Row],[Estoque+Importação]]/Youts[[#This Row],[Proj. de V. No prox. mes]],"Sem Projeção")</f>
        <v>0</v>
      </c>
      <c r="O33" s="24" t="str">
        <f>IF(OR(Youts[[#This Row],[Status]]="Em Linha",Youts[[#This Row],[Status]]="Componente",Youts[[#This Row],[Status]]="Materia Prima"),Youts[[#This Row],[Proj. de V. No prox. mes]]*10,"-")</f>
        <v>-</v>
      </c>
      <c r="P3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3" s="75">
        <f>VLOOKUP(Youts[[#This Row],[Código]],Projeção[#All],15,FALSE)</f>
        <v>9.9999999999999992E-2</v>
      </c>
      <c r="R33" s="39">
        <f>VLOOKUP(Youts[[#This Row],[Código]],Projeção[#All],14,FALSE)</f>
        <v>0.13333333333333333</v>
      </c>
      <c r="S33" s="39">
        <f>IFERROR(VLOOKUP(Youts[[#This Row],[Código]],Venda_mes[],2,FALSE),0)</f>
        <v>0</v>
      </c>
      <c r="T33" s="44">
        <f>IFERROR(Youts[[#This Row],[V. No mes]]/Youts[[#This Row],[Proj. de V. No mes]],"")</f>
        <v>0</v>
      </c>
      <c r="U33" s="43">
        <f>VLOOKUP(Youts[[#This Row],[Código]],Projeção[#All],14,FALSE)+VLOOKUP(Youts[[#This Row],[Código]],Projeção[#All],13,FALSE)+VLOOKUP(Youts[[#This Row],[Código]],Projeção[#All],12,FALSE)</f>
        <v>0.46666666666666667</v>
      </c>
      <c r="V33" s="39">
        <f>IFERROR(VLOOKUP(Youts[[#This Row],[Código]],Venda_3meses[],2,FALSE),0)</f>
        <v>0</v>
      </c>
      <c r="W33" s="44">
        <f>IFERROR(Youts[[#This Row],[V. 3 meses]]/Youts[[#This Row],[Proj. de V. 3 meses]],"")</f>
        <v>0</v>
      </c>
      <c r="X3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4.3999999999999995</v>
      </c>
      <c r="Y33" s="39">
        <f>IFERROR(VLOOKUP(Youts[[#This Row],[Código]],Venda_12meses[],2,FALSE),0)</f>
        <v>1</v>
      </c>
      <c r="Z33" s="44">
        <f>IFERROR(Youts[[#This Row],[V. 12 meses]]/Youts[[#This Row],[Proj. de V. 12 meses]],"")</f>
        <v>0.22727272727272729</v>
      </c>
      <c r="AA33" s="22"/>
    </row>
    <row r="34" spans="1:27" x14ac:dyDescent="0.25">
      <c r="A34" s="22" t="str">
        <f>VLOOKUP(Youts[[#This Row],[Código]],BD_Produto[#All],7,FALSE)</f>
        <v>Fora de linha</v>
      </c>
      <c r="B34" s="22" t="str">
        <f>IF(OR(Youts[[#This Row],[Status]]="Em linha",Youts[[#This Row],[Status]]="Materia Prima",Youts[[#This Row],[Status]]="Componente"),"ok",IF(Youts[[#This Row],[Estoque+Importação]]&lt;1,"Tirar","ok"))</f>
        <v>ok</v>
      </c>
      <c r="C34" s="23">
        <v>33105163075</v>
      </c>
      <c r="D34" s="22" t="s">
        <v>997</v>
      </c>
      <c r="E34" s="22" t="str">
        <f>VLOOKUP(Youts[[#This Row],[Código]],BD_Produto[],3,FALSE)</f>
        <v>Mobile</v>
      </c>
      <c r="F34" s="22" t="str">
        <f>VLOOKUP(Youts[[#This Row],[Código]],BD_Produto[],4,FALSE)</f>
        <v>Screen Protector</v>
      </c>
      <c r="G34" s="24"/>
      <c r="H34" s="25"/>
      <c r="I34" s="22"/>
      <c r="J34" s="24"/>
      <c r="K34" s="24" t="str">
        <f>IFERROR(VLOOKUP(Youts[[#This Row],[Código]],Importação!P:R,3,FALSE),"")</f>
        <v/>
      </c>
      <c r="L34" s="24">
        <f>IFERROR(VLOOKUP(Youts[[#This Row],[Código]],Saldo[],3,FALSE),0)</f>
        <v>824</v>
      </c>
      <c r="M34" s="24">
        <f>SUM(Youts[[#This Row],[Produção]:[Estoque]])</f>
        <v>824</v>
      </c>
      <c r="N34" s="24">
        <f>IFERROR(Youts[[#This Row],[Estoque+Importação]]/Youts[[#This Row],[Proj. de V. No prox. mes]],"Sem Projeção")</f>
        <v>2247.2727272727275</v>
      </c>
      <c r="O34" s="24" t="str">
        <f>IF(OR(Youts[[#This Row],[Status]]="Em Linha",Youts[[#This Row],[Status]]="Componente",Youts[[#This Row],[Status]]="Materia Prima"),Youts[[#This Row],[Proj. de V. No prox. mes]]*10,"-")</f>
        <v>-</v>
      </c>
      <c r="P3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4" s="75">
        <f>VLOOKUP(Youts[[#This Row],[Código]],Projeção[#All],15,FALSE)</f>
        <v>0.36666666666666664</v>
      </c>
      <c r="R34" s="39">
        <f>VLOOKUP(Youts[[#This Row],[Código]],Projeção[#All],14,FALSE)</f>
        <v>9.9999999999999992E-2</v>
      </c>
      <c r="S34" s="39">
        <f>IFERROR(VLOOKUP(Youts[[#This Row],[Código]],Venda_mes[],2,FALSE),0)</f>
        <v>0</v>
      </c>
      <c r="T34" s="44">
        <f>IFERROR(Youts[[#This Row],[V. No mes]]/Youts[[#This Row],[Proj. de V. No mes]],"")</f>
        <v>0</v>
      </c>
      <c r="U34" s="43">
        <f>VLOOKUP(Youts[[#This Row],[Código]],Projeção[#All],14,FALSE)+VLOOKUP(Youts[[#This Row],[Código]],Projeção[#All],13,FALSE)+VLOOKUP(Youts[[#This Row],[Código]],Projeção[#All],12,FALSE)</f>
        <v>0.36666666666666659</v>
      </c>
      <c r="V34" s="39">
        <f>IFERROR(VLOOKUP(Youts[[#This Row],[Código]],Venda_3meses[],2,FALSE),0)</f>
        <v>1</v>
      </c>
      <c r="W34" s="44">
        <f>IFERROR(Youts[[#This Row],[V. 3 meses]]/Youts[[#This Row],[Proj. de V. 3 meses]],"")</f>
        <v>2.727272727272728</v>
      </c>
      <c r="X3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0.56666666666666654</v>
      </c>
      <c r="Y34" s="39">
        <f>IFERROR(VLOOKUP(Youts[[#This Row],[Código]],Venda_12meses[],2,FALSE),0)</f>
        <v>3</v>
      </c>
      <c r="Z34" s="44">
        <f>IFERROR(Youts[[#This Row],[V. 12 meses]]/Youts[[#This Row],[Proj. de V. 12 meses]],"")</f>
        <v>5.2941176470588243</v>
      </c>
      <c r="AA34" s="22" t="s">
        <v>1723</v>
      </c>
    </row>
    <row r="35" spans="1:27" x14ac:dyDescent="0.25">
      <c r="A35" s="22" t="str">
        <f>VLOOKUP(Youts[[#This Row],[Código]],BD_Produto[#All],7,FALSE)</f>
        <v>Fora de linha</v>
      </c>
      <c r="B3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5" s="23">
        <v>33105063138</v>
      </c>
      <c r="D35" s="22" t="s">
        <v>1029</v>
      </c>
      <c r="E35" s="22" t="str">
        <f>VLOOKUP(Youts[[#This Row],[Código]],BD_Produto[],3,FALSE)</f>
        <v>Mobile</v>
      </c>
      <c r="F35" s="22" t="str">
        <f>VLOOKUP(Youts[[#This Row],[Código]],BD_Produto[],4,FALSE)</f>
        <v>Case BB</v>
      </c>
      <c r="G35" s="24"/>
      <c r="H35" s="25"/>
      <c r="I35" s="22"/>
      <c r="J35" s="24"/>
      <c r="K35" s="24" t="str">
        <f>IFERROR(VLOOKUP(Youts[[#This Row],[Código]],Importação!P:R,3,FALSE),"")</f>
        <v/>
      </c>
      <c r="L35" s="24">
        <f>IFERROR(VLOOKUP(Youts[[#This Row],[Código]],Saldo[],3,FALSE),0)</f>
        <v>0</v>
      </c>
      <c r="M35" s="24">
        <f>SUM(Youts[[#This Row],[Produção]:[Estoque]])</f>
        <v>0</v>
      </c>
      <c r="N35" s="24">
        <f>IFERROR(Youts[[#This Row],[Estoque+Importação]]/Youts[[#This Row],[Proj. de V. No prox. mes]],"Sem Projeção")</f>
        <v>0</v>
      </c>
      <c r="O35" s="24" t="str">
        <f>IF(OR(Youts[[#This Row],[Status]]="Em Linha",Youts[[#This Row],[Status]]="Componente",Youts[[#This Row],[Status]]="Materia Prima"),Youts[[#This Row],[Proj. de V. No prox. mes]]*10,"-")</f>
        <v>-</v>
      </c>
      <c r="P3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5" s="75">
        <f>VLOOKUP(Youts[[#This Row],[Código]],Projeção[#All],15,FALSE)</f>
        <v>3.3333333333333333E-2</v>
      </c>
      <c r="R35" s="39">
        <f>VLOOKUP(Youts[[#This Row],[Código]],Projeção[#All],14,FALSE)</f>
        <v>9.9999999999999992E-2</v>
      </c>
      <c r="S35" s="39">
        <f>IFERROR(VLOOKUP(Youts[[#This Row],[Código]],Venda_mes[],2,FALSE),0)</f>
        <v>0</v>
      </c>
      <c r="T35" s="44">
        <f>IFERROR(Youts[[#This Row],[V. No mes]]/Youts[[#This Row],[Proj. de V. No mes]],"")</f>
        <v>0</v>
      </c>
      <c r="U35" s="43">
        <f>VLOOKUP(Youts[[#This Row],[Código]],Projeção[#All],14,FALSE)+VLOOKUP(Youts[[#This Row],[Código]],Projeção[#All],13,FALSE)+VLOOKUP(Youts[[#This Row],[Código]],Projeção[#All],12,FALSE)</f>
        <v>0.49999999999999994</v>
      </c>
      <c r="V35" s="39">
        <f>IFERROR(VLOOKUP(Youts[[#This Row],[Código]],Venda_3meses[],2,FALSE),0)</f>
        <v>0</v>
      </c>
      <c r="W35" s="44">
        <f>IFERROR(Youts[[#This Row],[V. 3 meses]]/Youts[[#This Row],[Proj. de V. 3 meses]],"")</f>
        <v>0</v>
      </c>
      <c r="X3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0.49999999999999994</v>
      </c>
      <c r="Y35" s="39">
        <f>IFERROR(VLOOKUP(Youts[[#This Row],[Código]],Venda_12meses[],2,FALSE),0)</f>
        <v>1</v>
      </c>
      <c r="Z35" s="44">
        <f>IFERROR(Youts[[#This Row],[V. 12 meses]]/Youts[[#This Row],[Proj. de V. 12 meses]],"")</f>
        <v>2</v>
      </c>
      <c r="AA35" s="22" t="s">
        <v>1723</v>
      </c>
    </row>
    <row r="36" spans="1:27" x14ac:dyDescent="0.25">
      <c r="A36" s="22" t="str">
        <f>VLOOKUP(Youts[[#This Row],[Código]],BD_Produto[#All],7,FALSE)</f>
        <v>Fora de linha</v>
      </c>
      <c r="B3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6" s="23">
        <v>33102263133</v>
      </c>
      <c r="D36" s="22" t="s">
        <v>805</v>
      </c>
      <c r="E36" s="22" t="str">
        <f>VLOOKUP(Youts[[#This Row],[Código]],BD_Produto[],3,FALSE)</f>
        <v>Áudio</v>
      </c>
      <c r="F36" s="22" t="str">
        <f>VLOOKUP(Youts[[#This Row],[Código]],BD_Produto[],4,FALSE)</f>
        <v>Caixa de Som</v>
      </c>
      <c r="G36" s="24"/>
      <c r="H36" s="25"/>
      <c r="I36" s="22"/>
      <c r="J36" s="24"/>
      <c r="K36" s="24" t="str">
        <f>IFERROR(VLOOKUP(Youts[[#This Row],[Código]],Importação!P:R,3,FALSE),"")</f>
        <v/>
      </c>
      <c r="L36" s="24">
        <f>IFERROR(VLOOKUP(Youts[[#This Row],[Código]],Saldo[],3,FALSE),0)</f>
        <v>0</v>
      </c>
      <c r="M36" s="24">
        <f>SUM(Youts[[#This Row],[Produção]:[Estoque]])</f>
        <v>0</v>
      </c>
      <c r="N36" s="24">
        <f>IFERROR(Youts[[#This Row],[Estoque+Importação]]/Youts[[#This Row],[Proj. de V. No prox. mes]],"Sem Projeção")</f>
        <v>0</v>
      </c>
      <c r="O36" s="24" t="str">
        <f>IF(OR(Youts[[#This Row],[Status]]="Em Linha",Youts[[#This Row],[Status]]="Componente",Youts[[#This Row],[Status]]="Materia Prima"),Youts[[#This Row],[Proj. de V. No prox. mes]]*10,"-")</f>
        <v>-</v>
      </c>
      <c r="P3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6" s="75">
        <f>VLOOKUP(Youts[[#This Row],[Código]],Projeção[#All],15,FALSE)</f>
        <v>0.83333333333333337</v>
      </c>
      <c r="R36" s="39">
        <f>VLOOKUP(Youts[[#This Row],[Código]],Projeção[#All],14,FALSE)</f>
        <v>3.3333333333333333E-2</v>
      </c>
      <c r="S36" s="39">
        <f>IFERROR(VLOOKUP(Youts[[#This Row],[Código]],Venda_mes[],2,FALSE),0)</f>
        <v>0</v>
      </c>
      <c r="T36" s="44">
        <f>IFERROR(Youts[[#This Row],[V. No mes]]/Youts[[#This Row],[Proj. de V. No mes]],"")</f>
        <v>0</v>
      </c>
      <c r="U36" s="43">
        <f>VLOOKUP(Youts[[#This Row],[Código]],Projeção[#All],14,FALSE)+VLOOKUP(Youts[[#This Row],[Código]],Projeção[#All],13,FALSE)+VLOOKUP(Youts[[#This Row],[Código]],Projeção[#All],12,FALSE)</f>
        <v>0.16666666666666666</v>
      </c>
      <c r="V36" s="39">
        <f>IFERROR(VLOOKUP(Youts[[#This Row],[Código]],Venda_3meses[],2,FALSE),0)</f>
        <v>2</v>
      </c>
      <c r="W36" s="44">
        <f>IFERROR(Youts[[#This Row],[V. 3 meses]]/Youts[[#This Row],[Proj. de V. 3 meses]],"")</f>
        <v>12</v>
      </c>
      <c r="X3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4.5999999999999996</v>
      </c>
      <c r="Y36" s="39">
        <f>IFERROR(VLOOKUP(Youts[[#This Row],[Código]],Venda_12meses[],2,FALSE),0)</f>
        <v>7</v>
      </c>
      <c r="Z36" s="44">
        <f>IFERROR(Youts[[#This Row],[V. 12 meses]]/Youts[[#This Row],[Proj. de V. 12 meses]],"")</f>
        <v>1.5217391304347827</v>
      </c>
      <c r="AA36" s="22" t="s">
        <v>1723</v>
      </c>
    </row>
    <row r="37" spans="1:27" x14ac:dyDescent="0.25">
      <c r="A37" s="22" t="str">
        <f>VLOOKUP(Youts[[#This Row],[Código]],BD_Produto[#All],7,FALSE)</f>
        <v>Fora de linha</v>
      </c>
      <c r="B3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7" s="23">
        <v>33105063098</v>
      </c>
      <c r="D37" s="22" t="s">
        <v>1131</v>
      </c>
      <c r="E37" s="22" t="str">
        <f>VLOOKUP(Youts[[#This Row],[Código]],BD_Produto[],3,FALSE)</f>
        <v>Mobile</v>
      </c>
      <c r="F37" s="22" t="str">
        <f>VLOOKUP(Youts[[#This Row],[Código]],BD_Produto[],4,FALSE)</f>
        <v>iPhone 3/3S</v>
      </c>
      <c r="G37" s="24"/>
      <c r="H37" s="25"/>
      <c r="I37" s="22"/>
      <c r="J37" s="24"/>
      <c r="K37" s="24" t="str">
        <f>IFERROR(VLOOKUP(Youts[[#This Row],[Código]],Importação!P:R,3,FALSE),"")</f>
        <v/>
      </c>
      <c r="L37" s="24">
        <f>IFERROR(VLOOKUP(Youts[[#This Row],[Código]],Saldo[],3,FALSE),0)</f>
        <v>0</v>
      </c>
      <c r="M37" s="24">
        <f>SUM(Youts[[#This Row],[Produção]:[Estoque]])</f>
        <v>0</v>
      </c>
      <c r="N37" s="24" t="str">
        <f>IFERROR(Youts[[#This Row],[Estoque+Importação]]/Youts[[#This Row],[Proj. de V. No prox. mes]],"Sem Projeção")</f>
        <v>Sem Projeção</v>
      </c>
      <c r="O37" s="24" t="str">
        <f>IF(OR(Youts[[#This Row],[Status]]="Em Linha",Youts[[#This Row],[Status]]="Componente",Youts[[#This Row],[Status]]="Materia Prima"),Youts[[#This Row],[Proj. de V. No prox. mes]]*10,"-")</f>
        <v>-</v>
      </c>
      <c r="P3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7" s="75">
        <f>VLOOKUP(Youts[[#This Row],[Código]],Projeção[#All],15,FALSE)</f>
        <v>0</v>
      </c>
      <c r="R37" s="39">
        <f>VLOOKUP(Youts[[#This Row],[Código]],Projeção[#All],14,FALSE)</f>
        <v>6.6666666666666666E-2</v>
      </c>
      <c r="S37" s="39">
        <f>IFERROR(VLOOKUP(Youts[[#This Row],[Código]],Venda_mes[],2,FALSE),0)</f>
        <v>0</v>
      </c>
      <c r="T37" s="44">
        <f>IFERROR(Youts[[#This Row],[V. No mes]]/Youts[[#This Row],[Proj. de V. No mes]],"")</f>
        <v>0</v>
      </c>
      <c r="U37" s="43">
        <f>VLOOKUP(Youts[[#This Row],[Código]],Projeção[#All],14,FALSE)+VLOOKUP(Youts[[#This Row],[Código]],Projeção[#All],13,FALSE)+VLOOKUP(Youts[[#This Row],[Código]],Projeção[#All],12,FALSE)</f>
        <v>0.2</v>
      </c>
      <c r="V37" s="39">
        <f>IFERROR(VLOOKUP(Youts[[#This Row],[Código]],Venda_3meses[],2,FALSE),0)</f>
        <v>0</v>
      </c>
      <c r="W37" s="44">
        <f>IFERROR(Youts[[#This Row],[V. 3 meses]]/Youts[[#This Row],[Proj. de V. 3 meses]],"")</f>
        <v>0</v>
      </c>
      <c r="X3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3.9</v>
      </c>
      <c r="Y37" s="39">
        <f>IFERROR(VLOOKUP(Youts[[#This Row],[Código]],Venda_12meses[],2,FALSE),0)</f>
        <v>0</v>
      </c>
      <c r="Z37" s="44">
        <f>IFERROR(Youts[[#This Row],[V. 12 meses]]/Youts[[#This Row],[Proj. de V. 12 meses]],"")</f>
        <v>0</v>
      </c>
      <c r="AA37" s="22" t="s">
        <v>1723</v>
      </c>
    </row>
    <row r="38" spans="1:27" x14ac:dyDescent="0.25">
      <c r="A38" s="22" t="str">
        <f>VLOOKUP(Youts[[#This Row],[Código]],BD_Produto[#All],7,FALSE)</f>
        <v>Fora de linha</v>
      </c>
      <c r="B3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8" s="23">
        <v>33105063099</v>
      </c>
      <c r="D38" s="22" t="s">
        <v>823</v>
      </c>
      <c r="E38" s="22" t="str">
        <f>VLOOKUP(Youts[[#This Row],[Código]],BD_Produto[],3,FALSE)</f>
        <v>Mobile</v>
      </c>
      <c r="F38" s="22" t="str">
        <f>VLOOKUP(Youts[[#This Row],[Código]],BD_Produto[],4,FALSE)</f>
        <v>iPhone 3/3S</v>
      </c>
      <c r="G38" s="24"/>
      <c r="H38" s="25"/>
      <c r="I38" s="22"/>
      <c r="J38" s="24"/>
      <c r="K38" s="24" t="str">
        <f>IFERROR(VLOOKUP(Youts[[#This Row],[Código]],Importação!P:R,3,FALSE),"")</f>
        <v/>
      </c>
      <c r="L38" s="24">
        <f>IFERROR(VLOOKUP(Youts[[#This Row],[Código]],Saldo[],3,FALSE),0)</f>
        <v>0</v>
      </c>
      <c r="M38" s="24">
        <f>SUM(Youts[[#This Row],[Produção]:[Estoque]])</f>
        <v>0</v>
      </c>
      <c r="N38" s="24" t="str">
        <f>IFERROR(Youts[[#This Row],[Estoque+Importação]]/Youts[[#This Row],[Proj. de V. No prox. mes]],"Sem Projeção")</f>
        <v>Sem Projeção</v>
      </c>
      <c r="O38" s="24" t="str">
        <f>IF(OR(Youts[[#This Row],[Status]]="Em Linha",Youts[[#This Row],[Status]]="Componente",Youts[[#This Row],[Status]]="Materia Prima"),Youts[[#This Row],[Proj. de V. No prox. mes]]*10,"-")</f>
        <v>-</v>
      </c>
      <c r="P3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8" s="75">
        <f>VLOOKUP(Youts[[#This Row],[Código]],Projeção[#All],15,FALSE)</f>
        <v>0</v>
      </c>
      <c r="R38" s="39">
        <f>VLOOKUP(Youts[[#This Row],[Código]],Projeção[#All],14,FALSE)</f>
        <v>6.6666666666666666E-2</v>
      </c>
      <c r="S38" s="39">
        <f>IFERROR(VLOOKUP(Youts[[#This Row],[Código]],Venda_mes[],2,FALSE),0)</f>
        <v>0</v>
      </c>
      <c r="T38" s="44">
        <f>IFERROR(Youts[[#This Row],[V. No mes]]/Youts[[#This Row],[Proj. de V. No mes]],"")</f>
        <v>0</v>
      </c>
      <c r="U38" s="43">
        <f>VLOOKUP(Youts[[#This Row],[Código]],Projeção[#All],14,FALSE)+VLOOKUP(Youts[[#This Row],[Código]],Projeção[#All],13,FALSE)+VLOOKUP(Youts[[#This Row],[Código]],Projeção[#All],12,FALSE)</f>
        <v>0.2</v>
      </c>
      <c r="V38" s="39">
        <f>IFERROR(VLOOKUP(Youts[[#This Row],[Código]],Venda_3meses[],2,FALSE),0)</f>
        <v>0</v>
      </c>
      <c r="W38" s="44">
        <f>IFERROR(Youts[[#This Row],[V. 3 meses]]/Youts[[#This Row],[Proj. de V. 3 meses]],"")</f>
        <v>0</v>
      </c>
      <c r="X3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2.9333333333333331</v>
      </c>
      <c r="Y38" s="39">
        <f>IFERROR(VLOOKUP(Youts[[#This Row],[Código]],Venda_12meses[],2,FALSE),0)</f>
        <v>0</v>
      </c>
      <c r="Z38" s="44">
        <f>IFERROR(Youts[[#This Row],[V. 12 meses]]/Youts[[#This Row],[Proj. de V. 12 meses]],"")</f>
        <v>0</v>
      </c>
      <c r="AA38" s="22" t="s">
        <v>1723</v>
      </c>
    </row>
    <row r="39" spans="1:27" x14ac:dyDescent="0.25">
      <c r="A39" s="22" t="str">
        <f>VLOOKUP(Youts[[#This Row],[Código]],BD_Produto[#All],7,FALSE)</f>
        <v>Fora de linha</v>
      </c>
      <c r="B3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39" s="23">
        <v>33105063104</v>
      </c>
      <c r="D39" s="22" t="s">
        <v>828</v>
      </c>
      <c r="E39" s="22" t="str">
        <f>VLOOKUP(Youts[[#This Row],[Código]],BD_Produto[],3,FALSE)</f>
        <v>Mobile</v>
      </c>
      <c r="F39" s="22" t="str">
        <f>VLOOKUP(Youts[[#This Row],[Código]],BD_Produto[],4,FALSE)</f>
        <v>iPhone 4/4S</v>
      </c>
      <c r="G39" s="24"/>
      <c r="H39" s="25"/>
      <c r="I39" s="22"/>
      <c r="J39" s="24"/>
      <c r="K39" s="24" t="str">
        <f>IFERROR(VLOOKUP(Youts[[#This Row],[Código]],Importação!P:R,3,FALSE),"")</f>
        <v/>
      </c>
      <c r="L39" s="24">
        <f>IFERROR(VLOOKUP(Youts[[#This Row],[Código]],Saldo[],3,FALSE),0)</f>
        <v>0</v>
      </c>
      <c r="M39" s="24">
        <f>SUM(Youts[[#This Row],[Produção]:[Estoque]])</f>
        <v>0</v>
      </c>
      <c r="N39" s="24" t="str">
        <f>IFERROR(Youts[[#This Row],[Estoque+Importação]]/Youts[[#This Row],[Proj. de V. No prox. mes]],"Sem Projeção")</f>
        <v>Sem Projeção</v>
      </c>
      <c r="O39" s="24" t="str">
        <f>IF(OR(Youts[[#This Row],[Status]]="Em Linha",Youts[[#This Row],[Status]]="Componente",Youts[[#This Row],[Status]]="Materia Prima"),Youts[[#This Row],[Proj. de V. No prox. mes]]*10,"-")</f>
        <v>-</v>
      </c>
      <c r="P3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39" s="75">
        <f>VLOOKUP(Youts[[#This Row],[Código]],Projeção[#All],15,FALSE)</f>
        <v>0</v>
      </c>
      <c r="R39" s="39">
        <f>VLOOKUP(Youts[[#This Row],[Código]],Projeção[#All],14,FALSE)</f>
        <v>3.3333333333333333E-2</v>
      </c>
      <c r="S39" s="39">
        <f>IFERROR(VLOOKUP(Youts[[#This Row],[Código]],Venda_mes[],2,FALSE),0)</f>
        <v>0</v>
      </c>
      <c r="T39" s="44">
        <f>IFERROR(Youts[[#This Row],[V. No mes]]/Youts[[#This Row],[Proj. de V. No mes]],"")</f>
        <v>0</v>
      </c>
      <c r="U39" s="43">
        <f>VLOOKUP(Youts[[#This Row],[Código]],Projeção[#All],14,FALSE)+VLOOKUP(Youts[[#This Row],[Código]],Projeção[#All],13,FALSE)+VLOOKUP(Youts[[#This Row],[Código]],Projeção[#All],12,FALSE)</f>
        <v>0.1</v>
      </c>
      <c r="V39" s="39">
        <f>IFERROR(VLOOKUP(Youts[[#This Row],[Código]],Venda_3meses[],2,FALSE),0)</f>
        <v>0</v>
      </c>
      <c r="W39" s="44">
        <f>IFERROR(Youts[[#This Row],[V. 3 meses]]/Youts[[#This Row],[Proj. de V. 3 meses]],"")</f>
        <v>0</v>
      </c>
      <c r="X3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1.833333333333333</v>
      </c>
      <c r="Y39" s="39">
        <f>IFERROR(VLOOKUP(Youts[[#This Row],[Código]],Venda_12meses[],2,FALSE),0)</f>
        <v>0</v>
      </c>
      <c r="Z39" s="44">
        <f>IFERROR(Youts[[#This Row],[V. 12 meses]]/Youts[[#This Row],[Proj. de V. 12 meses]],"")</f>
        <v>0</v>
      </c>
      <c r="AA39" s="22" t="s">
        <v>1723</v>
      </c>
    </row>
    <row r="40" spans="1:27" x14ac:dyDescent="0.25">
      <c r="A40" s="22" t="str">
        <f>VLOOKUP(Youts[[#This Row],[Código]],BD_Produto[#All],7,FALSE)</f>
        <v>Fora de linha</v>
      </c>
      <c r="B4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0" s="23">
        <v>33105063088</v>
      </c>
      <c r="D40" s="22" t="s">
        <v>1024</v>
      </c>
      <c r="E40" s="22" t="str">
        <f>VLOOKUP(Youts[[#This Row],[Código]],BD_Produto[],3,FALSE)</f>
        <v>Mobile</v>
      </c>
      <c r="F40" s="22" t="str">
        <f>VLOOKUP(Youts[[#This Row],[Código]],BD_Produto[],4,FALSE)</f>
        <v>Case iPad</v>
      </c>
      <c r="G40" s="24"/>
      <c r="H40" s="25"/>
      <c r="I40" s="22"/>
      <c r="J40" s="24"/>
      <c r="K40" s="24" t="str">
        <f>IFERROR(VLOOKUP(Youts[[#This Row],[Código]],Importação!P:R,3,FALSE),"")</f>
        <v/>
      </c>
      <c r="L40" s="24">
        <f>IFERROR(VLOOKUP(Youts[[#This Row],[Código]],Saldo[],3,FALSE),0)</f>
        <v>0</v>
      </c>
      <c r="M40" s="24">
        <f>SUM(Youts[[#This Row],[Produção]:[Estoque]])</f>
        <v>0</v>
      </c>
      <c r="N40" s="24">
        <f>IFERROR(Youts[[#This Row],[Estoque+Importação]]/Youts[[#This Row],[Proj. de V. No prox. mes]],"Sem Projeção")</f>
        <v>0</v>
      </c>
      <c r="O40" s="24" t="str">
        <f>IF(OR(Youts[[#This Row],[Status]]="Em Linha",Youts[[#This Row],[Status]]="Componente",Youts[[#This Row],[Status]]="Materia Prima"),Youts[[#This Row],[Proj. de V. No prox. mes]]*10,"-")</f>
        <v>-</v>
      </c>
      <c r="P4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0" s="75">
        <f>VLOOKUP(Youts[[#This Row],[Código]],Projeção[#All],15,FALSE)</f>
        <v>0.43333333333333329</v>
      </c>
      <c r="R40" s="39">
        <f>VLOOKUP(Youts[[#This Row],[Código]],Projeção[#All],14,FALSE)</f>
        <v>3.3333333333333333E-2</v>
      </c>
      <c r="S40" s="39">
        <f>IFERROR(VLOOKUP(Youts[[#This Row],[Código]],Venda_mes[],2,FALSE),0)</f>
        <v>1</v>
      </c>
      <c r="T40" s="44">
        <f>IFERROR(Youts[[#This Row],[V. No mes]]/Youts[[#This Row],[Proj. de V. No mes]],"")</f>
        <v>30</v>
      </c>
      <c r="U40" s="43">
        <f>VLOOKUP(Youts[[#This Row],[Código]],Projeção[#All],14,FALSE)+VLOOKUP(Youts[[#This Row],[Código]],Projeção[#All],13,FALSE)+VLOOKUP(Youts[[#This Row],[Código]],Projeção[#All],12,FALSE)</f>
        <v>0.1</v>
      </c>
      <c r="V40" s="39">
        <f>IFERROR(VLOOKUP(Youts[[#This Row],[Código]],Venda_3meses[],2,FALSE),0)</f>
        <v>1</v>
      </c>
      <c r="W40" s="44">
        <f>IFERROR(Youts[[#This Row],[V. 3 meses]]/Youts[[#This Row],[Proj. de V. 3 meses]],"")</f>
        <v>10</v>
      </c>
      <c r="X4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1.6999999999999997</v>
      </c>
      <c r="Y40" s="39">
        <f>IFERROR(VLOOKUP(Youts[[#This Row],[Código]],Venda_12meses[],2,FALSE),0)</f>
        <v>3</v>
      </c>
      <c r="Z40" s="44">
        <f>IFERROR(Youts[[#This Row],[V. 12 meses]]/Youts[[#This Row],[Proj. de V. 12 meses]],"")</f>
        <v>1.7647058823529413</v>
      </c>
      <c r="AA40" s="22" t="s">
        <v>1723</v>
      </c>
    </row>
    <row r="41" spans="1:27" x14ac:dyDescent="0.25">
      <c r="A41" s="22" t="str">
        <f>VLOOKUP(Youts[[#This Row],[Código]],BD_Produto[#All],7,FALSE)</f>
        <v>Fora de linha</v>
      </c>
      <c r="B4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1" s="23">
        <v>33105063115</v>
      </c>
      <c r="D41" s="22" t="s">
        <v>1059</v>
      </c>
      <c r="E41" s="22" t="str">
        <f>VLOOKUP(Youts[[#This Row],[Código]],BD_Produto[],3,FALSE)</f>
        <v>Mobile</v>
      </c>
      <c r="F41" s="22" t="str">
        <f>VLOOKUP(Youts[[#This Row],[Código]],BD_Produto[],4,FALSE)</f>
        <v>Case BB</v>
      </c>
      <c r="G41" s="24"/>
      <c r="H41" s="25"/>
      <c r="I41" s="22"/>
      <c r="J41" s="24"/>
      <c r="K41" s="24" t="str">
        <f>IFERROR(VLOOKUP(Youts[[#This Row],[Código]],Importação!P:R,3,FALSE),"")</f>
        <v/>
      </c>
      <c r="L41" s="24">
        <f>IFERROR(VLOOKUP(Youts[[#This Row],[Código]],Saldo[],3,FALSE),0)</f>
        <v>0</v>
      </c>
      <c r="M41" s="24">
        <f>SUM(Youts[[#This Row],[Produção]:[Estoque]])</f>
        <v>0</v>
      </c>
      <c r="N41" s="24" t="str">
        <f>IFERROR(Youts[[#This Row],[Estoque+Importação]]/Youts[[#This Row],[Proj. de V. No prox. mes]],"Sem Projeção")</f>
        <v>Sem Projeção</v>
      </c>
      <c r="O41" s="24" t="str">
        <f>IF(OR(Youts[[#This Row],[Status]]="Em Linha",Youts[[#This Row],[Status]]="Componente",Youts[[#This Row],[Status]]="Materia Prima"),Youts[[#This Row],[Proj. de V. No prox. mes]]*10,"-")</f>
        <v>-</v>
      </c>
      <c r="P4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1" s="75">
        <f>VLOOKUP(Youts[[#This Row],[Código]],Projeção[#All],15,FALSE)</f>
        <v>0</v>
      </c>
      <c r="R41" s="39">
        <f>VLOOKUP(Youts[[#This Row],[Código]],Projeção[#All],14,FALSE)</f>
        <v>3.3333333333333333E-2</v>
      </c>
      <c r="S41" s="39">
        <f>IFERROR(VLOOKUP(Youts[[#This Row],[Código]],Venda_mes[],2,FALSE),0)</f>
        <v>0</v>
      </c>
      <c r="T41" s="44">
        <f>IFERROR(Youts[[#This Row],[V. No mes]]/Youts[[#This Row],[Proj. de V. No mes]],"")</f>
        <v>0</v>
      </c>
      <c r="U41" s="43">
        <f>VLOOKUP(Youts[[#This Row],[Código]],Projeção[#All],14,FALSE)+VLOOKUP(Youts[[#This Row],[Código]],Projeção[#All],13,FALSE)+VLOOKUP(Youts[[#This Row],[Código]],Projeção[#All],12,FALSE)</f>
        <v>0.1</v>
      </c>
      <c r="V41" s="39">
        <f>IFERROR(VLOOKUP(Youts[[#This Row],[Código]],Venda_3meses[],2,FALSE),0)</f>
        <v>0</v>
      </c>
      <c r="W41" s="44">
        <f>IFERROR(Youts[[#This Row],[V. 3 meses]]/Youts[[#This Row],[Proj. de V. 3 meses]],"")</f>
        <v>0</v>
      </c>
      <c r="X4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1.3</v>
      </c>
      <c r="Y41" s="39">
        <f>IFERROR(VLOOKUP(Youts[[#This Row],[Código]],Venda_12meses[],2,FALSE),0)</f>
        <v>0</v>
      </c>
      <c r="Z41" s="44">
        <f>IFERROR(Youts[[#This Row],[V. 12 meses]]/Youts[[#This Row],[Proj. de V. 12 meses]],"")</f>
        <v>0</v>
      </c>
      <c r="AA41" s="22" t="s">
        <v>1723</v>
      </c>
    </row>
    <row r="42" spans="1:27" x14ac:dyDescent="0.25">
      <c r="A42" s="22" t="str">
        <f>VLOOKUP(Youts[[#This Row],[Código]],BD_Produto[#All],7,FALSE)</f>
        <v>Fora de linha</v>
      </c>
      <c r="B4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2" s="23">
        <v>33102263135</v>
      </c>
      <c r="D42" s="22" t="s">
        <v>807</v>
      </c>
      <c r="E42" s="22" t="str">
        <f>VLOOKUP(Youts[[#This Row],[Código]],BD_Produto[],3,FALSE)</f>
        <v>Áudio</v>
      </c>
      <c r="F42" s="22" t="str">
        <f>VLOOKUP(Youts[[#This Row],[Código]],BD_Produto[],4,FALSE)</f>
        <v>Caixa de Som</v>
      </c>
      <c r="G42" s="24"/>
      <c r="H42" s="25"/>
      <c r="I42" s="22"/>
      <c r="J42" s="24"/>
      <c r="K42" s="24" t="str">
        <f>IFERROR(VLOOKUP(Youts[[#This Row],[Código]],Importação!P:R,3,FALSE),"")</f>
        <v/>
      </c>
      <c r="L42" s="24">
        <f>IFERROR(VLOOKUP(Youts[[#This Row],[Código]],Saldo[],3,FALSE),0)</f>
        <v>0</v>
      </c>
      <c r="M42" s="24">
        <f>SUM(Youts[[#This Row],[Produção]:[Estoque]])</f>
        <v>0</v>
      </c>
      <c r="N42" s="24">
        <f>IFERROR(Youts[[#This Row],[Estoque+Importação]]/Youts[[#This Row],[Proj. de V. No prox. mes]],"Sem Projeção")</f>
        <v>0</v>
      </c>
      <c r="O42" s="24" t="str">
        <f>IF(OR(Youts[[#This Row],[Status]]="Em Linha",Youts[[#This Row],[Status]]="Componente",Youts[[#This Row],[Status]]="Materia Prima"),Youts[[#This Row],[Proj. de V. No prox. mes]]*10,"-")</f>
        <v>-</v>
      </c>
      <c r="P4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2" s="75">
        <f>VLOOKUP(Youts[[#This Row],[Código]],Projeção[#All],15,FALSE)</f>
        <v>0.23333333333333334</v>
      </c>
      <c r="R42" s="39">
        <f>VLOOKUP(Youts[[#This Row],[Código]],Projeção[#All],14,FALSE)</f>
        <v>3.3333333333333333E-2</v>
      </c>
      <c r="S42" s="39">
        <f>IFERROR(VLOOKUP(Youts[[#This Row],[Código]],Venda_mes[],2,FALSE),0)</f>
        <v>1</v>
      </c>
      <c r="T42" s="44">
        <f>IFERROR(Youts[[#This Row],[V. No mes]]/Youts[[#This Row],[Proj. de V. No mes]],"")</f>
        <v>30</v>
      </c>
      <c r="U42" s="43">
        <f>VLOOKUP(Youts[[#This Row],[Código]],Projeção[#All],14,FALSE)+VLOOKUP(Youts[[#This Row],[Código]],Projeção[#All],13,FALSE)+VLOOKUP(Youts[[#This Row],[Código]],Projeção[#All],12,FALSE)</f>
        <v>0.1</v>
      </c>
      <c r="V42" s="39">
        <f>IFERROR(VLOOKUP(Youts[[#This Row],[Código]],Venda_3meses[],2,FALSE),0)</f>
        <v>1</v>
      </c>
      <c r="W42" s="44">
        <f>IFERROR(Youts[[#This Row],[V. 3 meses]]/Youts[[#This Row],[Proj. de V. 3 meses]],"")</f>
        <v>10</v>
      </c>
      <c r="X4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2.9666666666666668</v>
      </c>
      <c r="Y42" s="39">
        <f>IFERROR(VLOOKUP(Youts[[#This Row],[Código]],Venda_12meses[],2,FALSE),0)</f>
        <v>1</v>
      </c>
      <c r="Z42" s="44">
        <f>IFERROR(Youts[[#This Row],[V. 12 meses]]/Youts[[#This Row],[Proj. de V. 12 meses]],"")</f>
        <v>0.33707865168539325</v>
      </c>
      <c r="AA42" s="22" t="s">
        <v>1723</v>
      </c>
    </row>
    <row r="43" spans="1:27" x14ac:dyDescent="0.25">
      <c r="A43" s="22" t="str">
        <f>VLOOKUP(Youts[[#This Row],[Código]],BD_Produto[#All],7,FALSE)</f>
        <v>Fora de linha</v>
      </c>
      <c r="B4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3" s="23">
        <v>33105063943</v>
      </c>
      <c r="D43" s="22" t="s">
        <v>1041</v>
      </c>
      <c r="E43" s="22" t="str">
        <f>VLOOKUP(Youts[[#This Row],[Código]],BD_Produto[],3,FALSE)</f>
        <v>Mobile</v>
      </c>
      <c r="F43" s="22" t="str">
        <f>VLOOKUP(Youts[[#This Row],[Código]],BD_Produto[],4,FALSE)</f>
        <v>Galaxy SIII</v>
      </c>
      <c r="G43" s="24"/>
      <c r="H43" s="25"/>
      <c r="I43" s="22"/>
      <c r="J43" s="24"/>
      <c r="K43" s="24" t="str">
        <f>IFERROR(VLOOKUP(Youts[[#This Row],[Código]],Importação!P:R,3,FALSE),"")</f>
        <v/>
      </c>
      <c r="L43" s="24">
        <f>IFERROR(VLOOKUP(Youts[[#This Row],[Código]],Saldo[],3,FALSE),0)</f>
        <v>0</v>
      </c>
      <c r="M43" s="24">
        <f>SUM(Youts[[#This Row],[Produção]:[Estoque]])</f>
        <v>0</v>
      </c>
      <c r="N43" s="24">
        <f>IFERROR(Youts[[#This Row],[Estoque+Importação]]/Youts[[#This Row],[Proj. de V. No prox. mes]],"Sem Projeção")</f>
        <v>0</v>
      </c>
      <c r="O43" s="24" t="str">
        <f>IF(OR(Youts[[#This Row],[Status]]="Em Linha",Youts[[#This Row],[Status]]="Componente",Youts[[#This Row],[Status]]="Materia Prima"),Youts[[#This Row],[Proj. de V. No prox. mes]]*10,"-")</f>
        <v>-</v>
      </c>
      <c r="P4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3" s="75">
        <f>VLOOKUP(Youts[[#This Row],[Código]],Projeção[#All],15,FALSE)</f>
        <v>3.3333333333333333E-2</v>
      </c>
      <c r="R43" s="39">
        <f>VLOOKUP(Youts[[#This Row],[Código]],Projeção[#All],14,FALSE)</f>
        <v>3.3333333333333333E-2</v>
      </c>
      <c r="S43" s="39">
        <f>IFERROR(VLOOKUP(Youts[[#This Row],[Código]],Venda_mes[],2,FALSE),0)</f>
        <v>0</v>
      </c>
      <c r="T43" s="44">
        <f>IFERROR(Youts[[#This Row],[V. No mes]]/Youts[[#This Row],[Proj. de V. No mes]],"")</f>
        <v>0</v>
      </c>
      <c r="U43" s="43">
        <f>VLOOKUP(Youts[[#This Row],[Código]],Projeção[#All],14,FALSE)+VLOOKUP(Youts[[#This Row],[Código]],Projeção[#All],13,FALSE)+VLOOKUP(Youts[[#This Row],[Código]],Projeção[#All],12,FALSE)</f>
        <v>0.1</v>
      </c>
      <c r="V43" s="39">
        <f>IFERROR(VLOOKUP(Youts[[#This Row],[Código]],Venda_3meses[],2,FALSE),0)</f>
        <v>0</v>
      </c>
      <c r="W43" s="44">
        <f>IFERROR(Youts[[#This Row],[V. 3 meses]]/Youts[[#This Row],[Proj. de V. 3 meses]],"")</f>
        <v>0</v>
      </c>
      <c r="X4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0.96666666666666656</v>
      </c>
      <c r="Y43" s="39">
        <f>IFERROR(VLOOKUP(Youts[[#This Row],[Código]],Venda_12meses[],2,FALSE),0)</f>
        <v>1</v>
      </c>
      <c r="Z43" s="44">
        <f>IFERROR(Youts[[#This Row],[V. 12 meses]]/Youts[[#This Row],[Proj. de V. 12 meses]],"")</f>
        <v>1.0344827586206897</v>
      </c>
      <c r="AA43" s="22"/>
    </row>
    <row r="44" spans="1:27" x14ac:dyDescent="0.25">
      <c r="A44" s="22" t="str">
        <f>VLOOKUP(Youts[[#This Row],[Código]],BD_Produto[#All],7,FALSE)</f>
        <v>Fora de linha</v>
      </c>
      <c r="B44" s="22" t="str">
        <f>IF(OR(Youts[[#This Row],[Status]]="Em linha",Youts[[#This Row],[Status]]="Materia Prima",Youts[[#This Row],[Status]]="Componente"),"ok",IF(Youts[[#This Row],[Estoque+Importação]]&lt;1,"Tirar","ok"))</f>
        <v>ok</v>
      </c>
      <c r="C44" s="23">
        <v>32105064142</v>
      </c>
      <c r="D44" s="22" t="s">
        <v>1030</v>
      </c>
      <c r="E44" s="22" t="str">
        <f>VLOOKUP(Youts[[#This Row],[Código]],BD_Produto[],3,FALSE)</f>
        <v>Mobile</v>
      </c>
      <c r="F44" s="22" t="str">
        <f>VLOOKUP(Youts[[#This Row],[Código]],BD_Produto[],4,FALSE)</f>
        <v>iPhone 5/5S</v>
      </c>
      <c r="G44" s="24"/>
      <c r="H44" s="25"/>
      <c r="I44" s="22"/>
      <c r="J44" s="24"/>
      <c r="K44" s="24" t="str">
        <f>IFERROR(VLOOKUP(Youts[[#This Row],[Código]],Importação!P:R,3,FALSE),"")</f>
        <v/>
      </c>
      <c r="L44" s="24">
        <f>IFERROR(VLOOKUP(Youts[[#This Row],[Código]],Saldo[],3,FALSE),0)</f>
        <v>77</v>
      </c>
      <c r="M44" s="24">
        <f>SUM(Youts[[#This Row],[Produção]:[Estoque]])</f>
        <v>77</v>
      </c>
      <c r="N44" s="24">
        <f>IFERROR(Youts[[#This Row],[Estoque+Importação]]/Youts[[#This Row],[Proj. de V. No prox. mes]],"Sem Projeção")</f>
        <v>330</v>
      </c>
      <c r="O44" s="24" t="str">
        <f>IF(OR(Youts[[#This Row],[Status]]="Em Linha",Youts[[#This Row],[Status]]="Componente",Youts[[#This Row],[Status]]="Materia Prima"),Youts[[#This Row],[Proj. de V. No prox. mes]]*10,"-")</f>
        <v>-</v>
      </c>
      <c r="P4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4" s="75">
        <f>VLOOKUP(Youts[[#This Row],[Código]],Projeção[#All],15,FALSE)</f>
        <v>0.23333333333333334</v>
      </c>
      <c r="R44" s="39">
        <f>VLOOKUP(Youts[[#This Row],[Código]],Projeção[#All],14,FALSE)</f>
        <v>0</v>
      </c>
      <c r="S44" s="39">
        <f>IFERROR(VLOOKUP(Youts[[#This Row],[Código]],Venda_mes[],2,FALSE),0)</f>
        <v>0</v>
      </c>
      <c r="T44" s="44" t="str">
        <f>IFERROR(Youts[[#This Row],[V. No mes]]/Youts[[#This Row],[Proj. de V. No mes]],"")</f>
        <v/>
      </c>
      <c r="U44" s="43">
        <f>VLOOKUP(Youts[[#This Row],[Código]],Projeção[#All],14,FALSE)+VLOOKUP(Youts[[#This Row],[Código]],Projeção[#All],13,FALSE)+VLOOKUP(Youts[[#This Row],[Código]],Projeção[#All],12,FALSE)</f>
        <v>0.13333333333333333</v>
      </c>
      <c r="V44" s="39">
        <f>IFERROR(VLOOKUP(Youts[[#This Row],[Código]],Venda_3meses[],2,FALSE),0)</f>
        <v>1</v>
      </c>
      <c r="W44" s="44">
        <f>IFERROR(Youts[[#This Row],[V. 3 meses]]/Youts[[#This Row],[Proj. de V. 3 meses]],"")</f>
        <v>7.5</v>
      </c>
      <c r="X4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1.8666666666666667</v>
      </c>
      <c r="Y44" s="39">
        <f>IFERROR(VLOOKUP(Youts[[#This Row],[Código]],Venda_12meses[],2,FALSE),0)</f>
        <v>1</v>
      </c>
      <c r="Z44" s="44">
        <f>IFERROR(Youts[[#This Row],[V. 12 meses]]/Youts[[#This Row],[Proj. de V. 12 meses]],"")</f>
        <v>0.5357142857142857</v>
      </c>
      <c r="AA44" s="22"/>
    </row>
    <row r="45" spans="1:27" x14ac:dyDescent="0.25">
      <c r="A45" s="22" t="str">
        <f>VLOOKUP(Youts[[#This Row],[Código]],BD_Produto[#All],7,FALSE)</f>
        <v>Fora de linha</v>
      </c>
      <c r="B4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5" s="23">
        <v>30103062251</v>
      </c>
      <c r="D45" s="22" t="s">
        <v>951</v>
      </c>
      <c r="E45" s="22" t="str">
        <f>VLOOKUP(Youts[[#This Row],[Código]],BD_Produto[],3,FALSE)</f>
        <v>Innovation e Design</v>
      </c>
      <c r="F45" s="22" t="str">
        <f>VLOOKUP(Youts[[#This Row],[Código]],BD_Produto[],4,FALSE)</f>
        <v>Auto Loader</v>
      </c>
      <c r="G45" s="24"/>
      <c r="H45" s="25"/>
      <c r="I45" s="22"/>
      <c r="J45" s="24"/>
      <c r="K45" s="24" t="str">
        <f>IFERROR(VLOOKUP(Youts[[#This Row],[Código]],Importação!P:R,3,FALSE),"")</f>
        <v/>
      </c>
      <c r="L45" s="24">
        <f>IFERROR(VLOOKUP(Youts[[#This Row],[Código]],Saldo[],3,FALSE),0)</f>
        <v>0</v>
      </c>
      <c r="M45" s="24">
        <f>SUM(Youts[[#This Row],[Produção]:[Estoque]])</f>
        <v>0</v>
      </c>
      <c r="N45" s="24">
        <f>IFERROR(Youts[[#This Row],[Estoque+Importação]]/Youts[[#This Row],[Proj. de V. No prox. mes]],"Sem Projeção")</f>
        <v>0</v>
      </c>
      <c r="O45" s="24" t="str">
        <f>IF(OR(Youts[[#This Row],[Status]]="Em Linha",Youts[[#This Row],[Status]]="Componente",Youts[[#This Row],[Status]]="Materia Prima"),Youts[[#This Row],[Proj. de V. No prox. mes]]*10,"-")</f>
        <v>-</v>
      </c>
      <c r="P4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5" s="75">
        <f>VLOOKUP(Youts[[#This Row],[Código]],Projeção[#All],15,FALSE)</f>
        <v>11.200000000000001</v>
      </c>
      <c r="R45" s="39">
        <f>VLOOKUP(Youts[[#This Row],[Código]],Projeção[#All],14,FALSE)</f>
        <v>0</v>
      </c>
      <c r="S45" s="39">
        <f>IFERROR(VLOOKUP(Youts[[#This Row],[Código]],Venda_mes[],2,FALSE),0)</f>
        <v>0</v>
      </c>
      <c r="T45" s="44" t="str">
        <f>IFERROR(Youts[[#This Row],[V. No mes]]/Youts[[#This Row],[Proj. de V. No mes]],"")</f>
        <v/>
      </c>
      <c r="U45" s="43">
        <f>VLOOKUP(Youts[[#This Row],[Código]],Projeção[#All],14,FALSE)+VLOOKUP(Youts[[#This Row],[Código]],Projeção[#All],13,FALSE)+VLOOKUP(Youts[[#This Row],[Código]],Projeção[#All],12,FALSE)</f>
        <v>6.6666666666666666E-2</v>
      </c>
      <c r="V45" s="39">
        <f>IFERROR(VLOOKUP(Youts[[#This Row],[Código]],Venda_3meses[],2,FALSE),0)</f>
        <v>0</v>
      </c>
      <c r="W45" s="44">
        <f>IFERROR(Youts[[#This Row],[V. 3 meses]]/Youts[[#This Row],[Proj. de V. 3 meses]],"")</f>
        <v>0</v>
      </c>
      <c r="X4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0.79999999999999993</v>
      </c>
      <c r="Y45" s="39">
        <f>IFERROR(VLOOKUP(Youts[[#This Row],[Código]],Venda_12meses[],2,FALSE),0)</f>
        <v>112</v>
      </c>
      <c r="Z45" s="44">
        <f>IFERROR(Youts[[#This Row],[V. 12 meses]]/Youts[[#This Row],[Proj. de V. 12 meses]],"")</f>
        <v>140</v>
      </c>
      <c r="AA45" s="22"/>
    </row>
    <row r="46" spans="1:27" x14ac:dyDescent="0.25">
      <c r="A46" s="22" t="str">
        <f>VLOOKUP(Youts[[#This Row],[Código]],BD_Produto[#All],7,FALSE)</f>
        <v>Fora de linha</v>
      </c>
      <c r="B4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6" s="23">
        <v>33105063947</v>
      </c>
      <c r="D46" s="22" t="s">
        <v>1094</v>
      </c>
      <c r="E46" s="22" t="str">
        <f>VLOOKUP(Youts[[#This Row],[Código]],BD_Produto[],3,FALSE)</f>
        <v>Mobile</v>
      </c>
      <c r="F46" s="22" t="str">
        <f>VLOOKUP(Youts[[#This Row],[Código]],BD_Produto[],4,FALSE)</f>
        <v>iPhone 4/4S</v>
      </c>
      <c r="G46" s="24"/>
      <c r="H46" s="25"/>
      <c r="I46" s="22"/>
      <c r="J46" s="24"/>
      <c r="K46" s="24" t="str">
        <f>IFERROR(VLOOKUP(Youts[[#This Row],[Código]],Importação!P:R,3,FALSE),"")</f>
        <v/>
      </c>
      <c r="L46" s="24">
        <f>IFERROR(VLOOKUP(Youts[[#This Row],[Código]],Saldo[],3,FALSE),0)</f>
        <v>0</v>
      </c>
      <c r="M46" s="24">
        <f>SUM(Youts[[#This Row],[Produção]:[Estoque]])</f>
        <v>0</v>
      </c>
      <c r="N46" s="24" t="str">
        <f>IFERROR(Youts[[#This Row],[Estoque+Importação]]/Youts[[#This Row],[Proj. de V. No prox. mes]],"Sem Projeção")</f>
        <v>Sem Projeção</v>
      </c>
      <c r="O46" s="24" t="str">
        <f>IF(OR(Youts[[#This Row],[Status]]="Em Linha",Youts[[#This Row],[Status]]="Componente",Youts[[#This Row],[Status]]="Materia Prima"),Youts[[#This Row],[Proj. de V. No prox. mes]]*10,"-")</f>
        <v>-</v>
      </c>
      <c r="P4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6" s="75">
        <f>VLOOKUP(Youts[[#This Row],[Código]],Projeção[#All],15,FALSE)</f>
        <v>0</v>
      </c>
      <c r="R46" s="39">
        <f>VLOOKUP(Youts[[#This Row],[Código]],Projeção[#All],14,FALSE)</f>
        <v>0</v>
      </c>
      <c r="S46" s="39">
        <f>IFERROR(VLOOKUP(Youts[[#This Row],[Código]],Venda_mes[],2,FALSE),0)</f>
        <v>0</v>
      </c>
      <c r="T46" s="44" t="str">
        <f>IFERROR(Youts[[#This Row],[V. No mes]]/Youts[[#This Row],[Proj. de V. No mes]],"")</f>
        <v/>
      </c>
      <c r="U46" s="43">
        <f>VLOOKUP(Youts[[#This Row],[Código]],Projeção[#All],14,FALSE)+VLOOKUP(Youts[[#This Row],[Código]],Projeção[#All],13,FALSE)+VLOOKUP(Youts[[#This Row],[Código]],Projeção[#All],12,FALSE)</f>
        <v>6.6666666666666666E-2</v>
      </c>
      <c r="V46" s="39">
        <f>IFERROR(VLOOKUP(Youts[[#This Row],[Código]],Venda_3meses[],2,FALSE),0)</f>
        <v>0</v>
      </c>
      <c r="W46" s="44">
        <f>IFERROR(Youts[[#This Row],[V. 3 meses]]/Youts[[#This Row],[Proj. de V. 3 meses]],"")</f>
        <v>0</v>
      </c>
      <c r="X4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0.83333333333333326</v>
      </c>
      <c r="Y46" s="39">
        <f>IFERROR(VLOOKUP(Youts[[#This Row],[Código]],Venda_12meses[],2,FALSE),0)</f>
        <v>0</v>
      </c>
      <c r="Z46" s="44">
        <f>IFERROR(Youts[[#This Row],[V. 12 meses]]/Youts[[#This Row],[Proj. de V. 12 meses]],"")</f>
        <v>0</v>
      </c>
      <c r="AA46" s="22"/>
    </row>
    <row r="47" spans="1:27" x14ac:dyDescent="0.25">
      <c r="A47" s="22" t="str">
        <f>VLOOKUP(Youts[[#This Row],[Código]],BD_Produto[#All],7,FALSE)</f>
        <v>Fora de linha</v>
      </c>
      <c r="B4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7" s="23">
        <v>33105063946</v>
      </c>
      <c r="D47" s="22" t="s">
        <v>1045</v>
      </c>
      <c r="E47" s="22" t="str">
        <f>VLOOKUP(Youts[[#This Row],[Código]],BD_Produto[],3,FALSE)</f>
        <v>Mobile</v>
      </c>
      <c r="F47" s="22" t="str">
        <f>VLOOKUP(Youts[[#This Row],[Código]],BD_Produto[],4,FALSE)</f>
        <v>iPhone 4/4S</v>
      </c>
      <c r="G47" s="24"/>
      <c r="H47" s="25"/>
      <c r="I47" s="22"/>
      <c r="J47" s="24"/>
      <c r="K47" s="24" t="str">
        <f>IFERROR(VLOOKUP(Youts[[#This Row],[Código]],Importação!P:R,3,FALSE),"")</f>
        <v/>
      </c>
      <c r="L47" s="24">
        <f>IFERROR(VLOOKUP(Youts[[#This Row],[Código]],Saldo[],3,FALSE),0)</f>
        <v>0</v>
      </c>
      <c r="M47" s="24">
        <f>SUM(Youts[[#This Row],[Produção]:[Estoque]])</f>
        <v>0</v>
      </c>
      <c r="N47" s="24" t="str">
        <f>IFERROR(Youts[[#This Row],[Estoque+Importação]]/Youts[[#This Row],[Proj. de V. No prox. mes]],"Sem Projeção")</f>
        <v>Sem Projeção</v>
      </c>
      <c r="O47" s="24" t="str">
        <f>IF(OR(Youts[[#This Row],[Status]]="Em Linha",Youts[[#This Row],[Status]]="Componente",Youts[[#This Row],[Status]]="Materia Prima"),Youts[[#This Row],[Proj. de V. No prox. mes]]*10,"-")</f>
        <v>-</v>
      </c>
      <c r="P4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7" s="75">
        <f>VLOOKUP(Youts[[#This Row],[Código]],Projeção[#All],15,FALSE)</f>
        <v>0</v>
      </c>
      <c r="R47" s="39">
        <f>VLOOKUP(Youts[[#This Row],[Código]],Projeção[#All],14,FALSE)</f>
        <v>0</v>
      </c>
      <c r="S47" s="39">
        <f>IFERROR(VLOOKUP(Youts[[#This Row],[Código]],Venda_mes[],2,FALSE),0)</f>
        <v>0</v>
      </c>
      <c r="T47" s="44" t="str">
        <f>IFERROR(Youts[[#This Row],[V. No mes]]/Youts[[#This Row],[Proj. de V. No mes]],"")</f>
        <v/>
      </c>
      <c r="U47" s="43">
        <f>VLOOKUP(Youts[[#This Row],[Código]],Projeção[#All],14,FALSE)+VLOOKUP(Youts[[#This Row],[Código]],Projeção[#All],13,FALSE)+VLOOKUP(Youts[[#This Row],[Código]],Projeção[#All],12,FALSE)</f>
        <v>6.6666666666666666E-2</v>
      </c>
      <c r="V47" s="39">
        <f>IFERROR(VLOOKUP(Youts[[#This Row],[Código]],Venda_3meses[],2,FALSE),0)</f>
        <v>0</v>
      </c>
      <c r="W47" s="44">
        <f>IFERROR(Youts[[#This Row],[V. 3 meses]]/Youts[[#This Row],[Proj. de V. 3 meses]],"")</f>
        <v>0</v>
      </c>
      <c r="X4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0.73333333333333339</v>
      </c>
      <c r="Y47" s="39">
        <f>IFERROR(VLOOKUP(Youts[[#This Row],[Código]],Venda_12meses[],2,FALSE),0)</f>
        <v>0</v>
      </c>
      <c r="Z47" s="44">
        <f>IFERROR(Youts[[#This Row],[V. 12 meses]]/Youts[[#This Row],[Proj. de V. 12 meses]],"")</f>
        <v>0</v>
      </c>
      <c r="AA47" s="22"/>
    </row>
    <row r="48" spans="1:27" x14ac:dyDescent="0.25">
      <c r="A48" s="22" t="str">
        <f>VLOOKUP(Youts[[#This Row],[Código]],BD_Produto[#All],7,FALSE)</f>
        <v>Fora de linha</v>
      </c>
      <c r="B4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48" s="23">
        <v>33105063086</v>
      </c>
      <c r="D48" s="22" t="s">
        <v>1178</v>
      </c>
      <c r="E48" s="22" t="str">
        <f>VLOOKUP(Youts[[#This Row],[Código]],BD_Produto[],3,FALSE)</f>
        <v>Mobile</v>
      </c>
      <c r="F48" s="22" t="str">
        <f>VLOOKUP(Youts[[#This Row],[Código]],BD_Produto[],4,FALSE)</f>
        <v>Case iPad</v>
      </c>
      <c r="G48" s="24"/>
      <c r="H48" s="25"/>
      <c r="I48" s="22"/>
      <c r="J48" s="24"/>
      <c r="K48" s="24" t="str">
        <f>IFERROR(VLOOKUP(Youts[[#This Row],[Código]],Importação!P:R,3,FALSE),"")</f>
        <v/>
      </c>
      <c r="L48" s="24">
        <f>IFERROR(VLOOKUP(Youts[[#This Row],[Código]],Saldo[],3,FALSE),0)</f>
        <v>0</v>
      </c>
      <c r="M48" s="24">
        <f>SUM(Youts[[#This Row],[Produção]:[Estoque]])</f>
        <v>0</v>
      </c>
      <c r="N48" s="24" t="str">
        <f>IFERROR(Youts[[#This Row],[Estoque+Importação]]/Youts[[#This Row],[Proj. de V. No prox. mes]],"Sem Projeção")</f>
        <v>Sem Projeção</v>
      </c>
      <c r="O48" s="24" t="str">
        <f>IF(OR(Youts[[#This Row],[Status]]="Em Linha",Youts[[#This Row],[Status]]="Componente",Youts[[#This Row],[Status]]="Materia Prima"),Youts[[#This Row],[Proj. de V. No prox. mes]]*10,"-")</f>
        <v>-</v>
      </c>
      <c r="P4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8" s="75">
        <f>VLOOKUP(Youts[[#This Row],[Código]],Projeção[#All],15,FALSE)</f>
        <v>0</v>
      </c>
      <c r="R48" s="39">
        <f>VLOOKUP(Youts[[#This Row],[Código]],Projeção[#All],14,FALSE)</f>
        <v>0</v>
      </c>
      <c r="S48" s="39">
        <f>IFERROR(VLOOKUP(Youts[[#This Row],[Código]],Venda_mes[],2,FALSE),0)</f>
        <v>0</v>
      </c>
      <c r="T48" s="44" t="str">
        <f>IFERROR(Youts[[#This Row],[V. No mes]]/Youts[[#This Row],[Proj. de V. No mes]],"")</f>
        <v/>
      </c>
      <c r="U48" s="43">
        <f>VLOOKUP(Youts[[#This Row],[Código]],Projeção[#All],14,FALSE)+VLOOKUP(Youts[[#This Row],[Código]],Projeção[#All],13,FALSE)+VLOOKUP(Youts[[#This Row],[Código]],Projeção[#All],12,FALSE)</f>
        <v>0.16666666666666666</v>
      </c>
      <c r="V48" s="39">
        <f>IFERROR(VLOOKUP(Youts[[#This Row],[Código]],Venda_3meses[],2,FALSE),0)</f>
        <v>0</v>
      </c>
      <c r="W48" s="44">
        <f>IFERROR(Youts[[#This Row],[V. 3 meses]]/Youts[[#This Row],[Proj. de V. 3 meses]],"")</f>
        <v>0</v>
      </c>
      <c r="X4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3.6999999999999997</v>
      </c>
      <c r="Y48" s="39">
        <f>IFERROR(VLOOKUP(Youts[[#This Row],[Código]],Venda_12meses[],2,FALSE),0)</f>
        <v>0</v>
      </c>
      <c r="Z48" s="44">
        <f>IFERROR(Youts[[#This Row],[V. 12 meses]]/Youts[[#This Row],[Proj. de V. 12 meses]],"")</f>
        <v>0</v>
      </c>
      <c r="AA48" s="22" t="s">
        <v>1723</v>
      </c>
    </row>
    <row r="49" spans="1:27" x14ac:dyDescent="0.25">
      <c r="A49" s="22" t="str">
        <f>VLOOKUP(Youts[[#This Row],[Código]],BD_Produto[#All],7,FALSE)</f>
        <v>Fora de linha</v>
      </c>
      <c r="B49" s="22" t="str">
        <f>IF(OR(Youts[[#This Row],[Status]]="Em linha",Youts[[#This Row],[Status]]="Materia Prima",Youts[[#This Row],[Status]]="Componente"),"ok",IF(Youts[[#This Row],[Estoque+Importação]]&lt;1,"Tirar","ok"))</f>
        <v>ok</v>
      </c>
      <c r="C49" s="23">
        <v>32105064276</v>
      </c>
      <c r="D49" s="22" t="s">
        <v>1128</v>
      </c>
      <c r="E49" s="22" t="str">
        <f>VLOOKUP(Youts[[#This Row],[Código]],BD_Produto[],3,FALSE)</f>
        <v>Mobile</v>
      </c>
      <c r="F49" s="22" t="str">
        <f>VLOOKUP(Youts[[#This Row],[Código]],BD_Produto[],4,FALSE)</f>
        <v>iPhone 5/5S</v>
      </c>
      <c r="G49" s="24"/>
      <c r="H49" s="25"/>
      <c r="I49" s="22"/>
      <c r="J49" s="24"/>
      <c r="K49" s="24" t="str">
        <f>IFERROR(VLOOKUP(Youts[[#This Row],[Código]],Importação!P:R,3,FALSE),"")</f>
        <v/>
      </c>
      <c r="L49" s="24">
        <f>IFERROR(VLOOKUP(Youts[[#This Row],[Código]],Saldo[],3,FALSE),0)</f>
        <v>42</v>
      </c>
      <c r="M49" s="24">
        <f>SUM(Youts[[#This Row],[Produção]:[Estoque]])</f>
        <v>42</v>
      </c>
      <c r="N49" s="24">
        <f>IFERROR(Youts[[#This Row],[Estoque+Importação]]/Youts[[#This Row],[Proj. de V. No prox. mes]],"Sem Projeção")</f>
        <v>420.00000000000006</v>
      </c>
      <c r="O49" s="24" t="str">
        <f>IF(OR(Youts[[#This Row],[Status]]="Em Linha",Youts[[#This Row],[Status]]="Componente",Youts[[#This Row],[Status]]="Materia Prima"),Youts[[#This Row],[Proj. de V. No prox. mes]]*10,"-")</f>
        <v>-</v>
      </c>
      <c r="P4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49" s="75">
        <f>VLOOKUP(Youts[[#This Row],[Código]],Projeção[#All],15,FALSE)</f>
        <v>9.9999999999999992E-2</v>
      </c>
      <c r="R49" s="39">
        <f>VLOOKUP(Youts[[#This Row],[Código]],Projeção[#All],14,FALSE)</f>
        <v>0</v>
      </c>
      <c r="S49" s="39">
        <f>IFERROR(VLOOKUP(Youts[[#This Row],[Código]],Venda_mes[],2,FALSE),0)</f>
        <v>0</v>
      </c>
      <c r="T49" s="44" t="str">
        <f>IFERROR(Youts[[#This Row],[V. No mes]]/Youts[[#This Row],[Proj. de V. No mes]],"")</f>
        <v/>
      </c>
      <c r="U49" s="43">
        <f>VLOOKUP(Youts[[#This Row],[Código]],Projeção[#All],14,FALSE)+VLOOKUP(Youts[[#This Row],[Código]],Projeção[#All],13,FALSE)+VLOOKUP(Youts[[#This Row],[Código]],Projeção[#All],12,FALSE)</f>
        <v>0</v>
      </c>
      <c r="V49" s="39">
        <f>IFERROR(VLOOKUP(Youts[[#This Row],[Código]],Venda_3meses[],2,FALSE),0)</f>
        <v>0</v>
      </c>
      <c r="W49" s="44" t="str">
        <f>IFERROR(Youts[[#This Row],[V. 3 meses]]/Youts[[#This Row],[Proj. de V. 3 meses]],"")</f>
        <v/>
      </c>
      <c r="X4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0.76666666666666661</v>
      </c>
      <c r="Y49" s="39">
        <f>IFERROR(VLOOKUP(Youts[[#This Row],[Código]],Venda_12meses[],2,FALSE),0)</f>
        <v>1</v>
      </c>
      <c r="Z49" s="44">
        <f>IFERROR(Youts[[#This Row],[V. 12 meses]]/Youts[[#This Row],[Proj. de V. 12 meses]],"")</f>
        <v>1.3043478260869565</v>
      </c>
      <c r="AA49" s="22"/>
    </row>
    <row r="50" spans="1:27" x14ac:dyDescent="0.25">
      <c r="A50" s="22" t="str">
        <f>VLOOKUP(Youts[[#This Row],[Código]],BD_Produto[#All],7,FALSE)</f>
        <v>Fora de linha</v>
      </c>
      <c r="B50" s="22" t="str">
        <f>IF(OR(Youts[[#This Row],[Status]]="Em linha",Youts[[#This Row],[Status]]="Materia Prima",Youts[[#This Row],[Status]]="Componente"),"ok",IF(Youts[[#This Row],[Estoque+Importação]]&lt;1,"Tirar","ok"))</f>
        <v>ok</v>
      </c>
      <c r="C50" s="23">
        <v>32105064299</v>
      </c>
      <c r="D50" s="22" t="s">
        <v>1018</v>
      </c>
      <c r="E50" s="22" t="str">
        <f>VLOOKUP(Youts[[#This Row],[Código]],BD_Produto[],3,FALSE)</f>
        <v>Mobile</v>
      </c>
      <c r="F50" s="22" t="str">
        <f>VLOOKUP(Youts[[#This Row],[Código]],BD_Produto[],4,FALSE)</f>
        <v>iPhone 5/5S</v>
      </c>
      <c r="G50" s="24"/>
      <c r="H50" s="25"/>
      <c r="I50" s="22"/>
      <c r="J50" s="24"/>
      <c r="K50" s="24" t="str">
        <f>IFERROR(VLOOKUP(Youts[[#This Row],[Código]],Importação!P:R,3,FALSE),"")</f>
        <v/>
      </c>
      <c r="L50" s="24">
        <f>IFERROR(VLOOKUP(Youts[[#This Row],[Código]],Saldo[],3,FALSE),0)</f>
        <v>93</v>
      </c>
      <c r="M50" s="24">
        <f>SUM(Youts[[#This Row],[Produção]:[Estoque]])</f>
        <v>93</v>
      </c>
      <c r="N50" s="24" t="str">
        <f>IFERROR(Youts[[#This Row],[Estoque+Importação]]/Youts[[#This Row],[Proj. de V. No prox. mes]],"Sem Projeção")</f>
        <v>Sem Projeção</v>
      </c>
      <c r="O50" s="24" t="str">
        <f>IF(OR(Youts[[#This Row],[Status]]="Em Linha",Youts[[#This Row],[Status]]="Componente",Youts[[#This Row],[Status]]="Materia Prima"),Youts[[#This Row],[Proj. de V. No prox. mes]]*10,"-")</f>
        <v>-</v>
      </c>
      <c r="P5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0" s="75">
        <f>VLOOKUP(Youts[[#This Row],[Código]],Projeção[#All],15,FALSE)</f>
        <v>0</v>
      </c>
      <c r="R50" s="39">
        <f>VLOOKUP(Youts[[#This Row],[Código]],Projeção[#All],14,FALSE)</f>
        <v>0</v>
      </c>
      <c r="S50" s="39">
        <f>IFERROR(VLOOKUP(Youts[[#This Row],[Código]],Venda_mes[],2,FALSE),0)</f>
        <v>0</v>
      </c>
      <c r="T50" s="44" t="str">
        <f>IFERROR(Youts[[#This Row],[V. No mes]]/Youts[[#This Row],[Proj. de V. No mes]],"")</f>
        <v/>
      </c>
      <c r="U50" s="43">
        <f>VLOOKUP(Youts[[#This Row],[Código]],Projeção[#All],14,FALSE)+VLOOKUP(Youts[[#This Row],[Código]],Projeção[#All],13,FALSE)+VLOOKUP(Youts[[#This Row],[Código]],Projeção[#All],12,FALSE)</f>
        <v>0</v>
      </c>
      <c r="V50" s="39">
        <f>IFERROR(VLOOKUP(Youts[[#This Row],[Código]],Venda_3meses[],2,FALSE),0)</f>
        <v>0</v>
      </c>
      <c r="W50" s="44" t="str">
        <f>IFERROR(Youts[[#This Row],[V. 3 meses]]/Youts[[#This Row],[Proj. de V. 3 meses]],"")</f>
        <v/>
      </c>
      <c r="X5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0.46666666666666667</v>
      </c>
      <c r="Y50" s="39">
        <f>IFERROR(VLOOKUP(Youts[[#This Row],[Código]],Venda_12meses[],2,FALSE),0)</f>
        <v>0</v>
      </c>
      <c r="Z50" s="44">
        <f>IFERROR(Youts[[#This Row],[V. 12 meses]]/Youts[[#This Row],[Proj. de V. 12 meses]],"")</f>
        <v>0</v>
      </c>
      <c r="AA50" s="22"/>
    </row>
    <row r="51" spans="1:27" x14ac:dyDescent="0.25">
      <c r="A51" s="22" t="str">
        <f>VLOOKUP(Youts[[#This Row],[Código]],BD_Produto[#All],7,FALSE)</f>
        <v>Fora de linha</v>
      </c>
      <c r="B51" s="22" t="str">
        <f>IF(OR(Youts[[#This Row],[Status]]="Em linha",Youts[[#This Row],[Status]]="Materia Prima",Youts[[#This Row],[Status]]="Componente"),"ok",IF(Youts[[#This Row],[Estoque+Importação]]&lt;1,"Tirar","ok"))</f>
        <v>ok</v>
      </c>
      <c r="C51" s="23">
        <v>32105064287</v>
      </c>
      <c r="D51" s="22" t="s">
        <v>900</v>
      </c>
      <c r="E51" s="22" t="str">
        <f>VLOOKUP(Youts[[#This Row],[Código]],BD_Produto[],3,FALSE)</f>
        <v>Mobile</v>
      </c>
      <c r="F51" s="22" t="str">
        <f>VLOOKUP(Youts[[#This Row],[Código]],BD_Produto[],4,FALSE)</f>
        <v>Galaxy SIII</v>
      </c>
      <c r="G51" s="24"/>
      <c r="H51" s="25"/>
      <c r="I51" s="22"/>
      <c r="J51" s="24"/>
      <c r="K51" s="24" t="str">
        <f>IFERROR(VLOOKUP(Youts[[#This Row],[Código]],Importação!P:R,3,FALSE),"")</f>
        <v/>
      </c>
      <c r="L51" s="24">
        <f>IFERROR(VLOOKUP(Youts[[#This Row],[Código]],Saldo[],3,FALSE),0)</f>
        <v>107</v>
      </c>
      <c r="M51" s="24">
        <f>SUM(Youts[[#This Row],[Produção]:[Estoque]])</f>
        <v>107</v>
      </c>
      <c r="N51" s="24" t="str">
        <f>IFERROR(Youts[[#This Row],[Estoque+Importação]]/Youts[[#This Row],[Proj. de V. No prox. mes]],"Sem Projeção")</f>
        <v>Sem Projeção</v>
      </c>
      <c r="O51" s="24" t="str">
        <f>IF(OR(Youts[[#This Row],[Status]]="Em Linha",Youts[[#This Row],[Status]]="Componente",Youts[[#This Row],[Status]]="Materia Prima"),Youts[[#This Row],[Proj. de V. No prox. mes]]*10,"-")</f>
        <v>-</v>
      </c>
      <c r="P5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1" s="75">
        <f>VLOOKUP(Youts[[#This Row],[Código]],Projeção[#All],15,FALSE)</f>
        <v>0</v>
      </c>
      <c r="R51" s="39">
        <f>VLOOKUP(Youts[[#This Row],[Código]],Projeção[#All],14,FALSE)</f>
        <v>0</v>
      </c>
      <c r="S51" s="39">
        <f>IFERROR(VLOOKUP(Youts[[#This Row],[Código]],Venda_mes[],2,FALSE),0)</f>
        <v>0</v>
      </c>
      <c r="T51" s="44" t="str">
        <f>IFERROR(Youts[[#This Row],[V. No mes]]/Youts[[#This Row],[Proj. de V. No mes]],"")</f>
        <v/>
      </c>
      <c r="U51" s="43">
        <f>VLOOKUP(Youts[[#This Row],[Código]],Projeção[#All],14,FALSE)+VLOOKUP(Youts[[#This Row],[Código]],Projeção[#All],13,FALSE)+VLOOKUP(Youts[[#This Row],[Código]],Projeção[#All],12,FALSE)</f>
        <v>0</v>
      </c>
      <c r="V51" s="39">
        <f>IFERROR(VLOOKUP(Youts[[#This Row],[Código]],Venda_3meses[],2,FALSE),0)</f>
        <v>0</v>
      </c>
      <c r="W51" s="44" t="str">
        <f>IFERROR(Youts[[#This Row],[V. 3 meses]]/Youts[[#This Row],[Proj. de V. 3 meses]],"")</f>
        <v/>
      </c>
      <c r="X5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0.26666666666666666</v>
      </c>
      <c r="Y51" s="39">
        <f>IFERROR(VLOOKUP(Youts[[#This Row],[Código]],Venda_12meses[],2,FALSE),0)</f>
        <v>0</v>
      </c>
      <c r="Z51" s="44">
        <f>IFERROR(Youts[[#This Row],[V. 12 meses]]/Youts[[#This Row],[Proj. de V. 12 meses]],"")</f>
        <v>0</v>
      </c>
      <c r="AA51" s="22"/>
    </row>
    <row r="52" spans="1:27" x14ac:dyDescent="0.25">
      <c r="A52" s="22" t="str">
        <f>VLOOKUP(Youts[[#This Row],[Código]],BD_Produto[#All],7,FALSE)</f>
        <v>Fora de linha</v>
      </c>
      <c r="B52" s="22" t="str">
        <f>IF(OR(Youts[[#This Row],[Status]]="Em linha",Youts[[#This Row],[Status]]="Materia Prima",Youts[[#This Row],[Status]]="Componente"),"ok",IF(Youts[[#This Row],[Estoque+Importação]]&lt;1,"Tirar","ok"))</f>
        <v>ok</v>
      </c>
      <c r="C52" s="23">
        <v>32105064278</v>
      </c>
      <c r="D52" s="22" t="s">
        <v>899</v>
      </c>
      <c r="E52" s="22" t="str">
        <f>VLOOKUP(Youts[[#This Row],[Código]],BD_Produto[],3,FALSE)</f>
        <v>Mobile</v>
      </c>
      <c r="F52" s="22" t="str">
        <f>VLOOKUP(Youts[[#This Row],[Código]],BD_Produto[],4,FALSE)</f>
        <v>Galaxy SIII</v>
      </c>
      <c r="G52" s="24"/>
      <c r="H52" s="25"/>
      <c r="I52" s="22"/>
      <c r="J52" s="24"/>
      <c r="K52" s="24" t="str">
        <f>IFERROR(VLOOKUP(Youts[[#This Row],[Código]],Importação!P:R,3,FALSE),"")</f>
        <v/>
      </c>
      <c r="L52" s="24">
        <f>IFERROR(VLOOKUP(Youts[[#This Row],[Código]],Saldo[],3,FALSE),0)</f>
        <v>106</v>
      </c>
      <c r="M52" s="24">
        <f>SUM(Youts[[#This Row],[Produção]:[Estoque]])</f>
        <v>106</v>
      </c>
      <c r="N52" s="24" t="str">
        <f>IFERROR(Youts[[#This Row],[Estoque+Importação]]/Youts[[#This Row],[Proj. de V. No prox. mes]],"Sem Projeção")</f>
        <v>Sem Projeção</v>
      </c>
      <c r="O52" s="24" t="str">
        <f>IF(OR(Youts[[#This Row],[Status]]="Em Linha",Youts[[#This Row],[Status]]="Componente",Youts[[#This Row],[Status]]="Materia Prima"),Youts[[#This Row],[Proj. de V. No prox. mes]]*10,"-")</f>
        <v>-</v>
      </c>
      <c r="P5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2" s="75">
        <f>VLOOKUP(Youts[[#This Row],[Código]],Projeção[#All],15,FALSE)</f>
        <v>0</v>
      </c>
      <c r="R52" s="39">
        <f>VLOOKUP(Youts[[#This Row],[Código]],Projeção[#All],14,FALSE)</f>
        <v>0</v>
      </c>
      <c r="S52" s="39">
        <f>IFERROR(VLOOKUP(Youts[[#This Row],[Código]],Venda_mes[],2,FALSE),0)</f>
        <v>0</v>
      </c>
      <c r="T52" s="44" t="str">
        <f>IFERROR(Youts[[#This Row],[V. No mes]]/Youts[[#This Row],[Proj. de V. No mes]],"")</f>
        <v/>
      </c>
      <c r="U52" s="43">
        <f>VLOOKUP(Youts[[#This Row],[Código]],Projeção[#All],14,FALSE)+VLOOKUP(Youts[[#This Row],[Código]],Projeção[#All],13,FALSE)+VLOOKUP(Youts[[#This Row],[Código]],Projeção[#All],12,FALSE)</f>
        <v>0</v>
      </c>
      <c r="V52" s="39">
        <f>IFERROR(VLOOKUP(Youts[[#This Row],[Código]],Venda_3meses[],2,FALSE),0)</f>
        <v>0</v>
      </c>
      <c r="W52" s="44" t="str">
        <f>IFERROR(Youts[[#This Row],[V. 3 meses]]/Youts[[#This Row],[Proj. de V. 3 meses]],"")</f>
        <v/>
      </c>
      <c r="X5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0.26666666666666666</v>
      </c>
      <c r="Y52" s="39">
        <f>IFERROR(VLOOKUP(Youts[[#This Row],[Código]],Venda_12meses[],2,FALSE),0)</f>
        <v>0</v>
      </c>
      <c r="Z52" s="44">
        <f>IFERROR(Youts[[#This Row],[V. 12 meses]]/Youts[[#This Row],[Proj. de V. 12 meses]],"")</f>
        <v>0</v>
      </c>
      <c r="AA52" s="22"/>
    </row>
    <row r="53" spans="1:27" x14ac:dyDescent="0.25">
      <c r="A53" s="22" t="str">
        <f>VLOOKUP(Youts[[#This Row],[Código]],BD_Produto[#All],7,FALSE)</f>
        <v>Fora de linha</v>
      </c>
      <c r="B5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3" s="23">
        <v>33105063103</v>
      </c>
      <c r="D53" s="22" t="s">
        <v>1103</v>
      </c>
      <c r="E53" s="22" t="str">
        <f>VLOOKUP(Youts[[#This Row],[Código]],BD_Produto[],3,FALSE)</f>
        <v>Mobile</v>
      </c>
      <c r="F53" s="22" t="str">
        <f>VLOOKUP(Youts[[#This Row],[Código]],BD_Produto[],4,FALSE)</f>
        <v>iPhone 4/4S</v>
      </c>
      <c r="G53" s="24"/>
      <c r="H53" s="25"/>
      <c r="I53" s="22"/>
      <c r="J53" s="24"/>
      <c r="K53" s="24" t="str">
        <f>IFERROR(VLOOKUP(Youts[[#This Row],[Código]],Importação!P:R,3,FALSE),"")</f>
        <v/>
      </c>
      <c r="L53" s="24">
        <f>IFERROR(VLOOKUP(Youts[[#This Row],[Código]],Saldo[],3,FALSE),0)</f>
        <v>0</v>
      </c>
      <c r="M53" s="24">
        <f>SUM(Youts[[#This Row],[Produção]:[Estoque]])</f>
        <v>0</v>
      </c>
      <c r="N53" s="24" t="str">
        <f>IFERROR(Youts[[#This Row],[Estoque+Importação]]/Youts[[#This Row],[Proj. de V. No prox. mes]],"Sem Projeção")</f>
        <v>Sem Projeção</v>
      </c>
      <c r="O53" s="24" t="str">
        <f>IF(OR(Youts[[#This Row],[Status]]="Em Linha",Youts[[#This Row],[Status]]="Componente",Youts[[#This Row],[Status]]="Materia Prima"),Youts[[#This Row],[Proj. de V. No prox. mes]]*10,"-")</f>
        <v>-</v>
      </c>
      <c r="P5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3" s="75">
        <f>VLOOKUP(Youts[[#This Row],[Código]],Projeção[#All],15,FALSE)</f>
        <v>0</v>
      </c>
      <c r="R53" s="39">
        <f>VLOOKUP(Youts[[#This Row],[Código]],Projeção[#All],14,FALSE)</f>
        <v>0</v>
      </c>
      <c r="S53" s="39">
        <f>IFERROR(VLOOKUP(Youts[[#This Row],[Código]],Venda_mes[],2,FALSE),0)</f>
        <v>0</v>
      </c>
      <c r="T53" s="44" t="str">
        <f>IFERROR(Youts[[#This Row],[V. No mes]]/Youts[[#This Row],[Proj. de V. No mes]],"")</f>
        <v/>
      </c>
      <c r="U53" s="43">
        <f>VLOOKUP(Youts[[#This Row],[Código]],Projeção[#All],14,FALSE)+VLOOKUP(Youts[[#This Row],[Código]],Projeção[#All],13,FALSE)+VLOOKUP(Youts[[#This Row],[Código]],Projeção[#All],12,FALSE)</f>
        <v>0</v>
      </c>
      <c r="V53" s="39">
        <f>IFERROR(VLOOKUP(Youts[[#This Row],[Código]],Venda_3meses[],2,FALSE),0)</f>
        <v>0</v>
      </c>
      <c r="W53" s="44" t="str">
        <f>IFERROR(Youts[[#This Row],[V. 3 meses]]/Youts[[#This Row],[Proj. de V. 3 meses]],"")</f>
        <v/>
      </c>
      <c r="X5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1.4666666666666666</v>
      </c>
      <c r="Y53" s="39">
        <f>IFERROR(VLOOKUP(Youts[[#This Row],[Código]],Venda_12meses[],2,FALSE),0)</f>
        <v>0</v>
      </c>
      <c r="Z53" s="44">
        <f>IFERROR(Youts[[#This Row],[V. 12 meses]]/Youts[[#This Row],[Proj. de V. 12 meses]],"")</f>
        <v>0</v>
      </c>
      <c r="AA53" s="22" t="s">
        <v>1723</v>
      </c>
    </row>
    <row r="54" spans="1:27" x14ac:dyDescent="0.25">
      <c r="A54" s="22" t="str">
        <f>VLOOKUP(Youts[[#This Row],[Código]],BD_Produto[#All],7,FALSE)</f>
        <v>Fora de linha</v>
      </c>
      <c r="B5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4" s="23">
        <v>33105063101</v>
      </c>
      <c r="D54" s="22" t="s">
        <v>825</v>
      </c>
      <c r="E54" s="22" t="str">
        <f>VLOOKUP(Youts[[#This Row],[Código]],BD_Produto[],3,FALSE)</f>
        <v>Mobile</v>
      </c>
      <c r="F54" s="22" t="str">
        <f>VLOOKUP(Youts[[#This Row],[Código]],BD_Produto[],4,FALSE)</f>
        <v>iPhone 3/3S</v>
      </c>
      <c r="G54" s="24"/>
      <c r="H54" s="25"/>
      <c r="I54" s="22"/>
      <c r="J54" s="24"/>
      <c r="K54" s="24" t="str">
        <f>IFERROR(VLOOKUP(Youts[[#This Row],[Código]],Importação!P:R,3,FALSE),"")</f>
        <v/>
      </c>
      <c r="L54" s="24">
        <f>IFERROR(VLOOKUP(Youts[[#This Row],[Código]],Saldo[],3,FALSE),0)</f>
        <v>0</v>
      </c>
      <c r="M54" s="24">
        <f>SUM(Youts[[#This Row],[Produção]:[Estoque]])</f>
        <v>0</v>
      </c>
      <c r="N54" s="24" t="str">
        <f>IFERROR(Youts[[#This Row],[Estoque+Importação]]/Youts[[#This Row],[Proj. de V. No prox. mes]],"Sem Projeção")</f>
        <v>Sem Projeção</v>
      </c>
      <c r="O54" s="24" t="str">
        <f>IF(OR(Youts[[#This Row],[Status]]="Em Linha",Youts[[#This Row],[Status]]="Componente",Youts[[#This Row],[Status]]="Materia Prima"),Youts[[#This Row],[Proj. de V. No prox. mes]]*10,"-")</f>
        <v>-</v>
      </c>
      <c r="P5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4" s="75">
        <f>VLOOKUP(Youts[[#This Row],[Código]],Projeção[#All],15,FALSE)</f>
        <v>0</v>
      </c>
      <c r="R54" s="39">
        <f>VLOOKUP(Youts[[#This Row],[Código]],Projeção[#All],14,FALSE)</f>
        <v>0</v>
      </c>
      <c r="S54" s="39">
        <f>IFERROR(VLOOKUP(Youts[[#This Row],[Código]],Venda_mes[],2,FALSE),0)</f>
        <v>0</v>
      </c>
      <c r="T54" s="44" t="str">
        <f>IFERROR(Youts[[#This Row],[V. No mes]]/Youts[[#This Row],[Proj. de V. No mes]],"")</f>
        <v/>
      </c>
      <c r="U54" s="43">
        <f>VLOOKUP(Youts[[#This Row],[Código]],Projeção[#All],14,FALSE)+VLOOKUP(Youts[[#This Row],[Código]],Projeção[#All],13,FALSE)+VLOOKUP(Youts[[#This Row],[Código]],Projeção[#All],12,FALSE)</f>
        <v>0</v>
      </c>
      <c r="V54" s="39">
        <f>IFERROR(VLOOKUP(Youts[[#This Row],[Código]],Venda_3meses[],2,FALSE),0)</f>
        <v>0</v>
      </c>
      <c r="W54" s="44" t="str">
        <f>IFERROR(Youts[[#This Row],[V. 3 meses]]/Youts[[#This Row],[Proj. de V. 3 meses]],"")</f>
        <v/>
      </c>
      <c r="X5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0.89999999999999991</v>
      </c>
      <c r="Y54" s="39">
        <f>IFERROR(VLOOKUP(Youts[[#This Row],[Código]],Venda_12meses[],2,FALSE),0)</f>
        <v>0</v>
      </c>
      <c r="Z54" s="44">
        <f>IFERROR(Youts[[#This Row],[V. 12 meses]]/Youts[[#This Row],[Proj. de V. 12 meses]],"")</f>
        <v>0</v>
      </c>
      <c r="AA54" s="22" t="s">
        <v>1723</v>
      </c>
    </row>
    <row r="55" spans="1:27" x14ac:dyDescent="0.25">
      <c r="A55" s="22" t="str">
        <f>VLOOKUP(Youts[[#This Row],[Código]],BD_Produto[#All],7,FALSE)</f>
        <v>Fora de linha</v>
      </c>
      <c r="B5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5" s="23">
        <v>33105063096</v>
      </c>
      <c r="D55" s="22" t="s">
        <v>1035</v>
      </c>
      <c r="E55" s="22" t="str">
        <f>VLOOKUP(Youts[[#This Row],[Código]],BD_Produto[],3,FALSE)</f>
        <v>Mobile</v>
      </c>
      <c r="F55" s="22" t="str">
        <f>VLOOKUP(Youts[[#This Row],[Código]],BD_Produto[],4,FALSE)</f>
        <v>iPhone 4/4S</v>
      </c>
      <c r="G55" s="24"/>
      <c r="H55" s="25"/>
      <c r="I55" s="22"/>
      <c r="J55" s="24"/>
      <c r="K55" s="24" t="str">
        <f>IFERROR(VLOOKUP(Youts[[#This Row],[Código]],Importação!P:R,3,FALSE),"")</f>
        <v/>
      </c>
      <c r="L55" s="24">
        <f>IFERROR(VLOOKUP(Youts[[#This Row],[Código]],Saldo[],3,FALSE),0)</f>
        <v>0</v>
      </c>
      <c r="M55" s="24">
        <f>SUM(Youts[[#This Row],[Produção]:[Estoque]])</f>
        <v>0</v>
      </c>
      <c r="N55" s="24" t="str">
        <f>IFERROR(Youts[[#This Row],[Estoque+Importação]]/Youts[[#This Row],[Proj. de V. No prox. mes]],"Sem Projeção")</f>
        <v>Sem Projeção</v>
      </c>
      <c r="O55" s="24" t="str">
        <f>IF(OR(Youts[[#This Row],[Status]]="Em Linha",Youts[[#This Row],[Status]]="Componente",Youts[[#This Row],[Status]]="Materia Prima"),Youts[[#This Row],[Proj. de V. No prox. mes]]*10,"-")</f>
        <v>-</v>
      </c>
      <c r="P5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5" s="75">
        <f>VLOOKUP(Youts[[#This Row],[Código]],Projeção[#All],15,FALSE)</f>
        <v>0</v>
      </c>
      <c r="R55" s="39">
        <f>VLOOKUP(Youts[[#This Row],[Código]],Projeção[#All],14,FALSE)</f>
        <v>0</v>
      </c>
      <c r="S55" s="39">
        <f>IFERROR(VLOOKUP(Youts[[#This Row],[Código]],Venda_mes[],2,FALSE),0)</f>
        <v>0</v>
      </c>
      <c r="T55" s="44" t="str">
        <f>IFERROR(Youts[[#This Row],[V. No mes]]/Youts[[#This Row],[Proj. de V. No mes]],"")</f>
        <v/>
      </c>
      <c r="U55" s="43">
        <f>VLOOKUP(Youts[[#This Row],[Código]],Projeção[#All],14,FALSE)+VLOOKUP(Youts[[#This Row],[Código]],Projeção[#All],13,FALSE)+VLOOKUP(Youts[[#This Row],[Código]],Projeção[#All],12,FALSE)</f>
        <v>0</v>
      </c>
      <c r="V55" s="39">
        <f>IFERROR(VLOOKUP(Youts[[#This Row],[Código]],Venda_3meses[],2,FALSE),0)</f>
        <v>0</v>
      </c>
      <c r="W55" s="44" t="str">
        <f>IFERROR(Youts[[#This Row],[V. 3 meses]]/Youts[[#This Row],[Proj. de V. 3 meses]],"")</f>
        <v/>
      </c>
      <c r="X5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0.33333333333333331</v>
      </c>
      <c r="Y55" s="39">
        <f>IFERROR(VLOOKUP(Youts[[#This Row],[Código]],Venda_12meses[],2,FALSE),0)</f>
        <v>0</v>
      </c>
      <c r="Z55" s="44">
        <f>IFERROR(Youts[[#This Row],[V. 12 meses]]/Youts[[#This Row],[Proj. de V. 12 meses]],"")</f>
        <v>0</v>
      </c>
      <c r="AA55" s="22" t="s">
        <v>1723</v>
      </c>
    </row>
    <row r="56" spans="1:27" x14ac:dyDescent="0.25">
      <c r="A56" s="22" t="str">
        <f>VLOOKUP(Youts[[#This Row],[Código]],BD_Produto[#All],7,FALSE)</f>
        <v>Fora de linha</v>
      </c>
      <c r="B5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6" s="23">
        <v>33105063094</v>
      </c>
      <c r="D56" s="22" t="s">
        <v>1050</v>
      </c>
      <c r="E56" s="22" t="str">
        <f>VLOOKUP(Youts[[#This Row],[Código]],BD_Produto[],3,FALSE)</f>
        <v>Mobile</v>
      </c>
      <c r="F56" s="22" t="str">
        <f>VLOOKUP(Youts[[#This Row],[Código]],BD_Produto[],4,FALSE)</f>
        <v>iPhone 4/4S</v>
      </c>
      <c r="G56" s="24"/>
      <c r="H56" s="25"/>
      <c r="I56" s="22"/>
      <c r="J56" s="24"/>
      <c r="K56" s="24" t="str">
        <f>IFERROR(VLOOKUP(Youts[[#This Row],[Código]],Importação!P:R,3,FALSE),"")</f>
        <v/>
      </c>
      <c r="L56" s="24">
        <f>IFERROR(VLOOKUP(Youts[[#This Row],[Código]],Saldo[],3,FALSE),0)</f>
        <v>0</v>
      </c>
      <c r="M56" s="24">
        <f>SUM(Youts[[#This Row],[Produção]:[Estoque]])</f>
        <v>0</v>
      </c>
      <c r="N56" s="24" t="str">
        <f>IFERROR(Youts[[#This Row],[Estoque+Importação]]/Youts[[#This Row],[Proj. de V. No prox. mes]],"Sem Projeção")</f>
        <v>Sem Projeção</v>
      </c>
      <c r="O56" s="24" t="str">
        <f>IF(OR(Youts[[#This Row],[Status]]="Em Linha",Youts[[#This Row],[Status]]="Componente",Youts[[#This Row],[Status]]="Materia Prima"),Youts[[#This Row],[Proj. de V. No prox. mes]]*10,"-")</f>
        <v>-</v>
      </c>
      <c r="P5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6" s="75">
        <f>VLOOKUP(Youts[[#This Row],[Código]],Projeção[#All],15,FALSE)</f>
        <v>0</v>
      </c>
      <c r="R56" s="39">
        <f>VLOOKUP(Youts[[#This Row],[Código]],Projeção[#All],14,FALSE)</f>
        <v>0</v>
      </c>
      <c r="S56" s="39">
        <f>IFERROR(VLOOKUP(Youts[[#This Row],[Código]],Venda_mes[],2,FALSE),0)</f>
        <v>0</v>
      </c>
      <c r="T56" s="44" t="str">
        <f>IFERROR(Youts[[#This Row],[V. No mes]]/Youts[[#This Row],[Proj. de V. No mes]],"")</f>
        <v/>
      </c>
      <c r="U56" s="43">
        <f>VLOOKUP(Youts[[#This Row],[Código]],Projeção[#All],14,FALSE)+VLOOKUP(Youts[[#This Row],[Código]],Projeção[#All],13,FALSE)+VLOOKUP(Youts[[#This Row],[Código]],Projeção[#All],12,FALSE)</f>
        <v>0</v>
      </c>
      <c r="V56" s="39">
        <f>IFERROR(VLOOKUP(Youts[[#This Row],[Código]],Venda_3meses[],2,FALSE),0)</f>
        <v>0</v>
      </c>
      <c r="W56" s="44" t="str">
        <f>IFERROR(Youts[[#This Row],[V. 3 meses]]/Youts[[#This Row],[Proj. de V. 3 meses]],"")</f>
        <v/>
      </c>
      <c r="X5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0.46666666666666667</v>
      </c>
      <c r="Y56" s="39">
        <f>IFERROR(VLOOKUP(Youts[[#This Row],[Código]],Venda_12meses[],2,FALSE),0)</f>
        <v>0</v>
      </c>
      <c r="Z56" s="44">
        <f>IFERROR(Youts[[#This Row],[V. 12 meses]]/Youts[[#This Row],[Proj. de V. 12 meses]],"")</f>
        <v>0</v>
      </c>
      <c r="AA56" s="22" t="s">
        <v>1723</v>
      </c>
    </row>
    <row r="57" spans="1:27" x14ac:dyDescent="0.25">
      <c r="A57" s="22" t="str">
        <f>VLOOKUP(Youts[[#This Row],[Código]],BD_Produto[#All],7,FALSE)</f>
        <v>Fora de linha</v>
      </c>
      <c r="B5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7" s="23">
        <v>33105063097</v>
      </c>
      <c r="D57" s="22" t="s">
        <v>1043</v>
      </c>
      <c r="E57" s="22" t="str">
        <f>VLOOKUP(Youts[[#This Row],[Código]],BD_Produto[],3,FALSE)</f>
        <v>Mobile</v>
      </c>
      <c r="F57" s="22" t="str">
        <f>VLOOKUP(Youts[[#This Row],[Código]],BD_Produto[],4,FALSE)</f>
        <v>iPhone 4/4S</v>
      </c>
      <c r="G57" s="24"/>
      <c r="H57" s="25"/>
      <c r="I57" s="22"/>
      <c r="J57" s="24"/>
      <c r="K57" s="24" t="str">
        <f>IFERROR(VLOOKUP(Youts[[#This Row],[Código]],Importação!P:R,3,FALSE),"")</f>
        <v/>
      </c>
      <c r="L57" s="24">
        <f>IFERROR(VLOOKUP(Youts[[#This Row],[Código]],Saldo[],3,FALSE),0)</f>
        <v>0</v>
      </c>
      <c r="M57" s="24">
        <f>SUM(Youts[[#This Row],[Produção]:[Estoque]])</f>
        <v>0</v>
      </c>
      <c r="N57" s="24" t="str">
        <f>IFERROR(Youts[[#This Row],[Estoque+Importação]]/Youts[[#This Row],[Proj. de V. No prox. mes]],"Sem Projeção")</f>
        <v>Sem Projeção</v>
      </c>
      <c r="O57" s="24" t="str">
        <f>IF(OR(Youts[[#This Row],[Status]]="Em Linha",Youts[[#This Row],[Status]]="Componente",Youts[[#This Row],[Status]]="Materia Prima"),Youts[[#This Row],[Proj. de V. No prox. mes]]*10,"-")</f>
        <v>-</v>
      </c>
      <c r="P5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7" s="75">
        <f>VLOOKUP(Youts[[#This Row],[Código]],Projeção[#All],15,FALSE)</f>
        <v>0</v>
      </c>
      <c r="R57" s="39">
        <f>VLOOKUP(Youts[[#This Row],[Código]],Projeção[#All],14,FALSE)</f>
        <v>0</v>
      </c>
      <c r="S57" s="39">
        <f>IFERROR(VLOOKUP(Youts[[#This Row],[Código]],Venda_mes[],2,FALSE),0)</f>
        <v>0</v>
      </c>
      <c r="T57" s="44" t="str">
        <f>IFERROR(Youts[[#This Row],[V. No mes]]/Youts[[#This Row],[Proj. de V. No mes]],"")</f>
        <v/>
      </c>
      <c r="U57" s="43">
        <f>VLOOKUP(Youts[[#This Row],[Código]],Projeção[#All],14,FALSE)+VLOOKUP(Youts[[#This Row],[Código]],Projeção[#All],13,FALSE)+VLOOKUP(Youts[[#This Row],[Código]],Projeção[#All],12,FALSE)</f>
        <v>0</v>
      </c>
      <c r="V57" s="39">
        <f>IFERROR(VLOOKUP(Youts[[#This Row],[Código]],Venda_3meses[],2,FALSE),0)</f>
        <v>0</v>
      </c>
      <c r="W57" s="44" t="str">
        <f>IFERROR(Youts[[#This Row],[V. 3 meses]]/Youts[[#This Row],[Proj. de V. 3 meses]],"")</f>
        <v/>
      </c>
      <c r="X5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0.5</v>
      </c>
      <c r="Y57" s="39">
        <f>IFERROR(VLOOKUP(Youts[[#This Row],[Código]],Venda_12meses[],2,FALSE),0)</f>
        <v>0</v>
      </c>
      <c r="Z57" s="44">
        <f>IFERROR(Youts[[#This Row],[V. 12 meses]]/Youts[[#This Row],[Proj. de V. 12 meses]],"")</f>
        <v>0</v>
      </c>
      <c r="AA57" s="22" t="s">
        <v>1723</v>
      </c>
    </row>
    <row r="58" spans="1:27" x14ac:dyDescent="0.25">
      <c r="A58" s="22" t="str">
        <f>VLOOKUP(Youts[[#This Row],[Código]],BD_Produto[#All],7,FALSE)</f>
        <v>Fora de linha</v>
      </c>
      <c r="B5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8" s="23">
        <v>33105063109</v>
      </c>
      <c r="D58" s="22" t="s">
        <v>833</v>
      </c>
      <c r="E58" s="22" t="str">
        <f>VLOOKUP(Youts[[#This Row],[Código]],BD_Produto[],3,FALSE)</f>
        <v>Mobile</v>
      </c>
      <c r="F58" s="22" t="str">
        <f>VLOOKUP(Youts[[#This Row],[Código]],BD_Produto[],4,FALSE)</f>
        <v>iPhone 4/4S</v>
      </c>
      <c r="G58" s="24"/>
      <c r="H58" s="25"/>
      <c r="I58" s="22"/>
      <c r="J58" s="24"/>
      <c r="K58" s="24" t="str">
        <f>IFERROR(VLOOKUP(Youts[[#This Row],[Código]],Importação!P:R,3,FALSE),"")</f>
        <v/>
      </c>
      <c r="L58" s="24">
        <f>IFERROR(VLOOKUP(Youts[[#This Row],[Código]],Saldo[],3,FALSE),0)</f>
        <v>0</v>
      </c>
      <c r="M58" s="24">
        <f>SUM(Youts[[#This Row],[Produção]:[Estoque]])</f>
        <v>0</v>
      </c>
      <c r="N58" s="24" t="str">
        <f>IFERROR(Youts[[#This Row],[Estoque+Importação]]/Youts[[#This Row],[Proj. de V. No prox. mes]],"Sem Projeção")</f>
        <v>Sem Projeção</v>
      </c>
      <c r="O58" s="24" t="str">
        <f>IF(OR(Youts[[#This Row],[Status]]="Em Linha",Youts[[#This Row],[Status]]="Componente",Youts[[#This Row],[Status]]="Materia Prima"),Youts[[#This Row],[Proj. de V. No prox. mes]]*10,"-")</f>
        <v>-</v>
      </c>
      <c r="P5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8" s="75">
        <f>VLOOKUP(Youts[[#This Row],[Código]],Projeção[#All],15,FALSE)</f>
        <v>0</v>
      </c>
      <c r="R58" s="39">
        <f>VLOOKUP(Youts[[#This Row],[Código]],Projeção[#All],14,FALSE)</f>
        <v>0</v>
      </c>
      <c r="S58" s="39">
        <f>IFERROR(VLOOKUP(Youts[[#This Row],[Código]],Venda_mes[],2,FALSE),0)</f>
        <v>0</v>
      </c>
      <c r="T58" s="44" t="str">
        <f>IFERROR(Youts[[#This Row],[V. No mes]]/Youts[[#This Row],[Proj. de V. No mes]],"")</f>
        <v/>
      </c>
      <c r="U58" s="43">
        <f>VLOOKUP(Youts[[#This Row],[Código]],Projeção[#All],14,FALSE)+VLOOKUP(Youts[[#This Row],[Código]],Projeção[#All],13,FALSE)+VLOOKUP(Youts[[#This Row],[Código]],Projeção[#All],12,FALSE)</f>
        <v>0</v>
      </c>
      <c r="V58" s="39">
        <f>IFERROR(VLOOKUP(Youts[[#This Row],[Código]],Venda_3meses[],2,FALSE),0)</f>
        <v>0</v>
      </c>
      <c r="W58" s="44" t="str">
        <f>IFERROR(Youts[[#This Row],[V. 3 meses]]/Youts[[#This Row],[Proj. de V. 3 meses]],"")</f>
        <v/>
      </c>
      <c r="X5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0.33333333333333337</v>
      </c>
      <c r="Y58" s="39">
        <f>IFERROR(VLOOKUP(Youts[[#This Row],[Código]],Venda_12meses[],2,FALSE),0)</f>
        <v>0</v>
      </c>
      <c r="Z58" s="44">
        <f>IFERROR(Youts[[#This Row],[V. 12 meses]]/Youts[[#This Row],[Proj. de V. 12 meses]],"")</f>
        <v>0</v>
      </c>
      <c r="AA58" s="22" t="s">
        <v>1723</v>
      </c>
    </row>
    <row r="59" spans="1:27" x14ac:dyDescent="0.25">
      <c r="A59" s="22" t="str">
        <f>VLOOKUP(Youts[[#This Row],[Código]],BD_Produto[#All],7,FALSE)</f>
        <v>Fora de linha</v>
      </c>
      <c r="B5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59" s="23">
        <v>33105063945</v>
      </c>
      <c r="D59" s="22" t="s">
        <v>1060</v>
      </c>
      <c r="E59" s="22" t="str">
        <f>VLOOKUP(Youts[[#This Row],[Código]],BD_Produto[],3,FALSE)</f>
        <v>Mobile</v>
      </c>
      <c r="F59" s="22" t="str">
        <f>VLOOKUP(Youts[[#This Row],[Código]],BD_Produto[],4,FALSE)</f>
        <v>iPhone 5/5S</v>
      </c>
      <c r="G59" s="24"/>
      <c r="H59" s="25"/>
      <c r="I59" s="22"/>
      <c r="J59" s="24"/>
      <c r="K59" s="24" t="str">
        <f>IFERROR(VLOOKUP(Youts[[#This Row],[Código]],Importação!P:R,3,FALSE),"")</f>
        <v/>
      </c>
      <c r="L59" s="24">
        <f>IFERROR(VLOOKUP(Youts[[#This Row],[Código]],Saldo[],3,FALSE),0)</f>
        <v>0</v>
      </c>
      <c r="M59" s="24">
        <f>SUM(Youts[[#This Row],[Produção]:[Estoque]])</f>
        <v>0</v>
      </c>
      <c r="N59" s="24" t="str">
        <f>IFERROR(Youts[[#This Row],[Estoque+Importação]]/Youts[[#This Row],[Proj. de V. No prox. mes]],"Sem Projeção")</f>
        <v>Sem Projeção</v>
      </c>
      <c r="O59" s="24" t="str">
        <f>IF(OR(Youts[[#This Row],[Status]]="Em Linha",Youts[[#This Row],[Status]]="Componente",Youts[[#This Row],[Status]]="Materia Prima"),Youts[[#This Row],[Proj. de V. No prox. mes]]*10,"-")</f>
        <v>-</v>
      </c>
      <c r="P5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59" s="75">
        <f>VLOOKUP(Youts[[#This Row],[Código]],Projeção[#All],15,FALSE)</f>
        <v>0</v>
      </c>
      <c r="R59" s="39">
        <f>VLOOKUP(Youts[[#This Row],[Código]],Projeção[#All],14,FALSE)</f>
        <v>0</v>
      </c>
      <c r="S59" s="39">
        <f>IFERROR(VLOOKUP(Youts[[#This Row],[Código]],Venda_mes[],2,FALSE),0)</f>
        <v>0</v>
      </c>
      <c r="T59" s="44" t="str">
        <f>IFERROR(Youts[[#This Row],[V. No mes]]/Youts[[#This Row],[Proj. de V. No mes]],"")</f>
        <v/>
      </c>
      <c r="U59" s="43">
        <f>VLOOKUP(Youts[[#This Row],[Código]],Projeção[#All],14,FALSE)+VLOOKUP(Youts[[#This Row],[Código]],Projeção[#All],13,FALSE)+VLOOKUP(Youts[[#This Row],[Código]],Projeção[#All],12,FALSE)</f>
        <v>0</v>
      </c>
      <c r="V59" s="39">
        <f>IFERROR(VLOOKUP(Youts[[#This Row],[Código]],Venda_3meses[],2,FALSE),0)</f>
        <v>0</v>
      </c>
      <c r="W59" s="44" t="str">
        <f>IFERROR(Youts[[#This Row],[V. 3 meses]]/Youts[[#This Row],[Proj. de V. 3 meses]],"")</f>
        <v/>
      </c>
      <c r="X5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0.13333333333333333</v>
      </c>
      <c r="Y59" s="39">
        <f>IFERROR(VLOOKUP(Youts[[#This Row],[Código]],Venda_12meses[],2,FALSE),0)</f>
        <v>0</v>
      </c>
      <c r="Z59" s="44">
        <f>IFERROR(Youts[[#This Row],[V. 12 meses]]/Youts[[#This Row],[Proj. de V. 12 meses]],"")</f>
        <v>0</v>
      </c>
      <c r="AA59" s="22"/>
    </row>
    <row r="60" spans="1:27" x14ac:dyDescent="0.25">
      <c r="A60" s="22" t="str">
        <f>VLOOKUP(Youts[[#This Row],[Código]],BD_Produto[#All],7,FALSE)</f>
        <v>Fora de linha</v>
      </c>
      <c r="B6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0" s="23">
        <v>33105063108</v>
      </c>
      <c r="D60" s="22" t="s">
        <v>832</v>
      </c>
      <c r="E60" s="22" t="str">
        <f>VLOOKUP(Youts[[#This Row],[Código]],BD_Produto[],3,FALSE)</f>
        <v>Mobile</v>
      </c>
      <c r="F60" s="22" t="str">
        <f>VLOOKUP(Youts[[#This Row],[Código]],BD_Produto[],4,FALSE)</f>
        <v>iPhone 4/4S</v>
      </c>
      <c r="G60" s="24"/>
      <c r="H60" s="25"/>
      <c r="I60" s="22"/>
      <c r="J60" s="24"/>
      <c r="K60" s="24" t="str">
        <f>IFERROR(VLOOKUP(Youts[[#This Row],[Código]],Importação!P:R,3,FALSE),"")</f>
        <v/>
      </c>
      <c r="L60" s="24">
        <f>IFERROR(VLOOKUP(Youts[[#This Row],[Código]],Saldo[],3,FALSE),0)</f>
        <v>0</v>
      </c>
      <c r="M60" s="24">
        <f>SUM(Youts[[#This Row],[Produção]:[Estoque]])</f>
        <v>0</v>
      </c>
      <c r="N60" s="24" t="str">
        <f>IFERROR(Youts[[#This Row],[Estoque+Importação]]/Youts[[#This Row],[Proj. de V. No prox. mes]],"Sem Projeção")</f>
        <v>Sem Projeção</v>
      </c>
      <c r="O60" s="24" t="str">
        <f>IF(OR(Youts[[#This Row],[Status]]="Em Linha",Youts[[#This Row],[Status]]="Componente",Youts[[#This Row],[Status]]="Materia Prima"),Youts[[#This Row],[Proj. de V. No prox. mes]]*10,"-")</f>
        <v>-</v>
      </c>
      <c r="P6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0" s="75">
        <f>VLOOKUP(Youts[[#This Row],[Código]],Projeção[#All],15,FALSE)</f>
        <v>0</v>
      </c>
      <c r="R60" s="39">
        <f>VLOOKUP(Youts[[#This Row],[Código]],Projeção[#All],14,FALSE)</f>
        <v>0</v>
      </c>
      <c r="S60" s="39">
        <f>IFERROR(VLOOKUP(Youts[[#This Row],[Código]],Venda_mes[],2,FALSE),0)</f>
        <v>0</v>
      </c>
      <c r="T60" s="44" t="str">
        <f>IFERROR(Youts[[#This Row],[V. No mes]]/Youts[[#This Row],[Proj. de V. No mes]],"")</f>
        <v/>
      </c>
      <c r="U60" s="43">
        <f>VLOOKUP(Youts[[#This Row],[Código]],Projeção[#All],14,FALSE)+VLOOKUP(Youts[[#This Row],[Código]],Projeção[#All],13,FALSE)+VLOOKUP(Youts[[#This Row],[Código]],Projeção[#All],12,FALSE)</f>
        <v>0</v>
      </c>
      <c r="V60" s="39">
        <f>IFERROR(VLOOKUP(Youts[[#This Row],[Código]],Venda_3meses[],2,FALSE),0)</f>
        <v>0</v>
      </c>
      <c r="W60" s="44" t="str">
        <f>IFERROR(Youts[[#This Row],[V. 3 meses]]/Youts[[#This Row],[Proj. de V. 3 meses]],"")</f>
        <v/>
      </c>
      <c r="X6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1.6999999999999997</v>
      </c>
      <c r="Y60" s="39">
        <f>IFERROR(VLOOKUP(Youts[[#This Row],[Código]],Venda_12meses[],2,FALSE),0)</f>
        <v>0</v>
      </c>
      <c r="Z60" s="44">
        <f>IFERROR(Youts[[#This Row],[V. 12 meses]]/Youts[[#This Row],[Proj. de V. 12 meses]],"")</f>
        <v>0</v>
      </c>
      <c r="AA60" s="22" t="s">
        <v>1723</v>
      </c>
    </row>
    <row r="61" spans="1:27" x14ac:dyDescent="0.25">
      <c r="A61" s="22" t="str">
        <f>VLOOKUP(Youts[[#This Row],[Código]],BD_Produto[#All],7,FALSE)</f>
        <v>Fora de linha</v>
      </c>
      <c r="B61" s="22" t="str">
        <f>IF(OR(Youts[[#This Row],[Status]]="Em linha",Youts[[#This Row],[Status]]="Materia Prima",Youts[[#This Row],[Status]]="Componente"),"ok",IF(Youts[[#This Row],[Estoque+Importação]]&lt;1,"Tirar","ok"))</f>
        <v>ok</v>
      </c>
      <c r="C61" s="23">
        <v>33105163079</v>
      </c>
      <c r="D61" s="22" t="s">
        <v>1009</v>
      </c>
      <c r="E61" s="22" t="str">
        <f>VLOOKUP(Youts[[#This Row],[Código]],BD_Produto[],3,FALSE)</f>
        <v>Mobile</v>
      </c>
      <c r="F61" s="22" t="str">
        <f>VLOOKUP(Youts[[#This Row],[Código]],BD_Produto[],4,FALSE)</f>
        <v>Screen Protector</v>
      </c>
      <c r="G61" s="24"/>
      <c r="H61" s="25"/>
      <c r="I61" s="22"/>
      <c r="J61" s="24"/>
      <c r="K61" s="24" t="str">
        <f>IFERROR(VLOOKUP(Youts[[#This Row],[Código]],Importação!P:R,3,FALSE),"")</f>
        <v/>
      </c>
      <c r="L61" s="24">
        <f>IFERROR(VLOOKUP(Youts[[#This Row],[Código]],Saldo[],3,FALSE),0)</f>
        <v>805</v>
      </c>
      <c r="M61" s="24">
        <f>SUM(Youts[[#This Row],[Produção]:[Estoque]])</f>
        <v>805</v>
      </c>
      <c r="N61" s="24" t="str">
        <f>IFERROR(Youts[[#This Row],[Estoque+Importação]]/Youts[[#This Row],[Proj. de V. No prox. mes]],"Sem Projeção")</f>
        <v>Sem Projeção</v>
      </c>
      <c r="O61" s="24" t="str">
        <f>IF(OR(Youts[[#This Row],[Status]]="Em Linha",Youts[[#This Row],[Status]]="Componente",Youts[[#This Row],[Status]]="Materia Prima"),Youts[[#This Row],[Proj. de V. No prox. mes]]*10,"-")</f>
        <v>-</v>
      </c>
      <c r="P6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1" s="75">
        <f>VLOOKUP(Youts[[#This Row],[Código]],Projeção[#All],15,FALSE)</f>
        <v>0</v>
      </c>
      <c r="R61" s="39">
        <f>VLOOKUP(Youts[[#This Row],[Código]],Projeção[#All],14,FALSE)</f>
        <v>0</v>
      </c>
      <c r="S61" s="39">
        <f>IFERROR(VLOOKUP(Youts[[#This Row],[Código]],Venda_mes[],2,FALSE),0)</f>
        <v>0</v>
      </c>
      <c r="T61" s="44" t="str">
        <f>IFERROR(Youts[[#This Row],[V. No mes]]/Youts[[#This Row],[Proj. de V. No mes]],"")</f>
        <v/>
      </c>
      <c r="U61" s="43">
        <f>VLOOKUP(Youts[[#This Row],[Código]],Projeção[#All],14,FALSE)+VLOOKUP(Youts[[#This Row],[Código]],Projeção[#All],13,FALSE)+VLOOKUP(Youts[[#This Row],[Código]],Projeção[#All],12,FALSE)</f>
        <v>0</v>
      </c>
      <c r="V61" s="39">
        <f>IFERROR(VLOOKUP(Youts[[#This Row],[Código]],Venda_3meses[],2,FALSE),0)</f>
        <v>0</v>
      </c>
      <c r="W61" s="44" t="str">
        <f>IFERROR(Youts[[#This Row],[V. 3 meses]]/Youts[[#This Row],[Proj. de V. 3 meses]],"")</f>
        <v/>
      </c>
      <c r="X6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0.19999999999999998</v>
      </c>
      <c r="Y61" s="39">
        <f>IFERROR(VLOOKUP(Youts[[#This Row],[Código]],Venda_12meses[],2,FALSE),0)</f>
        <v>0</v>
      </c>
      <c r="Z61" s="44">
        <f>IFERROR(Youts[[#This Row],[V. 12 meses]]/Youts[[#This Row],[Proj. de V. 12 meses]],"")</f>
        <v>0</v>
      </c>
      <c r="AA61" s="22" t="s">
        <v>1723</v>
      </c>
    </row>
    <row r="62" spans="1:27" x14ac:dyDescent="0.25">
      <c r="A62" s="22" t="str">
        <f>VLOOKUP(Youts[[#This Row],[Código]],BD_Produto[#All],7,FALSE)</f>
        <v>Fora de linha</v>
      </c>
      <c r="B6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2" s="23">
        <v>33105063089</v>
      </c>
      <c r="D62" s="22" t="s">
        <v>1074</v>
      </c>
      <c r="E62" s="22" t="str">
        <f>VLOOKUP(Youts[[#This Row],[Código]],BD_Produto[],3,FALSE)</f>
        <v>Mobile</v>
      </c>
      <c r="F62" s="22" t="str">
        <f>VLOOKUP(Youts[[#This Row],[Código]],BD_Produto[],4,FALSE)</f>
        <v>Case iPad</v>
      </c>
      <c r="G62" s="24"/>
      <c r="H62" s="25"/>
      <c r="I62" s="22"/>
      <c r="J62" s="24"/>
      <c r="K62" s="24" t="str">
        <f>IFERROR(VLOOKUP(Youts[[#This Row],[Código]],Importação!P:R,3,FALSE),"")</f>
        <v/>
      </c>
      <c r="L62" s="24">
        <f>IFERROR(VLOOKUP(Youts[[#This Row],[Código]],Saldo[],3,FALSE),0)</f>
        <v>0</v>
      </c>
      <c r="M62" s="24">
        <f>SUM(Youts[[#This Row],[Produção]:[Estoque]])</f>
        <v>0</v>
      </c>
      <c r="N62" s="24">
        <f>IFERROR(Youts[[#This Row],[Estoque+Importação]]/Youts[[#This Row],[Proj. de V. No prox. mes]],"Sem Projeção")</f>
        <v>0</v>
      </c>
      <c r="O62" s="24" t="str">
        <f>IF(OR(Youts[[#This Row],[Status]]="Em Linha",Youts[[#This Row],[Status]]="Componente",Youts[[#This Row],[Status]]="Materia Prima"),Youts[[#This Row],[Proj. de V. No prox. mes]]*10,"-")</f>
        <v>-</v>
      </c>
      <c r="P6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2" s="75">
        <f>VLOOKUP(Youts[[#This Row],[Código]],Projeção[#All],15,FALSE)</f>
        <v>0.13333333333333333</v>
      </c>
      <c r="R62" s="39">
        <f>VLOOKUP(Youts[[#This Row],[Código]],Projeção[#All],14,FALSE)</f>
        <v>0</v>
      </c>
      <c r="S62" s="39">
        <f>IFERROR(VLOOKUP(Youts[[#This Row],[Código]],Venda_mes[],2,FALSE),0)</f>
        <v>0</v>
      </c>
      <c r="T62" s="44" t="str">
        <f>IFERROR(Youts[[#This Row],[V. No mes]]/Youts[[#This Row],[Proj. de V. No mes]],"")</f>
        <v/>
      </c>
      <c r="U62" s="43">
        <f>VLOOKUP(Youts[[#This Row],[Código]],Projeção[#All],14,FALSE)+VLOOKUP(Youts[[#This Row],[Código]],Projeção[#All],13,FALSE)+VLOOKUP(Youts[[#This Row],[Código]],Projeção[#All],12,FALSE)</f>
        <v>0</v>
      </c>
      <c r="V62" s="39">
        <f>IFERROR(VLOOKUP(Youts[[#This Row],[Código]],Venda_3meses[],2,FALSE),0)</f>
        <v>0</v>
      </c>
      <c r="W62" s="44" t="str">
        <f>IFERROR(Youts[[#This Row],[V. 3 meses]]/Youts[[#This Row],[Proj. de V. 3 meses]],"")</f>
        <v/>
      </c>
      <c r="X6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6.6666666666666666E-2</v>
      </c>
      <c r="Y62" s="39">
        <f>IFERROR(VLOOKUP(Youts[[#This Row],[Código]],Venda_12meses[],2,FALSE),0)</f>
        <v>2</v>
      </c>
      <c r="Z62" s="44">
        <f>IFERROR(Youts[[#This Row],[V. 12 meses]]/Youts[[#This Row],[Proj. de V. 12 meses]],"")</f>
        <v>30</v>
      </c>
      <c r="AA62" s="22" t="s">
        <v>1723</v>
      </c>
    </row>
    <row r="63" spans="1:27" x14ac:dyDescent="0.25">
      <c r="A63" s="22" t="str">
        <f>VLOOKUP(Youts[[#This Row],[Código]],BD_Produto[#All],7,FALSE)</f>
        <v>Fora de linha</v>
      </c>
      <c r="B6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3" s="23">
        <v>33105063944</v>
      </c>
      <c r="D63" s="22" t="s">
        <v>1179</v>
      </c>
      <c r="E63" s="22" t="str">
        <f>VLOOKUP(Youts[[#This Row],[Código]],BD_Produto[],3,FALSE)</f>
        <v>Mobile</v>
      </c>
      <c r="F63" s="22" t="str">
        <f>VLOOKUP(Youts[[#This Row],[Código]],BD_Produto[],4,FALSE)</f>
        <v>Galaxy SIII</v>
      </c>
      <c r="G63" s="24"/>
      <c r="H63" s="25"/>
      <c r="I63" s="22"/>
      <c r="J63" s="24"/>
      <c r="K63" s="24" t="str">
        <f>IFERROR(VLOOKUP(Youts[[#This Row],[Código]],Importação!P:R,3,FALSE),"")</f>
        <v/>
      </c>
      <c r="L63" s="24">
        <f>IFERROR(VLOOKUP(Youts[[#This Row],[Código]],Saldo[],3,FALSE),0)</f>
        <v>0</v>
      </c>
      <c r="M63" s="24">
        <f>SUM(Youts[[#This Row],[Produção]:[Estoque]])</f>
        <v>0</v>
      </c>
      <c r="N63" s="24" t="str">
        <f>IFERROR(Youts[[#This Row],[Estoque+Importação]]/Youts[[#This Row],[Proj. de V. No prox. mes]],"Sem Projeção")</f>
        <v>Sem Projeção</v>
      </c>
      <c r="O63" s="24" t="str">
        <f>IF(OR(Youts[[#This Row],[Status]]="Em Linha",Youts[[#This Row],[Status]]="Componente",Youts[[#This Row],[Status]]="Materia Prima"),Youts[[#This Row],[Proj. de V. No prox. mes]]*10,"-")</f>
        <v>-</v>
      </c>
      <c r="P6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3" s="75">
        <f>VLOOKUP(Youts[[#This Row],[Código]],Projeção[#All],15,FALSE)</f>
        <v>0</v>
      </c>
      <c r="R63" s="39">
        <f>VLOOKUP(Youts[[#This Row],[Código]],Projeção[#All],14,FALSE)</f>
        <v>0</v>
      </c>
      <c r="S63" s="39">
        <f>IFERROR(VLOOKUP(Youts[[#This Row],[Código]],Venda_mes[],2,FALSE),0)</f>
        <v>0</v>
      </c>
      <c r="T63" s="44" t="str">
        <f>IFERROR(Youts[[#This Row],[V. No mes]]/Youts[[#This Row],[Proj. de V. No mes]],"")</f>
        <v/>
      </c>
      <c r="U63" s="43">
        <f>VLOOKUP(Youts[[#This Row],[Código]],Projeção[#All],14,FALSE)+VLOOKUP(Youts[[#This Row],[Código]],Projeção[#All],13,FALSE)+VLOOKUP(Youts[[#This Row],[Código]],Projeção[#All],12,FALSE)</f>
        <v>0</v>
      </c>
      <c r="V63" s="39">
        <f>IFERROR(VLOOKUP(Youts[[#This Row],[Código]],Venda_3meses[],2,FALSE),0)</f>
        <v>0</v>
      </c>
      <c r="W63" s="44" t="str">
        <f>IFERROR(Youts[[#This Row],[V. 3 meses]]/Youts[[#This Row],[Proj. de V. 3 meses]],"")</f>
        <v/>
      </c>
      <c r="X6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1.5</v>
      </c>
      <c r="Y63" s="39">
        <f>IFERROR(VLOOKUP(Youts[[#This Row],[Código]],Venda_12meses[],2,FALSE),0)</f>
        <v>0</v>
      </c>
      <c r="Z63" s="44">
        <f>IFERROR(Youts[[#This Row],[V. 12 meses]]/Youts[[#This Row],[Proj. de V. 12 meses]],"")</f>
        <v>0</v>
      </c>
      <c r="AA63" s="22"/>
    </row>
    <row r="64" spans="1:27" x14ac:dyDescent="0.25">
      <c r="A64" s="22" t="str">
        <f>VLOOKUP(Youts[[#This Row],[Código]],BD_Produto[#All],7,FALSE)</f>
        <v>Fora de linha</v>
      </c>
      <c r="B6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4" s="23">
        <v>33105063106</v>
      </c>
      <c r="D64" s="22" t="s">
        <v>830</v>
      </c>
      <c r="E64" s="22" t="str">
        <f>VLOOKUP(Youts[[#This Row],[Código]],BD_Produto[],3,FALSE)</f>
        <v>Mobile</v>
      </c>
      <c r="F64" s="22" t="str">
        <f>VLOOKUP(Youts[[#This Row],[Código]],BD_Produto[],4,FALSE)</f>
        <v>iPhone 4/4S</v>
      </c>
      <c r="G64" s="24"/>
      <c r="H64" s="25"/>
      <c r="I64" s="22"/>
      <c r="J64" s="24"/>
      <c r="K64" s="24" t="str">
        <f>IFERROR(VLOOKUP(Youts[[#This Row],[Código]],Importação!P:R,3,FALSE),"")</f>
        <v/>
      </c>
      <c r="L64" s="24">
        <f>IFERROR(VLOOKUP(Youts[[#This Row],[Código]],Saldo[],3,FALSE),0)</f>
        <v>0</v>
      </c>
      <c r="M64" s="24">
        <f>SUM(Youts[[#This Row],[Produção]:[Estoque]])</f>
        <v>0</v>
      </c>
      <c r="N64" s="24" t="str">
        <f>IFERROR(Youts[[#This Row],[Estoque+Importação]]/Youts[[#This Row],[Proj. de V. No prox. mes]],"Sem Projeção")</f>
        <v>Sem Projeção</v>
      </c>
      <c r="O64" s="24" t="str">
        <f>IF(OR(Youts[[#This Row],[Status]]="Em Linha",Youts[[#This Row],[Status]]="Componente",Youts[[#This Row],[Status]]="Materia Prima"),Youts[[#This Row],[Proj. de V. No prox. mes]]*10,"-")</f>
        <v>-</v>
      </c>
      <c r="P6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4" s="75">
        <f>VLOOKUP(Youts[[#This Row],[Código]],Projeção[#All],15,FALSE)</f>
        <v>0</v>
      </c>
      <c r="R64" s="39">
        <f>VLOOKUP(Youts[[#This Row],[Código]],Projeção[#All],14,FALSE)</f>
        <v>0</v>
      </c>
      <c r="S64" s="39">
        <f>IFERROR(VLOOKUP(Youts[[#This Row],[Código]],Venda_mes[],2,FALSE),0)</f>
        <v>0</v>
      </c>
      <c r="T64" s="44" t="str">
        <f>IFERROR(Youts[[#This Row],[V. No mes]]/Youts[[#This Row],[Proj. de V. No mes]],"")</f>
        <v/>
      </c>
      <c r="U64" s="43">
        <f>VLOOKUP(Youts[[#This Row],[Código]],Projeção[#All],14,FALSE)+VLOOKUP(Youts[[#This Row],[Código]],Projeção[#All],13,FALSE)+VLOOKUP(Youts[[#This Row],[Código]],Projeção[#All],12,FALSE)</f>
        <v>0</v>
      </c>
      <c r="V64" s="39">
        <f>IFERROR(VLOOKUP(Youts[[#This Row],[Código]],Venda_3meses[],2,FALSE),0)</f>
        <v>0</v>
      </c>
      <c r="W64" s="44" t="str">
        <f>IFERROR(Youts[[#This Row],[V. 3 meses]]/Youts[[#This Row],[Proj. de V. 3 meses]],"")</f>
        <v/>
      </c>
      <c r="X6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0.96666666666666667</v>
      </c>
      <c r="Y64" s="39">
        <f>IFERROR(VLOOKUP(Youts[[#This Row],[Código]],Venda_12meses[],2,FALSE),0)</f>
        <v>0</v>
      </c>
      <c r="Z64" s="44">
        <f>IFERROR(Youts[[#This Row],[V. 12 meses]]/Youts[[#This Row],[Proj. de V. 12 meses]],"")</f>
        <v>0</v>
      </c>
      <c r="AA64" s="22" t="s">
        <v>1723</v>
      </c>
    </row>
    <row r="65" spans="1:27" x14ac:dyDescent="0.25">
      <c r="A65" s="22" t="str">
        <f>VLOOKUP(Youts[[#This Row],[Código]],BD_Produto[#All],7,FALSE)</f>
        <v>Fora de linha</v>
      </c>
      <c r="B6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5" s="23">
        <v>33105063102</v>
      </c>
      <c r="D65" s="22" t="s">
        <v>826</v>
      </c>
      <c r="E65" s="22" t="str">
        <f>VLOOKUP(Youts[[#This Row],[Código]],BD_Produto[],3,FALSE)</f>
        <v>Mobile</v>
      </c>
      <c r="F65" s="22" t="str">
        <f>VLOOKUP(Youts[[#This Row],[Código]],BD_Produto[],4,FALSE)</f>
        <v>iPhone 3/3S</v>
      </c>
      <c r="G65" s="24"/>
      <c r="H65" s="25"/>
      <c r="I65" s="22"/>
      <c r="J65" s="24"/>
      <c r="K65" s="24" t="str">
        <f>IFERROR(VLOOKUP(Youts[[#This Row],[Código]],Importação!P:R,3,FALSE),"")</f>
        <v/>
      </c>
      <c r="L65" s="24">
        <f>IFERROR(VLOOKUP(Youts[[#This Row],[Código]],Saldo[],3,FALSE),0)</f>
        <v>0</v>
      </c>
      <c r="M65" s="24">
        <f>SUM(Youts[[#This Row],[Produção]:[Estoque]])</f>
        <v>0</v>
      </c>
      <c r="N65" s="24" t="str">
        <f>IFERROR(Youts[[#This Row],[Estoque+Importação]]/Youts[[#This Row],[Proj. de V. No prox. mes]],"Sem Projeção")</f>
        <v>Sem Projeção</v>
      </c>
      <c r="O65" s="24" t="str">
        <f>IF(OR(Youts[[#This Row],[Status]]="Em Linha",Youts[[#This Row],[Status]]="Componente",Youts[[#This Row],[Status]]="Materia Prima"),Youts[[#This Row],[Proj. de V. No prox. mes]]*10,"-")</f>
        <v>-</v>
      </c>
      <c r="P6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5" s="75">
        <f>VLOOKUP(Youts[[#This Row],[Código]],Projeção[#All],15,FALSE)</f>
        <v>0</v>
      </c>
      <c r="R65" s="39">
        <f>VLOOKUP(Youts[[#This Row],[Código]],Projeção[#All],14,FALSE)</f>
        <v>0</v>
      </c>
      <c r="S65" s="39">
        <f>IFERROR(VLOOKUP(Youts[[#This Row],[Código]],Venda_mes[],2,FALSE),0)</f>
        <v>0</v>
      </c>
      <c r="T65" s="44" t="str">
        <f>IFERROR(Youts[[#This Row],[V. No mes]]/Youts[[#This Row],[Proj. de V. No mes]],"")</f>
        <v/>
      </c>
      <c r="U65" s="43">
        <f>VLOOKUP(Youts[[#This Row],[Código]],Projeção[#All],14,FALSE)+VLOOKUP(Youts[[#This Row],[Código]],Projeção[#All],13,FALSE)+VLOOKUP(Youts[[#This Row],[Código]],Projeção[#All],12,FALSE)</f>
        <v>0</v>
      </c>
      <c r="V65" s="39">
        <f>IFERROR(VLOOKUP(Youts[[#This Row],[Código]],Venda_3meses[],2,FALSE),0)</f>
        <v>0</v>
      </c>
      <c r="W65" s="44" t="str">
        <f>IFERROR(Youts[[#This Row],[V. 3 meses]]/Youts[[#This Row],[Proj. de V. 3 meses]],"")</f>
        <v/>
      </c>
      <c r="X6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0.43333333333333329</v>
      </c>
      <c r="Y65" s="39">
        <f>IFERROR(VLOOKUP(Youts[[#This Row],[Código]],Venda_12meses[],2,FALSE),0)</f>
        <v>0</v>
      </c>
      <c r="Z65" s="44">
        <f>IFERROR(Youts[[#This Row],[V. 12 meses]]/Youts[[#This Row],[Proj. de V. 12 meses]],"")</f>
        <v>0</v>
      </c>
      <c r="AA65" s="22" t="s">
        <v>1723</v>
      </c>
    </row>
    <row r="66" spans="1:27" x14ac:dyDescent="0.25">
      <c r="A66" s="22" t="str">
        <f>VLOOKUP(Youts[[#This Row],[Código]],BD_Produto[#All],7,FALSE)</f>
        <v>Fora de linha</v>
      </c>
      <c r="B6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6" s="23">
        <v>33105063948</v>
      </c>
      <c r="D66" s="22" t="s">
        <v>1062</v>
      </c>
      <c r="E66" s="22" t="str">
        <f>VLOOKUP(Youts[[#This Row],[Código]],BD_Produto[],3,FALSE)</f>
        <v>Mobile</v>
      </c>
      <c r="F66" s="22" t="str">
        <f>VLOOKUP(Youts[[#This Row],[Código]],BD_Produto[],4,FALSE)</f>
        <v>iPhone 4/4S</v>
      </c>
      <c r="G66" s="24"/>
      <c r="H66" s="25"/>
      <c r="I66" s="22"/>
      <c r="J66" s="24"/>
      <c r="K66" s="24" t="str">
        <f>IFERROR(VLOOKUP(Youts[[#This Row],[Código]],Importação!P:R,3,FALSE),"")</f>
        <v/>
      </c>
      <c r="L66" s="24">
        <f>IFERROR(VLOOKUP(Youts[[#This Row],[Código]],Saldo[],3,FALSE),0)</f>
        <v>0</v>
      </c>
      <c r="M66" s="24">
        <f>SUM(Youts[[#This Row],[Produção]:[Estoque]])</f>
        <v>0</v>
      </c>
      <c r="N66" s="24" t="str">
        <f>IFERROR(Youts[[#This Row],[Estoque+Importação]]/Youts[[#This Row],[Proj. de V. No prox. mes]],"Sem Projeção")</f>
        <v>Sem Projeção</v>
      </c>
      <c r="O66" s="24" t="str">
        <f>IF(OR(Youts[[#This Row],[Status]]="Em Linha",Youts[[#This Row],[Status]]="Componente",Youts[[#This Row],[Status]]="Materia Prima"),Youts[[#This Row],[Proj. de V. No prox. mes]]*10,"-")</f>
        <v>-</v>
      </c>
      <c r="P6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6" s="75">
        <f>VLOOKUP(Youts[[#This Row],[Código]],Projeção[#All],15,FALSE)</f>
        <v>0</v>
      </c>
      <c r="R66" s="39">
        <f>VLOOKUP(Youts[[#This Row],[Código]],Projeção[#All],14,FALSE)</f>
        <v>0</v>
      </c>
      <c r="S66" s="39">
        <f>IFERROR(VLOOKUP(Youts[[#This Row],[Código]],Venda_mes[],2,FALSE),0)</f>
        <v>0</v>
      </c>
      <c r="T66" s="44" t="str">
        <f>IFERROR(Youts[[#This Row],[V. No mes]]/Youts[[#This Row],[Proj. de V. No mes]],"")</f>
        <v/>
      </c>
      <c r="U66" s="43">
        <f>VLOOKUP(Youts[[#This Row],[Código]],Projeção[#All],14,FALSE)+VLOOKUP(Youts[[#This Row],[Código]],Projeção[#All],13,FALSE)+VLOOKUP(Youts[[#This Row],[Código]],Projeção[#All],12,FALSE)</f>
        <v>0</v>
      </c>
      <c r="V66" s="39">
        <f>IFERROR(VLOOKUP(Youts[[#This Row],[Código]],Venda_3meses[],2,FALSE),0)</f>
        <v>0</v>
      </c>
      <c r="W66" s="44" t="str">
        <f>IFERROR(Youts[[#This Row],[V. 3 meses]]/Youts[[#This Row],[Proj. de V. 3 meses]],"")</f>
        <v/>
      </c>
      <c r="X6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0.2</v>
      </c>
      <c r="Y66" s="39">
        <f>IFERROR(VLOOKUP(Youts[[#This Row],[Código]],Venda_12meses[],2,FALSE),0)</f>
        <v>0</v>
      </c>
      <c r="Z66" s="44">
        <f>IFERROR(Youts[[#This Row],[V. 12 meses]]/Youts[[#This Row],[Proj. de V. 12 meses]],"")</f>
        <v>0</v>
      </c>
      <c r="AA66" s="22"/>
    </row>
    <row r="67" spans="1:27" x14ac:dyDescent="0.25">
      <c r="A67" s="22" t="str">
        <f>VLOOKUP(Youts[[#This Row],[Código]],BD_Produto[#All],7,FALSE)</f>
        <v>Fora de linha</v>
      </c>
      <c r="B6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67" s="23">
        <v>33105063991</v>
      </c>
      <c r="D67" s="22" t="s">
        <v>1042</v>
      </c>
      <c r="E67" s="22" t="str">
        <f>VLOOKUP(Youts[[#This Row],[Código]],BD_Produto[],3,FALSE)</f>
        <v>Mobile</v>
      </c>
      <c r="F67" s="22" t="str">
        <f>VLOOKUP(Youts[[#This Row],[Código]],BD_Produto[],4,FALSE)</f>
        <v>Galaxy S4</v>
      </c>
      <c r="G67" s="24"/>
      <c r="H67" s="25"/>
      <c r="I67" s="22"/>
      <c r="J67" s="24"/>
      <c r="K67" s="24" t="str">
        <f>IFERROR(VLOOKUP(Youts[[#This Row],[Código]],Importação!P:R,3,FALSE),"")</f>
        <v/>
      </c>
      <c r="L67" s="24">
        <f>IFERROR(VLOOKUP(Youts[[#This Row],[Código]],Saldo[],3,FALSE),0)</f>
        <v>0</v>
      </c>
      <c r="M67" s="24">
        <f>SUM(Youts[[#This Row],[Produção]:[Estoque]])</f>
        <v>0</v>
      </c>
      <c r="N67" s="24" t="str">
        <f>IFERROR(Youts[[#This Row],[Estoque+Importação]]/Youts[[#This Row],[Proj. de V. No prox. mes]],"Sem Projeção")</f>
        <v>Sem Projeção</v>
      </c>
      <c r="O67" s="24" t="str">
        <f>IF(OR(Youts[[#This Row],[Status]]="Em Linha",Youts[[#This Row],[Status]]="Componente",Youts[[#This Row],[Status]]="Materia Prima"),Youts[[#This Row],[Proj. de V. No prox. mes]]*10,"-")</f>
        <v>-</v>
      </c>
      <c r="P6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7" s="75">
        <f>VLOOKUP(Youts[[#This Row],[Código]],Projeção[#All],15,FALSE)</f>
        <v>0</v>
      </c>
      <c r="R67" s="39">
        <f>VLOOKUP(Youts[[#This Row],[Código]],Projeção[#All],14,FALSE)</f>
        <v>0</v>
      </c>
      <c r="S67" s="39">
        <f>IFERROR(VLOOKUP(Youts[[#This Row],[Código]],Venda_mes[],2,FALSE),0)</f>
        <v>0</v>
      </c>
      <c r="T67" s="44" t="str">
        <f>IFERROR(Youts[[#This Row],[V. No mes]]/Youts[[#This Row],[Proj. de V. No mes]],"")</f>
        <v/>
      </c>
      <c r="U67" s="43">
        <f>VLOOKUP(Youts[[#This Row],[Código]],Projeção[#All],14,FALSE)+VLOOKUP(Youts[[#This Row],[Código]],Projeção[#All],13,FALSE)+VLOOKUP(Youts[[#This Row],[Código]],Projeção[#All],12,FALSE)</f>
        <v>0</v>
      </c>
      <c r="V67" s="39">
        <f>IFERROR(VLOOKUP(Youts[[#This Row],[Código]],Venda_3meses[],2,FALSE),0)</f>
        <v>0</v>
      </c>
      <c r="W67" s="44" t="str">
        <f>IFERROR(Youts[[#This Row],[V. 3 meses]]/Youts[[#This Row],[Proj. de V. 3 meses]],"")</f>
        <v/>
      </c>
      <c r="X6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</v>
      </c>
      <c r="Y67" s="39">
        <f>IFERROR(VLOOKUP(Youts[[#This Row],[Código]],Venda_12meses[],2,FALSE),0)</f>
        <v>0</v>
      </c>
      <c r="Z67" s="44">
        <f>IFERROR(Youts[[#This Row],[V. 12 meses]]/Youts[[#This Row],[Proj. de V. 12 meses]],"")</f>
        <v>0</v>
      </c>
      <c r="AA67" s="22"/>
    </row>
    <row r="68" spans="1:27" x14ac:dyDescent="0.25">
      <c r="A68" s="22" t="str">
        <f>VLOOKUP(Youts[[#This Row],[Código]],BD_Produto[#All],7,FALSE)</f>
        <v>Fora de linha</v>
      </c>
      <c r="B68" s="22" t="str">
        <f>IF(OR(Youts[[#This Row],[Status]]="Em linha",Youts[[#This Row],[Status]]="Materia Prima",Youts[[#This Row],[Status]]="Componente"),"ok",IF(Youts[[#This Row],[Estoque+Importação]]&lt;1,"Tirar","ok"))</f>
        <v>ok</v>
      </c>
      <c r="C68" s="23">
        <v>32105064139</v>
      </c>
      <c r="D68" s="22" t="s">
        <v>969</v>
      </c>
      <c r="E68" s="22" t="str">
        <f>VLOOKUP(Youts[[#This Row],[Código]],BD_Produto[],3,FALSE)</f>
        <v>Mobile</v>
      </c>
      <c r="F68" s="22" t="str">
        <f>VLOOKUP(Youts[[#This Row],[Código]],BD_Produto[],4,FALSE)</f>
        <v>iPhone 5/5S</v>
      </c>
      <c r="G68" s="24"/>
      <c r="H68" s="25"/>
      <c r="I68" s="22"/>
      <c r="J68" s="24"/>
      <c r="K68" s="24" t="str">
        <f>IFERROR(VLOOKUP(Youts[[#This Row],[Código]],Importação!P:R,3,FALSE),"")</f>
        <v/>
      </c>
      <c r="L68" s="24">
        <f>IFERROR(VLOOKUP(Youts[[#This Row],[Código]],Saldo[],3,FALSE),0)</f>
        <v>106</v>
      </c>
      <c r="M68" s="24">
        <f>SUM(Youts[[#This Row],[Produção]:[Estoque]])</f>
        <v>106</v>
      </c>
      <c r="N68" s="24" t="str">
        <f>IFERROR(Youts[[#This Row],[Estoque+Importação]]/Youts[[#This Row],[Proj. de V. No prox. mes]],"Sem Projeção")</f>
        <v>Sem Projeção</v>
      </c>
      <c r="O68" s="24" t="str">
        <f>IF(OR(Youts[[#This Row],[Status]]="Em Linha",Youts[[#This Row],[Status]]="Componente",Youts[[#This Row],[Status]]="Materia Prima"),Youts[[#This Row],[Proj. de V. No prox. mes]]*10,"-")</f>
        <v>-</v>
      </c>
      <c r="P6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8" s="75">
        <f>VLOOKUP(Youts[[#This Row],[Código]],Projeção[#All],15,FALSE)</f>
        <v>0</v>
      </c>
      <c r="R68" s="39">
        <f>VLOOKUP(Youts[[#This Row],[Código]],Projeção[#All],14,FALSE)</f>
        <v>0</v>
      </c>
      <c r="S68" s="39">
        <f>IFERROR(VLOOKUP(Youts[[#This Row],[Código]],Venda_mes[],2,FALSE),0)</f>
        <v>0</v>
      </c>
      <c r="T68" s="44" t="str">
        <f>IFERROR(Youts[[#This Row],[V. No mes]]/Youts[[#This Row],[Proj. de V. No mes]],"")</f>
        <v/>
      </c>
      <c r="U68" s="43">
        <f>VLOOKUP(Youts[[#This Row],[Código]],Projeção[#All],14,FALSE)+VLOOKUP(Youts[[#This Row],[Código]],Projeção[#All],13,FALSE)+VLOOKUP(Youts[[#This Row],[Código]],Projeção[#All],12,FALSE)</f>
        <v>0</v>
      </c>
      <c r="V68" s="39">
        <f>IFERROR(VLOOKUP(Youts[[#This Row],[Código]],Venda_3meses[],2,FALSE),0)</f>
        <v>0</v>
      </c>
      <c r="W68" s="44" t="str">
        <f>IFERROR(Youts[[#This Row],[V. 3 meses]]/Youts[[#This Row],[Proj. de V. 3 meses]],"")</f>
        <v/>
      </c>
      <c r="X6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</v>
      </c>
      <c r="Y68" s="39">
        <f>IFERROR(VLOOKUP(Youts[[#This Row],[Código]],Venda_12meses[],2,FALSE),0)</f>
        <v>0</v>
      </c>
      <c r="Z68" s="44">
        <f>IFERROR(Youts[[#This Row],[V. 12 meses]]/Youts[[#This Row],[Proj. de V. 12 meses]],"")</f>
        <v>0</v>
      </c>
      <c r="AA68" s="22"/>
    </row>
    <row r="69" spans="1:27" x14ac:dyDescent="0.25">
      <c r="A69" s="22" t="str">
        <f>VLOOKUP(Youts[[#This Row],[Código]],BD_Produto[#All],7,FALSE)</f>
        <v>Fora de linha</v>
      </c>
      <c r="B69" s="22" t="str">
        <f>IF(OR(Youts[[#This Row],[Status]]="Em linha",Youts[[#This Row],[Status]]="Materia Prima",Youts[[#This Row],[Status]]="Componente"),"ok",IF(Youts[[#This Row],[Estoque+Importação]]&lt;1,"Tirar","ok"))</f>
        <v>ok</v>
      </c>
      <c r="C69" s="23">
        <v>32105064171</v>
      </c>
      <c r="D69" s="22" t="s">
        <v>127</v>
      </c>
      <c r="E69" s="22" t="str">
        <f>VLOOKUP(Youts[[#This Row],[Código]],BD_Produto[],3,FALSE)</f>
        <v>Mobile</v>
      </c>
      <c r="F69" s="22" t="str">
        <f>VLOOKUP(Youts[[#This Row],[Código]],BD_Produto[],4,FALSE)</f>
        <v>iPhone 5/5S</v>
      </c>
      <c r="G69" s="24"/>
      <c r="H69" s="25"/>
      <c r="I69" s="22"/>
      <c r="J69" s="24"/>
      <c r="K69" s="24" t="str">
        <f>IFERROR(VLOOKUP(Youts[[#This Row],[Código]],Importação!P:R,3,FALSE),"")</f>
        <v/>
      </c>
      <c r="L69" s="24">
        <f>IFERROR(VLOOKUP(Youts[[#This Row],[Código]],Saldo[],3,FALSE),0)</f>
        <v>107</v>
      </c>
      <c r="M69" s="24">
        <f>SUM(Youts[[#This Row],[Produção]:[Estoque]])</f>
        <v>107</v>
      </c>
      <c r="N69" s="24" t="str">
        <f>IFERROR(Youts[[#This Row],[Estoque+Importação]]/Youts[[#This Row],[Proj. de V. No prox. mes]],"Sem Projeção")</f>
        <v>Sem Projeção</v>
      </c>
      <c r="O69" s="24" t="str">
        <f>IF(OR(Youts[[#This Row],[Status]]="Em Linha",Youts[[#This Row],[Status]]="Componente",Youts[[#This Row],[Status]]="Materia Prima"),Youts[[#This Row],[Proj. de V. No prox. mes]]*10,"-")</f>
        <v>-</v>
      </c>
      <c r="P6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69" s="83">
        <f>VLOOKUP(Youts[[#This Row],[Código]],Projeção[#All],15,FALSE)</f>
        <v>0</v>
      </c>
      <c r="R69" s="43">
        <f>VLOOKUP(Youts[[#This Row],[Código]],Projeção[#All],14,FALSE)</f>
        <v>0</v>
      </c>
      <c r="S69" s="39">
        <f>IFERROR(VLOOKUP(Youts[[#This Row],[Código]],Venda_mes[],2,FALSE),0)</f>
        <v>0</v>
      </c>
      <c r="T69" s="44" t="str">
        <f>IFERROR(Youts[[#This Row],[V. No mes]]/Youts[[#This Row],[Proj. de V. No mes]],"")</f>
        <v/>
      </c>
      <c r="U69" s="43">
        <f>VLOOKUP(Youts[[#This Row],[Código]],Projeção[#All],14,FALSE)+VLOOKUP(Youts[[#This Row],[Código]],Projeção[#All],13,FALSE)+VLOOKUP(Youts[[#This Row],[Código]],Projeção[#All],12,FALSE)</f>
        <v>0</v>
      </c>
      <c r="V69" s="39">
        <f>IFERROR(VLOOKUP(Youts[[#This Row],[Código]],Venda_3meses[],2,FALSE),0)</f>
        <v>0</v>
      </c>
      <c r="W69" s="44" t="str">
        <f>IFERROR(Youts[[#This Row],[V. 3 meses]]/Youts[[#This Row],[Proj. de V. 3 meses]],"")</f>
        <v/>
      </c>
      <c r="X6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69" s="39">
        <f>IFERROR(VLOOKUP(Youts[[#This Row],[Código]],Venda_12meses[],2,FALSE),0)</f>
        <v>0</v>
      </c>
      <c r="Z69" s="44" t="str">
        <f>IFERROR(Youts[[#This Row],[V. 12 meses]]/Youts[[#This Row],[Proj. de V. 12 meses]],"")</f>
        <v/>
      </c>
      <c r="AA69" s="22"/>
    </row>
    <row r="70" spans="1:27" x14ac:dyDescent="0.25">
      <c r="A70" s="22" t="str">
        <f>VLOOKUP(Youts[[#This Row],[Código]],BD_Produto[#All],7,FALSE)</f>
        <v>Fora de linha</v>
      </c>
      <c r="B70" s="22" t="str">
        <f>IF(OR(Youts[[#This Row],[Status]]="Em linha",Youts[[#This Row],[Status]]="Materia Prima",Youts[[#This Row],[Status]]="Componente"),"ok",IF(Youts[[#This Row],[Estoque+Importação]]&lt;1,"Tirar","ok"))</f>
        <v>ok</v>
      </c>
      <c r="C70" s="23">
        <v>32105064138</v>
      </c>
      <c r="D70" s="22" t="s">
        <v>118</v>
      </c>
      <c r="E70" s="22" t="str">
        <f>VLOOKUP(Youts[[#This Row],[Código]],BD_Produto[],3,FALSE)</f>
        <v>Mobile</v>
      </c>
      <c r="F70" s="22" t="str">
        <f>VLOOKUP(Youts[[#This Row],[Código]],BD_Produto[],4,FALSE)</f>
        <v>iPhone 5/5S</v>
      </c>
      <c r="G70" s="24"/>
      <c r="H70" s="25"/>
      <c r="I70" s="22"/>
      <c r="J70" s="24"/>
      <c r="K70" s="24" t="str">
        <f>IFERROR(VLOOKUP(Youts[[#This Row],[Código]],Importação!P:R,3,FALSE),"")</f>
        <v/>
      </c>
      <c r="L70" s="24">
        <f>IFERROR(VLOOKUP(Youts[[#This Row],[Código]],Saldo[],3,FALSE),0)</f>
        <v>82</v>
      </c>
      <c r="M70" s="24">
        <f>SUM(Youts[[#This Row],[Produção]:[Estoque]])</f>
        <v>82</v>
      </c>
      <c r="N70" s="24" t="str">
        <f>IFERROR(Youts[[#This Row],[Estoque+Importação]]/Youts[[#This Row],[Proj. de V. No prox. mes]],"Sem Projeção")</f>
        <v>Sem Projeção</v>
      </c>
      <c r="O70" s="24" t="str">
        <f>IF(OR(Youts[[#This Row],[Status]]="Em Linha",Youts[[#This Row],[Status]]="Componente",Youts[[#This Row],[Status]]="Materia Prima"),Youts[[#This Row],[Proj. de V. No prox. mes]]*10,"-")</f>
        <v>-</v>
      </c>
      <c r="P7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0" s="83">
        <f>VLOOKUP(Youts[[#This Row],[Código]],Projeção[#All],15,FALSE)</f>
        <v>0</v>
      </c>
      <c r="R70" s="43">
        <f>VLOOKUP(Youts[[#This Row],[Código]],Projeção[#All],14,FALSE)</f>
        <v>0</v>
      </c>
      <c r="S70" s="39">
        <f>IFERROR(VLOOKUP(Youts[[#This Row],[Código]],Venda_mes[],2,FALSE),0)</f>
        <v>0</v>
      </c>
      <c r="T70" s="44" t="str">
        <f>IFERROR(Youts[[#This Row],[V. No mes]]/Youts[[#This Row],[Proj. de V. No mes]],"")</f>
        <v/>
      </c>
      <c r="U70" s="43">
        <f>VLOOKUP(Youts[[#This Row],[Código]],Projeção[#All],14,FALSE)+VLOOKUP(Youts[[#This Row],[Código]],Projeção[#All],13,FALSE)+VLOOKUP(Youts[[#This Row],[Código]],Projeção[#All],12,FALSE)</f>
        <v>0</v>
      </c>
      <c r="V70" s="39">
        <f>IFERROR(VLOOKUP(Youts[[#This Row],[Código]],Venda_3meses[],2,FALSE),0)</f>
        <v>0</v>
      </c>
      <c r="W70" s="44" t="str">
        <f>IFERROR(Youts[[#This Row],[V. 3 meses]]/Youts[[#This Row],[Proj. de V. 3 meses]],"")</f>
        <v/>
      </c>
      <c r="X7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0.23333333333333334</v>
      </c>
      <c r="Y70" s="39">
        <f>IFERROR(VLOOKUP(Youts[[#This Row],[Código]],Venda_12meses[],2,FALSE),0)</f>
        <v>0</v>
      </c>
      <c r="Z70" s="44">
        <f>IFERROR(Youts[[#This Row],[V. 12 meses]]/Youts[[#This Row],[Proj. de V. 12 meses]],"")</f>
        <v>0</v>
      </c>
      <c r="AA70" s="22"/>
    </row>
    <row r="71" spans="1:27" x14ac:dyDescent="0.25">
      <c r="A71" s="22" t="str">
        <f>VLOOKUP(Youts[[#This Row],[Código]],BD_Produto[#All],7,FALSE)</f>
        <v>Fora de linha</v>
      </c>
      <c r="B71" s="22" t="str">
        <f>IF(OR(Youts[[#This Row],[Status]]="Em linha",Youts[[#This Row],[Status]]="Materia Prima",Youts[[#This Row],[Status]]="Componente"),"ok",IF(Youts[[#This Row],[Estoque+Importação]]&lt;1,"Tirar","ok"))</f>
        <v>ok</v>
      </c>
      <c r="C71" s="23">
        <v>32105064143</v>
      </c>
      <c r="D71" s="22" t="s">
        <v>121</v>
      </c>
      <c r="E71" s="22" t="str">
        <f>VLOOKUP(Youts[[#This Row],[Código]],BD_Produto[],3,FALSE)</f>
        <v>Mobile</v>
      </c>
      <c r="F71" s="22" t="str">
        <f>VLOOKUP(Youts[[#This Row],[Código]],BD_Produto[],4,FALSE)</f>
        <v>iPhone 5/5S</v>
      </c>
      <c r="G71" s="24"/>
      <c r="H71" s="25"/>
      <c r="I71" s="22"/>
      <c r="J71" s="24"/>
      <c r="K71" s="24" t="str">
        <f>IFERROR(VLOOKUP(Youts[[#This Row],[Código]],Importação!P:R,3,FALSE),"")</f>
        <v/>
      </c>
      <c r="L71" s="24">
        <f>IFERROR(VLOOKUP(Youts[[#This Row],[Código]],Saldo[],3,FALSE),0)</f>
        <v>107</v>
      </c>
      <c r="M71" s="24">
        <f>SUM(Youts[[#This Row],[Produção]:[Estoque]])</f>
        <v>107</v>
      </c>
      <c r="N71" s="24" t="str">
        <f>IFERROR(Youts[[#This Row],[Estoque+Importação]]/Youts[[#This Row],[Proj. de V. No prox. mes]],"Sem Projeção")</f>
        <v>Sem Projeção</v>
      </c>
      <c r="O71" s="24" t="str">
        <f>IF(OR(Youts[[#This Row],[Status]]="Em Linha",Youts[[#This Row],[Status]]="Componente",Youts[[#This Row],[Status]]="Materia Prima"),Youts[[#This Row],[Proj. de V. No prox. mes]]*10,"-")</f>
        <v>-</v>
      </c>
      <c r="P7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1" s="83">
        <f>VLOOKUP(Youts[[#This Row],[Código]],Projeção[#All],15,FALSE)</f>
        <v>0</v>
      </c>
      <c r="R71" s="43">
        <f>VLOOKUP(Youts[[#This Row],[Código]],Projeção[#All],14,FALSE)</f>
        <v>0</v>
      </c>
      <c r="S71" s="39">
        <f>IFERROR(VLOOKUP(Youts[[#This Row],[Código]],Venda_mes[],2,FALSE),0)</f>
        <v>0</v>
      </c>
      <c r="T71" s="44" t="str">
        <f>IFERROR(Youts[[#This Row],[V. No mes]]/Youts[[#This Row],[Proj. de V. No mes]],"")</f>
        <v/>
      </c>
      <c r="U71" s="43">
        <f>VLOOKUP(Youts[[#This Row],[Código]],Projeção[#All],14,FALSE)+VLOOKUP(Youts[[#This Row],[Código]],Projeção[#All],13,FALSE)+VLOOKUP(Youts[[#This Row],[Código]],Projeção[#All],12,FALSE)</f>
        <v>0</v>
      </c>
      <c r="V71" s="39">
        <f>IFERROR(VLOOKUP(Youts[[#This Row],[Código]],Venda_3meses[],2,FALSE),0)</f>
        <v>0</v>
      </c>
      <c r="W71" s="44" t="str">
        <f>IFERROR(Youts[[#This Row],[V. 3 meses]]/Youts[[#This Row],[Proj. de V. 3 meses]],"")</f>
        <v/>
      </c>
      <c r="X7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6.6666666666666666E-2</v>
      </c>
      <c r="Y71" s="39">
        <f>IFERROR(VLOOKUP(Youts[[#This Row],[Código]],Venda_12meses[],2,FALSE),0)</f>
        <v>0</v>
      </c>
      <c r="Z71" s="44">
        <f>IFERROR(Youts[[#This Row],[V. 12 meses]]/Youts[[#This Row],[Proj. de V. 12 meses]],"")</f>
        <v>0</v>
      </c>
      <c r="AA71" s="22"/>
    </row>
    <row r="72" spans="1:27" x14ac:dyDescent="0.25">
      <c r="A72" s="22" t="str">
        <f>VLOOKUP(Youts[[#This Row],[Código]],BD_Produto[#All],7,FALSE)</f>
        <v>Fora de linha</v>
      </c>
      <c r="B72" s="22" t="str">
        <f>IF(OR(Youts[[#This Row],[Status]]="Em linha",Youts[[#This Row],[Status]]="Materia Prima",Youts[[#This Row],[Status]]="Componente"),"ok",IF(Youts[[#This Row],[Estoque+Importação]]&lt;1,"Tirar","ok"))</f>
        <v>ok</v>
      </c>
      <c r="C72" s="23">
        <v>32105064140</v>
      </c>
      <c r="D72" s="22" t="s">
        <v>968</v>
      </c>
      <c r="E72" s="22" t="str">
        <f>VLOOKUP(Youts[[#This Row],[Código]],BD_Produto[],3,FALSE)</f>
        <v>Mobile</v>
      </c>
      <c r="F72" s="22" t="str">
        <f>VLOOKUP(Youts[[#This Row],[Código]],BD_Produto[],4,FALSE)</f>
        <v>iPhone 5/5S</v>
      </c>
      <c r="G72" s="24"/>
      <c r="H72" s="25"/>
      <c r="I72" s="22"/>
      <c r="J72" s="24"/>
      <c r="K72" s="24" t="str">
        <f>IFERROR(VLOOKUP(Youts[[#This Row],[Código]],Importação!P:R,3,FALSE),"")</f>
        <v/>
      </c>
      <c r="L72" s="24">
        <f>IFERROR(VLOOKUP(Youts[[#This Row],[Código]],Saldo[],3,FALSE),0)</f>
        <v>104</v>
      </c>
      <c r="M72" s="24">
        <f>SUM(Youts[[#This Row],[Produção]:[Estoque]])</f>
        <v>104</v>
      </c>
      <c r="N72" s="24" t="str">
        <f>IFERROR(Youts[[#This Row],[Estoque+Importação]]/Youts[[#This Row],[Proj. de V. No prox. mes]],"Sem Projeção")</f>
        <v>Sem Projeção</v>
      </c>
      <c r="O72" s="24" t="str">
        <f>IF(OR(Youts[[#This Row],[Status]]="Em Linha",Youts[[#This Row],[Status]]="Componente",Youts[[#This Row],[Status]]="Materia Prima"),Youts[[#This Row],[Proj. de V. No prox. mes]]*10,"-")</f>
        <v>-</v>
      </c>
      <c r="P7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2" s="83">
        <f>VLOOKUP(Youts[[#This Row],[Código]],Projeção[#All],15,FALSE)</f>
        <v>0</v>
      </c>
      <c r="R72" s="43">
        <f>VLOOKUP(Youts[[#This Row],[Código]],Projeção[#All],14,FALSE)</f>
        <v>0</v>
      </c>
      <c r="S72" s="39">
        <f>IFERROR(VLOOKUP(Youts[[#This Row],[Código]],Venda_mes[],2,FALSE),0)</f>
        <v>0</v>
      </c>
      <c r="T72" s="44" t="str">
        <f>IFERROR(Youts[[#This Row],[V. No mes]]/Youts[[#This Row],[Proj. de V. No mes]],"")</f>
        <v/>
      </c>
      <c r="U72" s="43">
        <f>VLOOKUP(Youts[[#This Row],[Código]],Projeção[#All],14,FALSE)+VLOOKUP(Youts[[#This Row],[Código]],Projeção[#All],13,FALSE)+VLOOKUP(Youts[[#This Row],[Código]],Projeção[#All],12,FALSE)</f>
        <v>0</v>
      </c>
      <c r="V72" s="39">
        <f>IFERROR(VLOOKUP(Youts[[#This Row],[Código]],Venda_3meses[],2,FALSE),0)</f>
        <v>0</v>
      </c>
      <c r="W72" s="44" t="str">
        <f>IFERROR(Youts[[#This Row],[V. 3 meses]]/Youts[[#This Row],[Proj. de V. 3 meses]],"")</f>
        <v/>
      </c>
      <c r="X7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0.13333333333333333</v>
      </c>
      <c r="Y72" s="39">
        <f>IFERROR(VLOOKUP(Youts[[#This Row],[Código]],Venda_12meses[],2,FALSE),0)</f>
        <v>0</v>
      </c>
      <c r="Z72" s="44">
        <f>IFERROR(Youts[[#This Row],[V. 12 meses]]/Youts[[#This Row],[Proj. de V. 12 meses]],"")</f>
        <v>0</v>
      </c>
      <c r="AA72" s="22"/>
    </row>
    <row r="73" spans="1:27" x14ac:dyDescent="0.25">
      <c r="A73" s="22" t="str">
        <f>VLOOKUP(Youts[[#This Row],[Código]],BD_Produto[#All],7,FALSE)</f>
        <v>Fora de linha</v>
      </c>
      <c r="B73" s="22" t="str">
        <f>IF(OR(Youts[[#This Row],[Status]]="Em linha",Youts[[#This Row],[Status]]="Materia Prima",Youts[[#This Row],[Status]]="Componente"),"ok",IF(Youts[[#This Row],[Estoque+Importação]]&lt;1,"Tirar","ok"))</f>
        <v>ok</v>
      </c>
      <c r="C73" s="23">
        <v>32105064169</v>
      </c>
      <c r="D73" s="22" t="s">
        <v>125</v>
      </c>
      <c r="E73" s="22" t="str">
        <f>VLOOKUP(Youts[[#This Row],[Código]],BD_Produto[],3,FALSE)</f>
        <v>Mobile</v>
      </c>
      <c r="F73" s="22" t="str">
        <f>VLOOKUP(Youts[[#This Row],[Código]],BD_Produto[],4,FALSE)</f>
        <v>iPhone 5/5S</v>
      </c>
      <c r="G73" s="24"/>
      <c r="H73" s="25"/>
      <c r="I73" s="22"/>
      <c r="J73" s="24"/>
      <c r="K73" s="24" t="str">
        <f>IFERROR(VLOOKUP(Youts[[#This Row],[Código]],Importação!P:R,3,FALSE),"")</f>
        <v/>
      </c>
      <c r="L73" s="24">
        <f>IFERROR(VLOOKUP(Youts[[#This Row],[Código]],Saldo[],3,FALSE),0)</f>
        <v>98</v>
      </c>
      <c r="M73" s="24">
        <f>SUM(Youts[[#This Row],[Produção]:[Estoque]])</f>
        <v>98</v>
      </c>
      <c r="N73" s="24" t="str">
        <f>IFERROR(Youts[[#This Row],[Estoque+Importação]]/Youts[[#This Row],[Proj. de V. No prox. mes]],"Sem Projeção")</f>
        <v>Sem Projeção</v>
      </c>
      <c r="O73" s="24" t="str">
        <f>IF(OR(Youts[[#This Row],[Status]]="Em Linha",Youts[[#This Row],[Status]]="Componente",Youts[[#This Row],[Status]]="Materia Prima"),Youts[[#This Row],[Proj. de V. No prox. mes]]*10,"-")</f>
        <v>-</v>
      </c>
      <c r="P7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3" s="83">
        <f>VLOOKUP(Youts[[#This Row],[Código]],Projeção[#All],15,FALSE)</f>
        <v>0</v>
      </c>
      <c r="R73" s="43">
        <f>VLOOKUP(Youts[[#This Row],[Código]],Projeção[#All],14,FALSE)</f>
        <v>0</v>
      </c>
      <c r="S73" s="39">
        <f>IFERROR(VLOOKUP(Youts[[#This Row],[Código]],Venda_mes[],2,FALSE),0)</f>
        <v>0</v>
      </c>
      <c r="T73" s="44" t="str">
        <f>IFERROR(Youts[[#This Row],[V. No mes]]/Youts[[#This Row],[Proj. de V. No mes]],"")</f>
        <v/>
      </c>
      <c r="U73" s="43">
        <f>VLOOKUP(Youts[[#This Row],[Código]],Projeção[#All],14,FALSE)+VLOOKUP(Youts[[#This Row],[Código]],Projeção[#All],13,FALSE)+VLOOKUP(Youts[[#This Row],[Código]],Projeção[#All],12,FALSE)</f>
        <v>0</v>
      </c>
      <c r="V73" s="39">
        <f>IFERROR(VLOOKUP(Youts[[#This Row],[Código]],Venda_3meses[],2,FALSE),0)</f>
        <v>0</v>
      </c>
      <c r="W73" s="44" t="str">
        <f>IFERROR(Youts[[#This Row],[V. 3 meses]]/Youts[[#This Row],[Proj. de V. 3 meses]],"")</f>
        <v/>
      </c>
      <c r="X7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73" s="39">
        <f>IFERROR(VLOOKUP(Youts[[#This Row],[Código]],Venda_12meses[],2,FALSE),0)</f>
        <v>0</v>
      </c>
      <c r="Z73" s="44" t="str">
        <f>IFERROR(Youts[[#This Row],[V. 12 meses]]/Youts[[#This Row],[Proj. de V. 12 meses]],"")</f>
        <v/>
      </c>
      <c r="AA73" s="22"/>
    </row>
    <row r="74" spans="1:27" x14ac:dyDescent="0.25">
      <c r="A74" s="22" t="str">
        <f>VLOOKUP(Youts[[#This Row],[Código]],BD_Produto[#All],7,FALSE)</f>
        <v>Fora de linha</v>
      </c>
      <c r="B74" s="22" t="str">
        <f>IF(OR(Youts[[#This Row],[Status]]="Em linha",Youts[[#This Row],[Status]]="Materia Prima",Youts[[#This Row],[Status]]="Componente"),"ok",IF(Youts[[#This Row],[Estoque+Importação]]&lt;1,"Tirar","ok"))</f>
        <v>ok</v>
      </c>
      <c r="C74" s="23">
        <v>32105064298</v>
      </c>
      <c r="D74" s="22" t="s">
        <v>1003</v>
      </c>
      <c r="E74" s="22" t="str">
        <f>VLOOKUP(Youts[[#This Row],[Código]],BD_Produto[],3,FALSE)</f>
        <v>Mobile</v>
      </c>
      <c r="F74" s="22" t="str">
        <f>VLOOKUP(Youts[[#This Row],[Código]],BD_Produto[],4,FALSE)</f>
        <v>iPhone 5/5S</v>
      </c>
      <c r="G74" s="24"/>
      <c r="H74" s="25"/>
      <c r="I74" s="22"/>
      <c r="J74" s="24"/>
      <c r="K74" s="24" t="str">
        <f>IFERROR(VLOOKUP(Youts[[#This Row],[Código]],Importação!P:R,3,FALSE),"")</f>
        <v/>
      </c>
      <c r="L74" s="24">
        <f>IFERROR(VLOOKUP(Youts[[#This Row],[Código]],Saldo[],3,FALSE),0)</f>
        <v>92</v>
      </c>
      <c r="M74" s="24">
        <f>SUM(Youts[[#This Row],[Produção]:[Estoque]])</f>
        <v>92</v>
      </c>
      <c r="N74" s="24">
        <f>IFERROR(Youts[[#This Row],[Estoque+Importação]]/Youts[[#This Row],[Proj. de V. No prox. mes]],"Sem Projeção")</f>
        <v>197.14285714285714</v>
      </c>
      <c r="O74" s="24" t="str">
        <f>IF(OR(Youts[[#This Row],[Status]]="Em Linha",Youts[[#This Row],[Status]]="Componente",Youts[[#This Row],[Status]]="Materia Prima"),Youts[[#This Row],[Proj. de V. No prox. mes]]*10,"-")</f>
        <v>-</v>
      </c>
      <c r="P7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4" s="83">
        <f>VLOOKUP(Youts[[#This Row],[Código]],Projeção[#All],15,FALSE)</f>
        <v>0.46666666666666667</v>
      </c>
      <c r="R74" s="43">
        <f>VLOOKUP(Youts[[#This Row],[Código]],Projeção[#All],14,FALSE)</f>
        <v>0</v>
      </c>
      <c r="S74" s="39">
        <f>IFERROR(VLOOKUP(Youts[[#This Row],[Código]],Venda_mes[],2,FALSE),0)</f>
        <v>0</v>
      </c>
      <c r="T74" s="44" t="str">
        <f>IFERROR(Youts[[#This Row],[V. No mes]]/Youts[[#This Row],[Proj. de V. No mes]],"")</f>
        <v/>
      </c>
      <c r="U74" s="43">
        <f>VLOOKUP(Youts[[#This Row],[Código]],Projeção[#All],14,FALSE)+VLOOKUP(Youts[[#This Row],[Código]],Projeção[#All],13,FALSE)+VLOOKUP(Youts[[#This Row],[Código]],Projeção[#All],12,FALSE)</f>
        <v>0</v>
      </c>
      <c r="V74" s="39">
        <f>IFERROR(VLOOKUP(Youts[[#This Row],[Código]],Venda_3meses[],2,FALSE),0)</f>
        <v>2</v>
      </c>
      <c r="W74" s="44" t="str">
        <f>IFERROR(Youts[[#This Row],[V. 3 meses]]/Youts[[#This Row],[Proj. de V. 3 meses]],"")</f>
        <v/>
      </c>
      <c r="X7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3.3333333333333333E-2</v>
      </c>
      <c r="Y74" s="39">
        <f>IFERROR(VLOOKUP(Youts[[#This Row],[Código]],Venda_12meses[],2,FALSE),0)</f>
        <v>2</v>
      </c>
      <c r="Z74" s="44">
        <f>IFERROR(Youts[[#This Row],[V. 12 meses]]/Youts[[#This Row],[Proj. de V. 12 meses]],"")</f>
        <v>60</v>
      </c>
      <c r="AA74" s="22"/>
    </row>
    <row r="75" spans="1:27" x14ac:dyDescent="0.25">
      <c r="A75" s="22" t="str">
        <f>VLOOKUP(Youts[[#This Row],[Código]],BD_Produto[#All],7,FALSE)</f>
        <v>Fora de linha</v>
      </c>
      <c r="B75" s="22" t="str">
        <f>IF(OR(Youts[[#This Row],[Status]]="Em linha",Youts[[#This Row],[Status]]="Materia Prima",Youts[[#This Row],[Status]]="Componente"),"ok",IF(Youts[[#This Row],[Estoque+Importação]]&lt;1,"Tirar","ok"))</f>
        <v>ok</v>
      </c>
      <c r="C75" s="23">
        <v>32105064304</v>
      </c>
      <c r="D75" s="22" t="s">
        <v>1075</v>
      </c>
      <c r="E75" s="22" t="str">
        <f>VLOOKUP(Youts[[#This Row],[Código]],BD_Produto[],3,FALSE)</f>
        <v>Mobile</v>
      </c>
      <c r="F75" s="22" t="str">
        <f>VLOOKUP(Youts[[#This Row],[Código]],BD_Produto[],4,FALSE)</f>
        <v>iPhone 5/5S</v>
      </c>
      <c r="G75" s="24"/>
      <c r="H75" s="25"/>
      <c r="I75" s="22"/>
      <c r="J75" s="24"/>
      <c r="K75" s="24" t="str">
        <f>IFERROR(VLOOKUP(Youts[[#This Row],[Código]],Importação!P:R,3,FALSE),"")</f>
        <v/>
      </c>
      <c r="L75" s="24">
        <f>IFERROR(VLOOKUP(Youts[[#This Row],[Código]],Saldo[],3,FALSE),0)</f>
        <v>76</v>
      </c>
      <c r="M75" s="24">
        <f>SUM(Youts[[#This Row],[Produção]:[Estoque]])</f>
        <v>76</v>
      </c>
      <c r="N75" s="24">
        <f>IFERROR(Youts[[#This Row],[Estoque+Importação]]/Youts[[#This Row],[Proj. de V. No prox. mes]],"Sem Projeção")</f>
        <v>760.00000000000011</v>
      </c>
      <c r="O75" s="24" t="str">
        <f>IF(OR(Youts[[#This Row],[Status]]="Em Linha",Youts[[#This Row],[Status]]="Componente",Youts[[#This Row],[Status]]="Materia Prima"),Youts[[#This Row],[Proj. de V. No prox. mes]]*10,"-")</f>
        <v>-</v>
      </c>
      <c r="P7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5" s="75">
        <f>VLOOKUP(Youts[[#This Row],[Código]],Projeção[#All],15,FALSE)</f>
        <v>9.9999999999999992E-2</v>
      </c>
      <c r="R75" s="39">
        <f>VLOOKUP(Youts[[#This Row],[Código]],Projeção[#All],14,FALSE)</f>
        <v>0</v>
      </c>
      <c r="S75" s="39">
        <f>IFERROR(VLOOKUP(Youts[[#This Row],[Código]],Venda_mes[],2,FALSE),0)</f>
        <v>0</v>
      </c>
      <c r="T75" s="44" t="str">
        <f>IFERROR(Youts[[#This Row],[V. No mes]]/Youts[[#This Row],[Proj. de V. No mes]],"")</f>
        <v/>
      </c>
      <c r="U75" s="43">
        <f>VLOOKUP(Youts[[#This Row],[Código]],Projeção[#All],14,FALSE)+VLOOKUP(Youts[[#This Row],[Código]],Projeção[#All],13,FALSE)+VLOOKUP(Youts[[#This Row],[Código]],Projeção[#All],12,FALSE)</f>
        <v>0</v>
      </c>
      <c r="V75" s="39">
        <f>IFERROR(VLOOKUP(Youts[[#This Row],[Código]],Venda_3meses[],2,FALSE),0)</f>
        <v>0</v>
      </c>
      <c r="W75" s="44" t="str">
        <f>IFERROR(Youts[[#This Row],[V. 3 meses]]/Youts[[#This Row],[Proj. de V. 3 meses]],"")</f>
        <v/>
      </c>
      <c r="X7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3.3333333333333333E-2</v>
      </c>
      <c r="Y75" s="39">
        <f>IFERROR(VLOOKUP(Youts[[#This Row],[Código]],Venda_12meses[],2,FALSE),0)</f>
        <v>1</v>
      </c>
      <c r="Z75" s="44">
        <f>IFERROR(Youts[[#This Row],[V. 12 meses]]/Youts[[#This Row],[Proj. de V. 12 meses]],"")</f>
        <v>30</v>
      </c>
      <c r="AA75" s="22"/>
    </row>
    <row r="76" spans="1:27" x14ac:dyDescent="0.25">
      <c r="A76" s="22" t="str">
        <f>VLOOKUP(Youts[[#This Row],[Código]],BD_Produto[#All],7,FALSE)</f>
        <v>Fora de linha</v>
      </c>
      <c r="B76" s="22" t="str">
        <f>IF(OR(Youts[[#This Row],[Status]]="Em linha",Youts[[#This Row],[Status]]="Materia Prima",Youts[[#This Row],[Status]]="Componente"),"ok",IF(Youts[[#This Row],[Estoque+Importação]]&lt;1,"Tirar","ok"))</f>
        <v>ok</v>
      </c>
      <c r="C76" s="23">
        <v>32105064300</v>
      </c>
      <c r="D76" s="22" t="s">
        <v>1010</v>
      </c>
      <c r="E76" s="22" t="str">
        <f>VLOOKUP(Youts[[#This Row],[Código]],BD_Produto[],3,FALSE)</f>
        <v>Mobile</v>
      </c>
      <c r="F76" s="22" t="str">
        <f>VLOOKUP(Youts[[#This Row],[Código]],BD_Produto[],4,FALSE)</f>
        <v>iPhone 5/5S</v>
      </c>
      <c r="G76" s="24"/>
      <c r="H76" s="25"/>
      <c r="I76" s="22"/>
      <c r="J76" s="24"/>
      <c r="K76" s="24" t="str">
        <f>IFERROR(VLOOKUP(Youts[[#This Row],[Código]],Importação!P:R,3,FALSE),"")</f>
        <v/>
      </c>
      <c r="L76" s="24">
        <f>IFERROR(VLOOKUP(Youts[[#This Row],[Código]],Saldo[],3,FALSE),0)</f>
        <v>95</v>
      </c>
      <c r="M76" s="24">
        <f>SUM(Youts[[#This Row],[Produção]:[Estoque]])</f>
        <v>95</v>
      </c>
      <c r="N76" s="24" t="str">
        <f>IFERROR(Youts[[#This Row],[Estoque+Importação]]/Youts[[#This Row],[Proj. de V. No prox. mes]],"Sem Projeção")</f>
        <v>Sem Projeção</v>
      </c>
      <c r="O76" s="24" t="str">
        <f>IF(OR(Youts[[#This Row],[Status]]="Em Linha",Youts[[#This Row],[Status]]="Componente",Youts[[#This Row],[Status]]="Materia Prima"),Youts[[#This Row],[Proj. de V. No prox. mes]]*10,"-")</f>
        <v>-</v>
      </c>
      <c r="P7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6" s="75">
        <f>VLOOKUP(Youts[[#This Row],[Código]],Projeção[#All],15,FALSE)</f>
        <v>0</v>
      </c>
      <c r="R76" s="39">
        <f>VLOOKUP(Youts[[#This Row],[Código]],Projeção[#All],14,FALSE)</f>
        <v>0</v>
      </c>
      <c r="S76" s="39">
        <f>IFERROR(VLOOKUP(Youts[[#This Row],[Código]],Venda_mes[],2,FALSE),0)</f>
        <v>0</v>
      </c>
      <c r="T76" s="44" t="str">
        <f>IFERROR(Youts[[#This Row],[V. No mes]]/Youts[[#This Row],[Proj. de V. No mes]],"")</f>
        <v/>
      </c>
      <c r="U76" s="43">
        <f>VLOOKUP(Youts[[#This Row],[Código]],Projeção[#All],14,FALSE)+VLOOKUP(Youts[[#This Row],[Código]],Projeção[#All],13,FALSE)+VLOOKUP(Youts[[#This Row],[Código]],Projeção[#All],12,FALSE)</f>
        <v>0</v>
      </c>
      <c r="V76" s="39">
        <f>IFERROR(VLOOKUP(Youts[[#This Row],[Código]],Venda_3meses[],2,FALSE),0)</f>
        <v>0</v>
      </c>
      <c r="W76" s="44" t="str">
        <f>IFERROR(Youts[[#This Row],[V. 3 meses]]/Youts[[#This Row],[Proj. de V. 3 meses]],"")</f>
        <v/>
      </c>
      <c r="X7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9.9999999999999992E-2</v>
      </c>
      <c r="Y76" s="39">
        <f>IFERROR(VLOOKUP(Youts[[#This Row],[Código]],Venda_12meses[],2,FALSE),0)</f>
        <v>0</v>
      </c>
      <c r="Z76" s="44">
        <f>IFERROR(Youts[[#This Row],[V. 12 meses]]/Youts[[#This Row],[Proj. de V. 12 meses]],"")</f>
        <v>0</v>
      </c>
      <c r="AA76" s="22"/>
    </row>
    <row r="77" spans="1:27" x14ac:dyDescent="0.25">
      <c r="A77" s="22" t="str">
        <f>VLOOKUP(Youts[[#This Row],[Código]],BD_Produto[#All],7,FALSE)</f>
        <v>Fora de linha</v>
      </c>
      <c r="B77" s="22" t="str">
        <f>IF(OR(Youts[[#This Row],[Status]]="Em linha",Youts[[#This Row],[Status]]="Materia Prima",Youts[[#This Row],[Status]]="Componente"),"ok",IF(Youts[[#This Row],[Estoque+Importação]]&lt;1,"Tirar","ok"))</f>
        <v>ok</v>
      </c>
      <c r="C77" s="23">
        <v>32105064274</v>
      </c>
      <c r="D77" s="22" t="s">
        <v>1057</v>
      </c>
      <c r="E77" s="22" t="str">
        <f>VLOOKUP(Youts[[#This Row],[Código]],BD_Produto[],3,FALSE)</f>
        <v>Mobile</v>
      </c>
      <c r="F77" s="22" t="str">
        <f>VLOOKUP(Youts[[#This Row],[Código]],BD_Produto[],4,FALSE)</f>
        <v>iPhone 5/5S</v>
      </c>
      <c r="G77" s="24"/>
      <c r="H77" s="25"/>
      <c r="I77" s="22"/>
      <c r="J77" s="24"/>
      <c r="K77" s="24" t="str">
        <f>IFERROR(VLOOKUP(Youts[[#This Row],[Código]],Importação!P:R,3,FALSE),"")</f>
        <v/>
      </c>
      <c r="L77" s="24">
        <f>IFERROR(VLOOKUP(Youts[[#This Row],[Código]],Saldo[],3,FALSE),0)</f>
        <v>80</v>
      </c>
      <c r="M77" s="24">
        <f>SUM(Youts[[#This Row],[Produção]:[Estoque]])</f>
        <v>80</v>
      </c>
      <c r="N77" s="24" t="str">
        <f>IFERROR(Youts[[#This Row],[Estoque+Importação]]/Youts[[#This Row],[Proj. de V. No prox. mes]],"Sem Projeção")</f>
        <v>Sem Projeção</v>
      </c>
      <c r="O77" s="24" t="str">
        <f>IF(OR(Youts[[#This Row],[Status]]="Em Linha",Youts[[#This Row],[Status]]="Componente",Youts[[#This Row],[Status]]="Materia Prima"),Youts[[#This Row],[Proj. de V. No prox. mes]]*10,"-")</f>
        <v>-</v>
      </c>
      <c r="P7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7" s="75">
        <f>VLOOKUP(Youts[[#This Row],[Código]],Projeção[#All],15,FALSE)</f>
        <v>0</v>
      </c>
      <c r="R77" s="39">
        <f>VLOOKUP(Youts[[#This Row],[Código]],Projeção[#All],14,FALSE)</f>
        <v>0</v>
      </c>
      <c r="S77" s="39">
        <f>IFERROR(VLOOKUP(Youts[[#This Row],[Código]],Venda_mes[],2,FALSE),0)</f>
        <v>0</v>
      </c>
      <c r="T77" s="44" t="str">
        <f>IFERROR(Youts[[#This Row],[V. No mes]]/Youts[[#This Row],[Proj. de V. No mes]],"")</f>
        <v/>
      </c>
      <c r="U77" s="43">
        <f>VLOOKUP(Youts[[#This Row],[Código]],Projeção[#All],14,FALSE)+VLOOKUP(Youts[[#This Row],[Código]],Projeção[#All],13,FALSE)+VLOOKUP(Youts[[#This Row],[Código]],Projeção[#All],12,FALSE)</f>
        <v>0</v>
      </c>
      <c r="V77" s="39">
        <f>IFERROR(VLOOKUP(Youts[[#This Row],[Código]],Venda_3meses[],2,FALSE),0)</f>
        <v>0</v>
      </c>
      <c r="W77" s="44" t="str">
        <f>IFERROR(Youts[[#This Row],[V. 3 meses]]/Youts[[#This Row],[Proj. de V. 3 meses]],"")</f>
        <v/>
      </c>
      <c r="X7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0.13333333333333333</v>
      </c>
      <c r="Y77" s="39">
        <f>IFERROR(VLOOKUP(Youts[[#This Row],[Código]],Venda_12meses[],2,FALSE),0)</f>
        <v>0</v>
      </c>
      <c r="Z77" s="44">
        <f>IFERROR(Youts[[#This Row],[V. 12 meses]]/Youts[[#This Row],[Proj. de V. 12 meses]],"")</f>
        <v>0</v>
      </c>
      <c r="AA77" s="22"/>
    </row>
    <row r="78" spans="1:27" x14ac:dyDescent="0.25">
      <c r="A78" s="22" t="str">
        <f>VLOOKUP(Youts[[#This Row],[Código]],BD_Produto[#All],7,FALSE)</f>
        <v>Fora de linha</v>
      </c>
      <c r="B78" s="22" t="str">
        <f>IF(OR(Youts[[#This Row],[Status]]="Em linha",Youts[[#This Row],[Status]]="Materia Prima",Youts[[#This Row],[Status]]="Componente"),"ok",IF(Youts[[#This Row],[Estoque+Importação]]&lt;1,"Tirar","ok"))</f>
        <v>ok</v>
      </c>
      <c r="C78" s="23">
        <v>32105064273</v>
      </c>
      <c r="D78" s="22" t="s">
        <v>1051</v>
      </c>
      <c r="E78" s="22" t="str">
        <f>VLOOKUP(Youts[[#This Row],[Código]],BD_Produto[],3,FALSE)</f>
        <v>Mobile</v>
      </c>
      <c r="F78" s="22" t="str">
        <f>VLOOKUP(Youts[[#This Row],[Código]],BD_Produto[],4,FALSE)</f>
        <v>iPhone 5/5S</v>
      </c>
      <c r="G78" s="24"/>
      <c r="H78" s="25"/>
      <c r="I78" s="22"/>
      <c r="J78" s="24"/>
      <c r="K78" s="24" t="str">
        <f>IFERROR(VLOOKUP(Youts[[#This Row],[Código]],Importação!P:R,3,FALSE),"")</f>
        <v/>
      </c>
      <c r="L78" s="24">
        <f>IFERROR(VLOOKUP(Youts[[#This Row],[Código]],Saldo[],3,FALSE),0)</f>
        <v>85</v>
      </c>
      <c r="M78" s="24">
        <f>SUM(Youts[[#This Row],[Produção]:[Estoque]])</f>
        <v>85</v>
      </c>
      <c r="N78" s="24" t="str">
        <f>IFERROR(Youts[[#This Row],[Estoque+Importação]]/Youts[[#This Row],[Proj. de V. No prox. mes]],"Sem Projeção")</f>
        <v>Sem Projeção</v>
      </c>
      <c r="O78" s="24" t="str">
        <f>IF(OR(Youts[[#This Row],[Status]]="Em Linha",Youts[[#This Row],[Status]]="Componente",Youts[[#This Row],[Status]]="Materia Prima"),Youts[[#This Row],[Proj. de V. No prox. mes]]*10,"-")</f>
        <v>-</v>
      </c>
      <c r="P7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8" s="75">
        <f>VLOOKUP(Youts[[#This Row],[Código]],Projeção[#All],15,FALSE)</f>
        <v>0</v>
      </c>
      <c r="R78" s="39">
        <f>VLOOKUP(Youts[[#This Row],[Código]],Projeção[#All],14,FALSE)</f>
        <v>0</v>
      </c>
      <c r="S78" s="39">
        <f>IFERROR(VLOOKUP(Youts[[#This Row],[Código]],Venda_mes[],2,FALSE),0)</f>
        <v>0</v>
      </c>
      <c r="T78" s="44" t="str">
        <f>IFERROR(Youts[[#This Row],[V. No mes]]/Youts[[#This Row],[Proj. de V. No mes]],"")</f>
        <v/>
      </c>
      <c r="U78" s="43">
        <f>VLOOKUP(Youts[[#This Row],[Código]],Projeção[#All],14,FALSE)+VLOOKUP(Youts[[#This Row],[Código]],Projeção[#All],13,FALSE)+VLOOKUP(Youts[[#This Row],[Código]],Projeção[#All],12,FALSE)</f>
        <v>0</v>
      </c>
      <c r="V78" s="39">
        <f>IFERROR(VLOOKUP(Youts[[#This Row],[Código]],Venda_3meses[],2,FALSE),0)</f>
        <v>0</v>
      </c>
      <c r="W78" s="44" t="str">
        <f>IFERROR(Youts[[#This Row],[V. 3 meses]]/Youts[[#This Row],[Proj. de V. 3 meses]],"")</f>
        <v/>
      </c>
      <c r="X7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3.3333333333333333E-2</v>
      </c>
      <c r="Y78" s="39">
        <f>IFERROR(VLOOKUP(Youts[[#This Row],[Código]],Venda_12meses[],2,FALSE),0)</f>
        <v>0</v>
      </c>
      <c r="Z78" s="44">
        <f>IFERROR(Youts[[#This Row],[V. 12 meses]]/Youts[[#This Row],[Proj. de V. 12 meses]],"")</f>
        <v>0</v>
      </c>
      <c r="AA78" s="22"/>
    </row>
    <row r="79" spans="1:27" x14ac:dyDescent="0.25">
      <c r="A79" s="22" t="str">
        <f>VLOOKUP(Youts[[#This Row],[Código]],BD_Produto[#All],7,FALSE)</f>
        <v>Fora de linha</v>
      </c>
      <c r="B79" s="22" t="str">
        <f>IF(OR(Youts[[#This Row],[Status]]="Em linha",Youts[[#This Row],[Status]]="Materia Prima",Youts[[#This Row],[Status]]="Componente"),"ok",IF(Youts[[#This Row],[Estoque+Importação]]&lt;1,"Tirar","ok"))</f>
        <v>ok</v>
      </c>
      <c r="C79" s="23">
        <v>32105064282</v>
      </c>
      <c r="D79" s="22" t="s">
        <v>1256</v>
      </c>
      <c r="E79" s="22" t="str">
        <f>VLOOKUP(Youts[[#This Row],[Código]],BD_Produto[],3,FALSE)</f>
        <v>Mobile</v>
      </c>
      <c r="F79" s="22" t="str">
        <f>VLOOKUP(Youts[[#This Row],[Código]],BD_Produto[],4,FALSE)</f>
        <v>Galaxy SIII</v>
      </c>
      <c r="G79" s="24"/>
      <c r="H79" s="25"/>
      <c r="I79" s="22"/>
      <c r="J79" s="24"/>
      <c r="K79" s="24" t="str">
        <f>IFERROR(VLOOKUP(Youts[[#This Row],[Código]],Importação!P:R,3,FALSE),"")</f>
        <v/>
      </c>
      <c r="L79" s="24">
        <f>IFERROR(VLOOKUP(Youts[[#This Row],[Código]],Saldo[],3,FALSE),0)</f>
        <v>108</v>
      </c>
      <c r="M79" s="24">
        <f>SUM(Youts[[#This Row],[Produção]:[Estoque]])</f>
        <v>108</v>
      </c>
      <c r="N79" s="24" t="str">
        <f>IFERROR(Youts[[#This Row],[Estoque+Importação]]/Youts[[#This Row],[Proj. de V. No prox. mes]],"Sem Projeção")</f>
        <v>Sem Projeção</v>
      </c>
      <c r="O79" s="24" t="str">
        <f>IF(OR(Youts[[#This Row],[Status]]="Em Linha",Youts[[#This Row],[Status]]="Componente",Youts[[#This Row],[Status]]="Materia Prima"),Youts[[#This Row],[Proj. de V. No prox. mes]]*10,"-")</f>
        <v>-</v>
      </c>
      <c r="P7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79" s="75">
        <f>VLOOKUP(Youts[[#This Row],[Código]],Projeção[#All],15,FALSE)</f>
        <v>0</v>
      </c>
      <c r="R79" s="39">
        <f>VLOOKUP(Youts[[#This Row],[Código]],Projeção[#All],14,FALSE)</f>
        <v>0</v>
      </c>
      <c r="S79" s="39">
        <f>IFERROR(VLOOKUP(Youts[[#This Row],[Código]],Venda_mes[],2,FALSE),0)</f>
        <v>0</v>
      </c>
      <c r="T79" s="44" t="str">
        <f>IFERROR(Youts[[#This Row],[V. No mes]]/Youts[[#This Row],[Proj. de V. No mes]],"")</f>
        <v/>
      </c>
      <c r="U79" s="43">
        <f>VLOOKUP(Youts[[#This Row],[Código]],Projeção[#All],14,FALSE)+VLOOKUP(Youts[[#This Row],[Código]],Projeção[#All],13,FALSE)+VLOOKUP(Youts[[#This Row],[Código]],Projeção[#All],12,FALSE)</f>
        <v>0</v>
      </c>
      <c r="V79" s="39">
        <f>IFERROR(VLOOKUP(Youts[[#This Row],[Código]],Venda_3meses[],2,FALSE),0)</f>
        <v>0</v>
      </c>
      <c r="W79" s="44" t="str">
        <f>IFERROR(Youts[[#This Row],[V. 3 meses]]/Youts[[#This Row],[Proj. de V. 3 meses]],"")</f>
        <v/>
      </c>
      <c r="X7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79" s="39">
        <f>IFERROR(VLOOKUP(Youts[[#This Row],[Código]],Venda_12meses[],2,FALSE),0)</f>
        <v>0</v>
      </c>
      <c r="Z79" s="44" t="str">
        <f>IFERROR(Youts[[#This Row],[V. 12 meses]]/Youts[[#This Row],[Proj. de V. 12 meses]],"")</f>
        <v/>
      </c>
      <c r="AA79" s="22"/>
    </row>
    <row r="80" spans="1:27" x14ac:dyDescent="0.25">
      <c r="A80" s="22" t="str">
        <f>VLOOKUP(Youts[[#This Row],[Código]],BD_Produto[#All],7,FALSE)</f>
        <v>Fora de linha</v>
      </c>
      <c r="B80" s="22" t="str">
        <f>IF(OR(Youts[[#This Row],[Status]]="Em linha",Youts[[#This Row],[Status]]="Materia Prima",Youts[[#This Row],[Status]]="Componente"),"ok",IF(Youts[[#This Row],[Estoque+Importação]]&lt;1,"Tirar","ok"))</f>
        <v>ok</v>
      </c>
      <c r="C80" s="23">
        <v>32105064281</v>
      </c>
      <c r="D80" s="22" t="s">
        <v>1255</v>
      </c>
      <c r="E80" s="22" t="str">
        <f>VLOOKUP(Youts[[#This Row],[Código]],BD_Produto[],3,FALSE)</f>
        <v>Mobile</v>
      </c>
      <c r="F80" s="22" t="str">
        <f>VLOOKUP(Youts[[#This Row],[Código]],BD_Produto[],4,FALSE)</f>
        <v>Galaxy SIII</v>
      </c>
      <c r="G80" s="24"/>
      <c r="H80" s="25"/>
      <c r="I80" s="22"/>
      <c r="J80" s="24"/>
      <c r="K80" s="24" t="str">
        <f>IFERROR(VLOOKUP(Youts[[#This Row],[Código]],Importação!P:R,3,FALSE),"")</f>
        <v/>
      </c>
      <c r="L80" s="24">
        <f>IFERROR(VLOOKUP(Youts[[#This Row],[Código]],Saldo[],3,FALSE),0)</f>
        <v>108</v>
      </c>
      <c r="M80" s="24">
        <f>SUM(Youts[[#This Row],[Produção]:[Estoque]])</f>
        <v>108</v>
      </c>
      <c r="N80" s="24" t="str">
        <f>IFERROR(Youts[[#This Row],[Estoque+Importação]]/Youts[[#This Row],[Proj. de V. No prox. mes]],"Sem Projeção")</f>
        <v>Sem Projeção</v>
      </c>
      <c r="O80" s="24" t="str">
        <f>IF(OR(Youts[[#This Row],[Status]]="Em Linha",Youts[[#This Row],[Status]]="Componente",Youts[[#This Row],[Status]]="Materia Prima"),Youts[[#This Row],[Proj. de V. No prox. mes]]*10,"-")</f>
        <v>-</v>
      </c>
      <c r="P8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0" s="75">
        <f>VLOOKUP(Youts[[#This Row],[Código]],Projeção[#All],15,FALSE)</f>
        <v>0</v>
      </c>
      <c r="R80" s="39">
        <f>VLOOKUP(Youts[[#This Row],[Código]],Projeção[#All],14,FALSE)</f>
        <v>0</v>
      </c>
      <c r="S80" s="39">
        <f>IFERROR(VLOOKUP(Youts[[#This Row],[Código]],Venda_mes[],2,FALSE),0)</f>
        <v>0</v>
      </c>
      <c r="T80" s="44" t="str">
        <f>IFERROR(Youts[[#This Row],[V. No mes]]/Youts[[#This Row],[Proj. de V. No mes]],"")</f>
        <v/>
      </c>
      <c r="U80" s="43">
        <f>VLOOKUP(Youts[[#This Row],[Código]],Projeção[#All],14,FALSE)+VLOOKUP(Youts[[#This Row],[Código]],Projeção[#All],13,FALSE)+VLOOKUP(Youts[[#This Row],[Código]],Projeção[#All],12,FALSE)</f>
        <v>0</v>
      </c>
      <c r="V80" s="39">
        <f>IFERROR(VLOOKUP(Youts[[#This Row],[Código]],Venda_3meses[],2,FALSE),0)</f>
        <v>0</v>
      </c>
      <c r="W80" s="44" t="str">
        <f>IFERROR(Youts[[#This Row],[V. 3 meses]]/Youts[[#This Row],[Proj. de V. 3 meses]],"")</f>
        <v/>
      </c>
      <c r="X8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80" s="39">
        <f>IFERROR(VLOOKUP(Youts[[#This Row],[Código]],Venda_12meses[],2,FALSE),0)</f>
        <v>0</v>
      </c>
      <c r="Z80" s="44" t="str">
        <f>IFERROR(Youts[[#This Row],[V. 12 meses]]/Youts[[#This Row],[Proj. de V. 12 meses]],"")</f>
        <v/>
      </c>
      <c r="AA80" s="22"/>
    </row>
    <row r="81" spans="1:27" x14ac:dyDescent="0.25">
      <c r="A81" s="22" t="str">
        <f>VLOOKUP(Youts[[#This Row],[Código]],BD_Produto[#All],7,FALSE)</f>
        <v>Fora de linha</v>
      </c>
      <c r="B81" s="22" t="str">
        <f>IF(OR(Youts[[#This Row],[Status]]="Em linha",Youts[[#This Row],[Status]]="Materia Prima",Youts[[#This Row],[Status]]="Componente"),"ok",IF(Youts[[#This Row],[Estoque+Importação]]&lt;1,"Tirar","ok"))</f>
        <v>ok</v>
      </c>
      <c r="C81" s="23">
        <v>32105064286</v>
      </c>
      <c r="D81" s="22" t="s">
        <v>1254</v>
      </c>
      <c r="E81" s="22" t="str">
        <f>VLOOKUP(Youts[[#This Row],[Código]],BD_Produto[],3,FALSE)</f>
        <v>Mobile</v>
      </c>
      <c r="F81" s="22" t="str">
        <f>VLOOKUP(Youts[[#This Row],[Código]],BD_Produto[],4,FALSE)</f>
        <v>Galaxy SIII</v>
      </c>
      <c r="G81" s="24"/>
      <c r="H81" s="25"/>
      <c r="I81" s="22"/>
      <c r="J81" s="24"/>
      <c r="K81" s="24" t="str">
        <f>IFERROR(VLOOKUP(Youts[[#This Row],[Código]],Importação!P:R,3,FALSE),"")</f>
        <v/>
      </c>
      <c r="L81" s="24">
        <f>IFERROR(VLOOKUP(Youts[[#This Row],[Código]],Saldo[],3,FALSE),0)</f>
        <v>108</v>
      </c>
      <c r="M81" s="24">
        <f>SUM(Youts[[#This Row],[Produção]:[Estoque]])</f>
        <v>108</v>
      </c>
      <c r="N81" s="24" t="str">
        <f>IFERROR(Youts[[#This Row],[Estoque+Importação]]/Youts[[#This Row],[Proj. de V. No prox. mes]],"Sem Projeção")</f>
        <v>Sem Projeção</v>
      </c>
      <c r="O81" s="24" t="str">
        <f>IF(OR(Youts[[#This Row],[Status]]="Em Linha",Youts[[#This Row],[Status]]="Componente",Youts[[#This Row],[Status]]="Materia Prima"),Youts[[#This Row],[Proj. de V. No prox. mes]]*10,"-")</f>
        <v>-</v>
      </c>
      <c r="P8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1" s="75">
        <f>VLOOKUP(Youts[[#This Row],[Código]],Projeção[#All],15,FALSE)</f>
        <v>0</v>
      </c>
      <c r="R81" s="39">
        <f>VLOOKUP(Youts[[#This Row],[Código]],Projeção[#All],14,FALSE)</f>
        <v>0</v>
      </c>
      <c r="S81" s="39">
        <f>IFERROR(VLOOKUP(Youts[[#This Row],[Código]],Venda_mes[],2,FALSE),0)</f>
        <v>0</v>
      </c>
      <c r="T81" s="44" t="str">
        <f>IFERROR(Youts[[#This Row],[V. No mes]]/Youts[[#This Row],[Proj. de V. No mes]],"")</f>
        <v/>
      </c>
      <c r="U81" s="43">
        <f>VLOOKUP(Youts[[#This Row],[Código]],Projeção[#All],14,FALSE)+VLOOKUP(Youts[[#This Row],[Código]],Projeção[#All],13,FALSE)+VLOOKUP(Youts[[#This Row],[Código]],Projeção[#All],12,FALSE)</f>
        <v>0</v>
      </c>
      <c r="V81" s="39">
        <f>IFERROR(VLOOKUP(Youts[[#This Row],[Código]],Venda_3meses[],2,FALSE),0)</f>
        <v>0</v>
      </c>
      <c r="W81" s="44" t="str">
        <f>IFERROR(Youts[[#This Row],[V. 3 meses]]/Youts[[#This Row],[Proj. de V. 3 meses]],"")</f>
        <v/>
      </c>
      <c r="X8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81" s="39">
        <f>IFERROR(VLOOKUP(Youts[[#This Row],[Código]],Venda_12meses[],2,FALSE),0)</f>
        <v>0</v>
      </c>
      <c r="Z81" s="44" t="str">
        <f>IFERROR(Youts[[#This Row],[V. 12 meses]]/Youts[[#This Row],[Proj. de V. 12 meses]],"")</f>
        <v/>
      </c>
      <c r="AA81" s="22"/>
    </row>
    <row r="82" spans="1:27" x14ac:dyDescent="0.25">
      <c r="A82" s="22" t="str">
        <f>VLOOKUP(Youts[[#This Row],[Código]],BD_Produto[#All],7,FALSE)</f>
        <v>Fora de linha</v>
      </c>
      <c r="B82" s="22" t="str">
        <f>IF(OR(Youts[[#This Row],[Status]]="Em linha",Youts[[#This Row],[Status]]="Materia Prima",Youts[[#This Row],[Status]]="Componente"),"ok",IF(Youts[[#This Row],[Estoque+Importação]]&lt;1,"Tirar","ok"))</f>
        <v>ok</v>
      </c>
      <c r="C82" s="23">
        <v>32105064285</v>
      </c>
      <c r="D82" s="22" t="s">
        <v>1253</v>
      </c>
      <c r="E82" s="22" t="str">
        <f>VLOOKUP(Youts[[#This Row],[Código]],BD_Produto[],3,FALSE)</f>
        <v>Mobile</v>
      </c>
      <c r="F82" s="22" t="str">
        <f>VLOOKUP(Youts[[#This Row],[Código]],BD_Produto[],4,FALSE)</f>
        <v>Galaxy SIII</v>
      </c>
      <c r="G82" s="24"/>
      <c r="H82" s="25"/>
      <c r="I82" s="22"/>
      <c r="J82" s="24"/>
      <c r="K82" s="24" t="str">
        <f>IFERROR(VLOOKUP(Youts[[#This Row],[Código]],Importação!P:R,3,FALSE),"")</f>
        <v/>
      </c>
      <c r="L82" s="24">
        <f>IFERROR(VLOOKUP(Youts[[#This Row],[Código]],Saldo[],3,FALSE),0)</f>
        <v>108</v>
      </c>
      <c r="M82" s="24">
        <f>SUM(Youts[[#This Row],[Produção]:[Estoque]])</f>
        <v>108</v>
      </c>
      <c r="N82" s="24" t="str">
        <f>IFERROR(Youts[[#This Row],[Estoque+Importação]]/Youts[[#This Row],[Proj. de V. No prox. mes]],"Sem Projeção")</f>
        <v>Sem Projeção</v>
      </c>
      <c r="O82" s="24" t="str">
        <f>IF(OR(Youts[[#This Row],[Status]]="Em Linha",Youts[[#This Row],[Status]]="Componente",Youts[[#This Row],[Status]]="Materia Prima"),Youts[[#This Row],[Proj. de V. No prox. mes]]*10,"-")</f>
        <v>-</v>
      </c>
      <c r="P8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2" s="75">
        <f>VLOOKUP(Youts[[#This Row],[Código]],Projeção[#All],15,FALSE)</f>
        <v>0</v>
      </c>
      <c r="R82" s="39">
        <f>VLOOKUP(Youts[[#This Row],[Código]],Projeção[#All],14,FALSE)</f>
        <v>0</v>
      </c>
      <c r="S82" s="39">
        <f>IFERROR(VLOOKUP(Youts[[#This Row],[Código]],Venda_mes[],2,FALSE),0)</f>
        <v>0</v>
      </c>
      <c r="T82" s="44" t="str">
        <f>IFERROR(Youts[[#This Row],[V. No mes]]/Youts[[#This Row],[Proj. de V. No mes]],"")</f>
        <v/>
      </c>
      <c r="U82" s="43">
        <f>VLOOKUP(Youts[[#This Row],[Código]],Projeção[#All],14,FALSE)+VLOOKUP(Youts[[#This Row],[Código]],Projeção[#All],13,FALSE)+VLOOKUP(Youts[[#This Row],[Código]],Projeção[#All],12,FALSE)</f>
        <v>0</v>
      </c>
      <c r="V82" s="39">
        <f>IFERROR(VLOOKUP(Youts[[#This Row],[Código]],Venda_3meses[],2,FALSE),0)</f>
        <v>0</v>
      </c>
      <c r="W82" s="44" t="str">
        <f>IFERROR(Youts[[#This Row],[V. 3 meses]]/Youts[[#This Row],[Proj. de V. 3 meses]],"")</f>
        <v/>
      </c>
      <c r="X8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82" s="39">
        <f>IFERROR(VLOOKUP(Youts[[#This Row],[Código]],Venda_12meses[],2,FALSE),0)</f>
        <v>0</v>
      </c>
      <c r="Z82" s="44" t="str">
        <f>IFERROR(Youts[[#This Row],[V. 12 meses]]/Youts[[#This Row],[Proj. de V. 12 meses]],"")</f>
        <v/>
      </c>
      <c r="AA82" s="22"/>
    </row>
    <row r="83" spans="1:27" x14ac:dyDescent="0.25">
      <c r="A83" s="22" t="str">
        <f>VLOOKUP(Youts[[#This Row],[Código]],BD_Produto[#All],7,FALSE)</f>
        <v>Fora de linha</v>
      </c>
      <c r="B83" s="22" t="str">
        <f>IF(OR(Youts[[#This Row],[Status]]="Em linha",Youts[[#This Row],[Status]]="Materia Prima",Youts[[#This Row],[Status]]="Componente"),"ok",IF(Youts[[#This Row],[Estoque+Importação]]&lt;1,"Tirar","ok"))</f>
        <v>ok</v>
      </c>
      <c r="C83" s="23">
        <v>32105064280</v>
      </c>
      <c r="D83" s="22" t="s">
        <v>1252</v>
      </c>
      <c r="E83" s="22" t="str">
        <f>VLOOKUP(Youts[[#This Row],[Código]],BD_Produto[],3,FALSE)</f>
        <v>Mobile</v>
      </c>
      <c r="F83" s="22" t="str">
        <f>VLOOKUP(Youts[[#This Row],[Código]],BD_Produto[],4,FALSE)</f>
        <v>Galaxy SIII</v>
      </c>
      <c r="G83" s="24"/>
      <c r="H83" s="25"/>
      <c r="I83" s="22"/>
      <c r="J83" s="24"/>
      <c r="K83" s="24" t="str">
        <f>IFERROR(VLOOKUP(Youts[[#This Row],[Código]],Importação!P:R,3,FALSE),"")</f>
        <v/>
      </c>
      <c r="L83" s="24">
        <f>IFERROR(VLOOKUP(Youts[[#This Row],[Código]],Saldo[],3,FALSE),0)</f>
        <v>107</v>
      </c>
      <c r="M83" s="24">
        <f>SUM(Youts[[#This Row],[Produção]:[Estoque]])</f>
        <v>107</v>
      </c>
      <c r="N83" s="24" t="str">
        <f>IFERROR(Youts[[#This Row],[Estoque+Importação]]/Youts[[#This Row],[Proj. de V. No prox. mes]],"Sem Projeção")</f>
        <v>Sem Projeção</v>
      </c>
      <c r="O83" s="24" t="str">
        <f>IF(OR(Youts[[#This Row],[Status]]="Em Linha",Youts[[#This Row],[Status]]="Componente",Youts[[#This Row],[Status]]="Materia Prima"),Youts[[#This Row],[Proj. de V. No prox. mes]]*10,"-")</f>
        <v>-</v>
      </c>
      <c r="P8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3" s="75">
        <f>VLOOKUP(Youts[[#This Row],[Código]],Projeção[#All],15,FALSE)</f>
        <v>0</v>
      </c>
      <c r="R83" s="39">
        <f>VLOOKUP(Youts[[#This Row],[Código]],Projeção[#All],14,FALSE)</f>
        <v>0</v>
      </c>
      <c r="S83" s="39">
        <f>IFERROR(VLOOKUP(Youts[[#This Row],[Código]],Venda_mes[],2,FALSE),0)</f>
        <v>0</v>
      </c>
      <c r="T83" s="44" t="str">
        <f>IFERROR(Youts[[#This Row],[V. No mes]]/Youts[[#This Row],[Proj. de V. No mes]],"")</f>
        <v/>
      </c>
      <c r="U83" s="43">
        <f>VLOOKUP(Youts[[#This Row],[Código]],Projeção[#All],14,FALSE)+VLOOKUP(Youts[[#This Row],[Código]],Projeção[#All],13,FALSE)+VLOOKUP(Youts[[#This Row],[Código]],Projeção[#All],12,FALSE)</f>
        <v>0</v>
      </c>
      <c r="V83" s="39">
        <f>IFERROR(VLOOKUP(Youts[[#This Row],[Código]],Venda_3meses[],2,FALSE),0)</f>
        <v>0</v>
      </c>
      <c r="W83" s="44" t="str">
        <f>IFERROR(Youts[[#This Row],[V. 3 meses]]/Youts[[#This Row],[Proj. de V. 3 meses]],"")</f>
        <v/>
      </c>
      <c r="X8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83" s="39">
        <f>IFERROR(VLOOKUP(Youts[[#This Row],[Código]],Venda_12meses[],2,FALSE),0)</f>
        <v>0</v>
      </c>
      <c r="Z83" s="44" t="str">
        <f>IFERROR(Youts[[#This Row],[V. 12 meses]]/Youts[[#This Row],[Proj. de V. 12 meses]],"")</f>
        <v/>
      </c>
      <c r="AA83" s="22"/>
    </row>
    <row r="84" spans="1:27" x14ac:dyDescent="0.25">
      <c r="A84" s="22" t="str">
        <f>VLOOKUP(Youts[[#This Row],[Código]],BD_Produto[#All],7,FALSE)</f>
        <v>Fora de linha</v>
      </c>
      <c r="B8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4" s="23">
        <v>33105063107</v>
      </c>
      <c r="D84" s="22" t="s">
        <v>831</v>
      </c>
      <c r="E84" s="22" t="str">
        <f>VLOOKUP(Youts[[#This Row],[Código]],BD_Produto[],3,FALSE)</f>
        <v>Mobile</v>
      </c>
      <c r="F84" s="22" t="str">
        <f>VLOOKUP(Youts[[#This Row],[Código]],BD_Produto[],4,FALSE)</f>
        <v>iPhone 4/4S</v>
      </c>
      <c r="G84" s="24"/>
      <c r="H84" s="25"/>
      <c r="I84" s="22"/>
      <c r="J84" s="24"/>
      <c r="K84" s="24" t="str">
        <f>IFERROR(VLOOKUP(Youts[[#This Row],[Código]],Importação!P:R,3,FALSE),"")</f>
        <v/>
      </c>
      <c r="L84" s="24">
        <f>IFERROR(VLOOKUP(Youts[[#This Row],[Código]],Saldo[],3,FALSE),0)</f>
        <v>0</v>
      </c>
      <c r="M84" s="24">
        <f>SUM(Youts[[#This Row],[Produção]:[Estoque]])</f>
        <v>0</v>
      </c>
      <c r="N84" s="24" t="str">
        <f>IFERROR(Youts[[#This Row],[Estoque+Importação]]/Youts[[#This Row],[Proj. de V. No prox. mes]],"Sem Projeção")</f>
        <v>Sem Projeção</v>
      </c>
      <c r="O84" s="24" t="str">
        <f>IF(OR(Youts[[#This Row],[Status]]="Em Linha",Youts[[#This Row],[Status]]="Componente",Youts[[#This Row],[Status]]="Materia Prima"),Youts[[#This Row],[Proj. de V. No prox. mes]]*10,"-")</f>
        <v>-</v>
      </c>
      <c r="P8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4" s="75">
        <f>VLOOKUP(Youts[[#This Row],[Código]],Projeção[#All],15,FALSE)</f>
        <v>0</v>
      </c>
      <c r="R84" s="39">
        <f>VLOOKUP(Youts[[#This Row],[Código]],Projeção[#All],14,FALSE)</f>
        <v>0</v>
      </c>
      <c r="S84" s="39">
        <f>IFERROR(VLOOKUP(Youts[[#This Row],[Código]],Venda_mes[],2,FALSE),0)</f>
        <v>0</v>
      </c>
      <c r="T84" s="44" t="str">
        <f>IFERROR(Youts[[#This Row],[V. No mes]]/Youts[[#This Row],[Proj. de V. No mes]],"")</f>
        <v/>
      </c>
      <c r="U84" s="43">
        <f>VLOOKUP(Youts[[#This Row],[Código]],Projeção[#All],14,FALSE)+VLOOKUP(Youts[[#This Row],[Código]],Projeção[#All],13,FALSE)+VLOOKUP(Youts[[#This Row],[Código]],Projeção[#All],12,FALSE)</f>
        <v>0</v>
      </c>
      <c r="V84" s="39">
        <f>IFERROR(VLOOKUP(Youts[[#This Row],[Código]],Venda_3meses[],2,FALSE),0)</f>
        <v>0</v>
      </c>
      <c r="W84" s="44" t="str">
        <f>IFERROR(Youts[[#This Row],[V. 3 meses]]/Youts[[#This Row],[Proj. de V. 3 meses]],"")</f>
        <v/>
      </c>
      <c r="X8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0.39999999999999997</v>
      </c>
      <c r="Y84" s="39">
        <f>IFERROR(VLOOKUP(Youts[[#This Row],[Código]],Venda_12meses[],2,FALSE),0)</f>
        <v>0</v>
      </c>
      <c r="Z84" s="44">
        <f>IFERROR(Youts[[#This Row],[V. 12 meses]]/Youts[[#This Row],[Proj. de V. 12 meses]],"")</f>
        <v>0</v>
      </c>
      <c r="AA84" s="22" t="s">
        <v>1723</v>
      </c>
    </row>
    <row r="85" spans="1:27" x14ac:dyDescent="0.25">
      <c r="A85" s="22" t="str">
        <f>VLOOKUP(Youts[[#This Row],[Código]],BD_Produto[#All],7,FALSE)</f>
        <v>Fora de linha</v>
      </c>
      <c r="B8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5" s="23">
        <v>33105063105</v>
      </c>
      <c r="D85" s="22" t="s">
        <v>1084</v>
      </c>
      <c r="E85" s="22" t="str">
        <f>VLOOKUP(Youts[[#This Row],[Código]],BD_Produto[],3,FALSE)</f>
        <v>Mobile</v>
      </c>
      <c r="F85" s="22" t="str">
        <f>VLOOKUP(Youts[[#This Row],[Código]],BD_Produto[],4,FALSE)</f>
        <v>iPhone 4/4S</v>
      </c>
      <c r="G85" s="24"/>
      <c r="H85" s="25"/>
      <c r="I85" s="22"/>
      <c r="J85" s="24"/>
      <c r="K85" s="24" t="str">
        <f>IFERROR(VLOOKUP(Youts[[#This Row],[Código]],Importação!P:R,3,FALSE),"")</f>
        <v/>
      </c>
      <c r="L85" s="24">
        <f>IFERROR(VLOOKUP(Youts[[#This Row],[Código]],Saldo[],3,FALSE),0)</f>
        <v>0</v>
      </c>
      <c r="M85" s="24">
        <f>SUM(Youts[[#This Row],[Produção]:[Estoque]])</f>
        <v>0</v>
      </c>
      <c r="N85" s="24" t="str">
        <f>IFERROR(Youts[[#This Row],[Estoque+Importação]]/Youts[[#This Row],[Proj. de V. No prox. mes]],"Sem Projeção")</f>
        <v>Sem Projeção</v>
      </c>
      <c r="O85" s="24" t="str">
        <f>IF(OR(Youts[[#This Row],[Status]]="Em Linha",Youts[[#This Row],[Status]]="Componente",Youts[[#This Row],[Status]]="Materia Prima"),Youts[[#This Row],[Proj. de V. No prox. mes]]*10,"-")</f>
        <v>-</v>
      </c>
      <c r="P8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5" s="75">
        <f>VLOOKUP(Youts[[#This Row],[Código]],Projeção[#All],15,FALSE)</f>
        <v>0</v>
      </c>
      <c r="R85" s="39">
        <f>VLOOKUP(Youts[[#This Row],[Código]],Projeção[#All],14,FALSE)</f>
        <v>0</v>
      </c>
      <c r="S85" s="39">
        <f>IFERROR(VLOOKUP(Youts[[#This Row],[Código]],Venda_mes[],2,FALSE),0)</f>
        <v>0</v>
      </c>
      <c r="T85" s="44" t="str">
        <f>IFERROR(Youts[[#This Row],[V. No mes]]/Youts[[#This Row],[Proj. de V. No mes]],"")</f>
        <v/>
      </c>
      <c r="U85" s="43">
        <f>VLOOKUP(Youts[[#This Row],[Código]],Projeção[#All],14,FALSE)+VLOOKUP(Youts[[#This Row],[Código]],Projeção[#All],13,FALSE)+VLOOKUP(Youts[[#This Row],[Código]],Projeção[#All],12,FALSE)</f>
        <v>0</v>
      </c>
      <c r="V85" s="39">
        <f>IFERROR(VLOOKUP(Youts[[#This Row],[Código]],Venda_3meses[],2,FALSE),0)</f>
        <v>0</v>
      </c>
      <c r="W85" s="44" t="str">
        <f>IFERROR(Youts[[#This Row],[V. 3 meses]]/Youts[[#This Row],[Proj. de V. 3 meses]],"")</f>
        <v/>
      </c>
      <c r="X8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0.26666666666666666</v>
      </c>
      <c r="Y85" s="39">
        <f>IFERROR(VLOOKUP(Youts[[#This Row],[Código]],Venda_12meses[],2,FALSE),0)</f>
        <v>0</v>
      </c>
      <c r="Z85" s="44">
        <f>IFERROR(Youts[[#This Row],[V. 12 meses]]/Youts[[#This Row],[Proj. de V. 12 meses]],"")</f>
        <v>0</v>
      </c>
      <c r="AA85" s="22" t="s">
        <v>1723</v>
      </c>
    </row>
    <row r="86" spans="1:27" x14ac:dyDescent="0.25">
      <c r="A86" s="22" t="str">
        <f>VLOOKUP(Youts[[#This Row],[Código]],BD_Produto[#All],7,FALSE)</f>
        <v>Fora de linha</v>
      </c>
      <c r="B8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6" s="23">
        <v>33105063100</v>
      </c>
      <c r="D86" s="22" t="s">
        <v>1102</v>
      </c>
      <c r="E86" s="22" t="str">
        <f>VLOOKUP(Youts[[#This Row],[Código]],BD_Produto[],3,FALSE)</f>
        <v>Mobile</v>
      </c>
      <c r="F86" s="22" t="str">
        <f>VLOOKUP(Youts[[#This Row],[Código]],BD_Produto[],4,FALSE)</f>
        <v>iPhone 3/3S</v>
      </c>
      <c r="G86" s="24"/>
      <c r="H86" s="25"/>
      <c r="I86" s="22"/>
      <c r="J86" s="24"/>
      <c r="K86" s="24" t="str">
        <f>IFERROR(VLOOKUP(Youts[[#This Row],[Código]],Importação!P:R,3,FALSE),"")</f>
        <v/>
      </c>
      <c r="L86" s="24">
        <f>IFERROR(VLOOKUP(Youts[[#This Row],[Código]],Saldo[],3,FALSE),0)</f>
        <v>0</v>
      </c>
      <c r="M86" s="24">
        <f>SUM(Youts[[#This Row],[Produção]:[Estoque]])</f>
        <v>0</v>
      </c>
      <c r="N86" s="24" t="str">
        <f>IFERROR(Youts[[#This Row],[Estoque+Importação]]/Youts[[#This Row],[Proj. de V. No prox. mes]],"Sem Projeção")</f>
        <v>Sem Projeção</v>
      </c>
      <c r="O86" s="24" t="str">
        <f>IF(OR(Youts[[#This Row],[Status]]="Em Linha",Youts[[#This Row],[Status]]="Componente",Youts[[#This Row],[Status]]="Materia Prima"),Youts[[#This Row],[Proj. de V. No prox. mes]]*10,"-")</f>
        <v>-</v>
      </c>
      <c r="P8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6" s="75">
        <f>VLOOKUP(Youts[[#This Row],[Código]],Projeção[#All],15,FALSE)</f>
        <v>0</v>
      </c>
      <c r="R86" s="39">
        <f>VLOOKUP(Youts[[#This Row],[Código]],Projeção[#All],14,FALSE)</f>
        <v>0</v>
      </c>
      <c r="S86" s="39">
        <f>IFERROR(VLOOKUP(Youts[[#This Row],[Código]],Venda_mes[],2,FALSE),0)</f>
        <v>0</v>
      </c>
      <c r="T86" s="44" t="str">
        <f>IFERROR(Youts[[#This Row],[V. No mes]]/Youts[[#This Row],[Proj. de V. No mes]],"")</f>
        <v/>
      </c>
      <c r="U86" s="43">
        <f>VLOOKUP(Youts[[#This Row],[Código]],Projeção[#All],14,FALSE)+VLOOKUP(Youts[[#This Row],[Código]],Projeção[#All],13,FALSE)+VLOOKUP(Youts[[#This Row],[Código]],Projeção[#All],12,FALSE)</f>
        <v>0</v>
      </c>
      <c r="V86" s="39">
        <f>IFERROR(VLOOKUP(Youts[[#This Row],[Código]],Venda_3meses[],2,FALSE),0)</f>
        <v>0</v>
      </c>
      <c r="W86" s="44" t="str">
        <f>IFERROR(Youts[[#This Row],[V. 3 meses]]/Youts[[#This Row],[Proj. de V. 3 meses]],"")</f>
        <v/>
      </c>
      <c r="X8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0.46666666666666667</v>
      </c>
      <c r="Y86" s="39">
        <f>IFERROR(VLOOKUP(Youts[[#This Row],[Código]],Venda_12meses[],2,FALSE),0)</f>
        <v>0</v>
      </c>
      <c r="Z86" s="44">
        <f>IFERROR(Youts[[#This Row],[V. 12 meses]]/Youts[[#This Row],[Proj. de V. 12 meses]],"")</f>
        <v>0</v>
      </c>
      <c r="AA86" s="22" t="s">
        <v>1723</v>
      </c>
    </row>
    <row r="87" spans="1:27" x14ac:dyDescent="0.25">
      <c r="A87" s="22" t="str">
        <f>VLOOKUP(Youts[[#This Row],[Código]],BD_Produto[#All],7,FALSE)</f>
        <v>Fora de linha</v>
      </c>
      <c r="B8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7" s="23">
        <v>33105063118</v>
      </c>
      <c r="D87" s="22" t="s">
        <v>1033</v>
      </c>
      <c r="E87" s="22" t="str">
        <f>VLOOKUP(Youts[[#This Row],[Código]],BD_Produto[],3,FALSE)</f>
        <v>Mobile</v>
      </c>
      <c r="F87" s="22" t="str">
        <f>VLOOKUP(Youts[[#This Row],[Código]],BD_Produto[],4,FALSE)</f>
        <v>Case BB</v>
      </c>
      <c r="G87" s="24"/>
      <c r="H87" s="25"/>
      <c r="I87" s="22"/>
      <c r="J87" s="24"/>
      <c r="K87" s="24" t="str">
        <f>IFERROR(VLOOKUP(Youts[[#This Row],[Código]],Importação!P:R,3,FALSE),"")</f>
        <v/>
      </c>
      <c r="L87" s="24">
        <f>IFERROR(VLOOKUP(Youts[[#This Row],[Código]],Saldo[],3,FALSE),0)</f>
        <v>0</v>
      </c>
      <c r="M87" s="24">
        <f>SUM(Youts[[#This Row],[Produção]:[Estoque]])</f>
        <v>0</v>
      </c>
      <c r="N87" s="24" t="str">
        <f>IFERROR(Youts[[#This Row],[Estoque+Importação]]/Youts[[#This Row],[Proj. de V. No prox. mes]],"Sem Projeção")</f>
        <v>Sem Projeção</v>
      </c>
      <c r="O87" s="24" t="str">
        <f>IF(OR(Youts[[#This Row],[Status]]="Em Linha",Youts[[#This Row],[Status]]="Componente",Youts[[#This Row],[Status]]="Materia Prima"),Youts[[#This Row],[Proj. de V. No prox. mes]]*10,"-")</f>
        <v>-</v>
      </c>
      <c r="P8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7" s="75">
        <f>VLOOKUP(Youts[[#This Row],[Código]],Projeção[#All],15,FALSE)</f>
        <v>0</v>
      </c>
      <c r="R87" s="39">
        <f>VLOOKUP(Youts[[#This Row],[Código]],Projeção[#All],14,FALSE)</f>
        <v>0</v>
      </c>
      <c r="S87" s="39">
        <f>IFERROR(VLOOKUP(Youts[[#This Row],[Código]],Venda_mes[],2,FALSE),0)</f>
        <v>0</v>
      </c>
      <c r="T87" s="44" t="str">
        <f>IFERROR(Youts[[#This Row],[V. No mes]]/Youts[[#This Row],[Proj. de V. No mes]],"")</f>
        <v/>
      </c>
      <c r="U87" s="43">
        <f>VLOOKUP(Youts[[#This Row],[Código]],Projeção[#All],14,FALSE)+VLOOKUP(Youts[[#This Row],[Código]],Projeção[#All],13,FALSE)+VLOOKUP(Youts[[#This Row],[Código]],Projeção[#All],12,FALSE)</f>
        <v>0</v>
      </c>
      <c r="V87" s="39">
        <f>IFERROR(VLOOKUP(Youts[[#This Row],[Código]],Venda_3meses[],2,FALSE),0)</f>
        <v>0</v>
      </c>
      <c r="W87" s="44" t="str">
        <f>IFERROR(Youts[[#This Row],[V. 3 meses]]/Youts[[#This Row],[Proj. de V. 3 meses]],"")</f>
        <v/>
      </c>
      <c r="X8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87" s="39">
        <f>IFERROR(VLOOKUP(Youts[[#This Row],[Código]],Venda_12meses[],2,FALSE),0)</f>
        <v>0</v>
      </c>
      <c r="Z87" s="44" t="str">
        <f>IFERROR(Youts[[#This Row],[V. 12 meses]]/Youts[[#This Row],[Proj. de V. 12 meses]],"")</f>
        <v/>
      </c>
      <c r="AA87" s="22" t="s">
        <v>1723</v>
      </c>
    </row>
    <row r="88" spans="1:27" x14ac:dyDescent="0.25">
      <c r="A88" s="22" t="str">
        <f>VLOOKUP(Youts[[#This Row],[Código]],BD_Produto[#All],7,FALSE)</f>
        <v>Fora de linha</v>
      </c>
      <c r="B8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8" s="23">
        <v>33105063117</v>
      </c>
      <c r="D88" s="22" t="s">
        <v>1053</v>
      </c>
      <c r="E88" s="22" t="str">
        <f>VLOOKUP(Youts[[#This Row],[Código]],BD_Produto[],3,FALSE)</f>
        <v>Mobile</v>
      </c>
      <c r="F88" s="22" t="str">
        <f>VLOOKUP(Youts[[#This Row],[Código]],BD_Produto[],4,FALSE)</f>
        <v>Case BB</v>
      </c>
      <c r="G88" s="24"/>
      <c r="H88" s="25"/>
      <c r="I88" s="22"/>
      <c r="J88" s="24"/>
      <c r="K88" s="24" t="str">
        <f>IFERROR(VLOOKUP(Youts[[#This Row],[Código]],Importação!P:R,3,FALSE),"")</f>
        <v/>
      </c>
      <c r="L88" s="24">
        <f>IFERROR(VLOOKUP(Youts[[#This Row],[Código]],Saldo[],3,FALSE),0)</f>
        <v>0</v>
      </c>
      <c r="M88" s="24">
        <f>SUM(Youts[[#This Row],[Produção]:[Estoque]])</f>
        <v>0</v>
      </c>
      <c r="N88" s="24" t="str">
        <f>IFERROR(Youts[[#This Row],[Estoque+Importação]]/Youts[[#This Row],[Proj. de V. No prox. mes]],"Sem Projeção")</f>
        <v>Sem Projeção</v>
      </c>
      <c r="O88" s="24" t="str">
        <f>IF(OR(Youts[[#This Row],[Status]]="Em Linha",Youts[[#This Row],[Status]]="Componente",Youts[[#This Row],[Status]]="Materia Prima"),Youts[[#This Row],[Proj. de V. No prox. mes]]*10,"-")</f>
        <v>-</v>
      </c>
      <c r="P8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8" s="75">
        <f>VLOOKUP(Youts[[#This Row],[Código]],Projeção[#All],15,FALSE)</f>
        <v>0</v>
      </c>
      <c r="R88" s="39">
        <f>VLOOKUP(Youts[[#This Row],[Código]],Projeção[#All],14,FALSE)</f>
        <v>0</v>
      </c>
      <c r="S88" s="39">
        <f>IFERROR(VLOOKUP(Youts[[#This Row],[Código]],Venda_mes[],2,FALSE),0)</f>
        <v>0</v>
      </c>
      <c r="T88" s="44" t="str">
        <f>IFERROR(Youts[[#This Row],[V. No mes]]/Youts[[#This Row],[Proj. de V. No mes]],"")</f>
        <v/>
      </c>
      <c r="U88" s="43">
        <f>VLOOKUP(Youts[[#This Row],[Código]],Projeção[#All],14,FALSE)+VLOOKUP(Youts[[#This Row],[Código]],Projeção[#All],13,FALSE)+VLOOKUP(Youts[[#This Row],[Código]],Projeção[#All],12,FALSE)</f>
        <v>0</v>
      </c>
      <c r="V88" s="39">
        <f>IFERROR(VLOOKUP(Youts[[#This Row],[Código]],Venda_3meses[],2,FALSE),0)</f>
        <v>0</v>
      </c>
      <c r="W88" s="44" t="str">
        <f>IFERROR(Youts[[#This Row],[V. 3 meses]]/Youts[[#This Row],[Proj. de V. 3 meses]],"")</f>
        <v/>
      </c>
      <c r="X8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</v>
      </c>
      <c r="Y88" s="39">
        <f>IFERROR(VLOOKUP(Youts[[#This Row],[Código]],Venda_12meses[],2,FALSE),0)</f>
        <v>0</v>
      </c>
      <c r="Z88" s="44">
        <f>IFERROR(Youts[[#This Row],[V. 12 meses]]/Youts[[#This Row],[Proj. de V. 12 meses]],"")</f>
        <v>0</v>
      </c>
      <c r="AA88" s="22" t="s">
        <v>1723</v>
      </c>
    </row>
    <row r="89" spans="1:27" x14ac:dyDescent="0.25">
      <c r="A89" s="22" t="str">
        <f>VLOOKUP(Youts[[#This Row],[Código]],BD_Produto[#All],7,FALSE)</f>
        <v>Fora de linha</v>
      </c>
      <c r="B8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89" s="23">
        <v>33105063116</v>
      </c>
      <c r="D89" s="22" t="s">
        <v>1036</v>
      </c>
      <c r="E89" s="22" t="str">
        <f>VLOOKUP(Youts[[#This Row],[Código]],BD_Produto[],3,FALSE)</f>
        <v>Mobile</v>
      </c>
      <c r="F89" s="22" t="str">
        <f>VLOOKUP(Youts[[#This Row],[Código]],BD_Produto[],4,FALSE)</f>
        <v>Case BB</v>
      </c>
      <c r="G89" s="24"/>
      <c r="H89" s="25"/>
      <c r="I89" s="22"/>
      <c r="J89" s="24"/>
      <c r="K89" s="24" t="str">
        <f>IFERROR(VLOOKUP(Youts[[#This Row],[Código]],Importação!P:R,3,FALSE),"")</f>
        <v/>
      </c>
      <c r="L89" s="24">
        <f>IFERROR(VLOOKUP(Youts[[#This Row],[Código]],Saldo[],3,FALSE),0)</f>
        <v>0</v>
      </c>
      <c r="M89" s="24">
        <f>SUM(Youts[[#This Row],[Produção]:[Estoque]])</f>
        <v>0</v>
      </c>
      <c r="N89" s="24" t="str">
        <f>IFERROR(Youts[[#This Row],[Estoque+Importação]]/Youts[[#This Row],[Proj. de V. No prox. mes]],"Sem Projeção")</f>
        <v>Sem Projeção</v>
      </c>
      <c r="O89" s="24" t="str">
        <f>IF(OR(Youts[[#This Row],[Status]]="Em Linha",Youts[[#This Row],[Status]]="Componente",Youts[[#This Row],[Status]]="Materia Prima"),Youts[[#This Row],[Proj. de V. No prox. mes]]*10,"-")</f>
        <v>-</v>
      </c>
      <c r="P8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89" s="75">
        <f>VLOOKUP(Youts[[#This Row],[Código]],Projeção[#All],15,FALSE)</f>
        <v>0</v>
      </c>
      <c r="R89" s="39">
        <f>VLOOKUP(Youts[[#This Row],[Código]],Projeção[#All],14,FALSE)</f>
        <v>0</v>
      </c>
      <c r="S89" s="39">
        <f>IFERROR(VLOOKUP(Youts[[#This Row],[Código]],Venda_mes[],2,FALSE),0)</f>
        <v>0</v>
      </c>
      <c r="T89" s="44" t="str">
        <f>IFERROR(Youts[[#This Row],[V. No mes]]/Youts[[#This Row],[Proj. de V. No mes]],"")</f>
        <v/>
      </c>
      <c r="U89" s="43">
        <f>VLOOKUP(Youts[[#This Row],[Código]],Projeção[#All],14,FALSE)+VLOOKUP(Youts[[#This Row],[Código]],Projeção[#All],13,FALSE)+VLOOKUP(Youts[[#This Row],[Código]],Projeção[#All],12,FALSE)</f>
        <v>0</v>
      </c>
      <c r="V89" s="39">
        <f>IFERROR(VLOOKUP(Youts[[#This Row],[Código]],Venda_3meses[],2,FALSE),0)</f>
        <v>0</v>
      </c>
      <c r="W89" s="44" t="str">
        <f>IFERROR(Youts[[#This Row],[V. 3 meses]]/Youts[[#This Row],[Proj. de V. 3 meses]],"")</f>
        <v/>
      </c>
      <c r="X8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89" s="39">
        <f>IFERROR(VLOOKUP(Youts[[#This Row],[Código]],Venda_12meses[],2,FALSE),0)</f>
        <v>0</v>
      </c>
      <c r="Z89" s="44" t="str">
        <f>IFERROR(Youts[[#This Row],[V. 12 meses]]/Youts[[#This Row],[Proj. de V. 12 meses]],"")</f>
        <v/>
      </c>
      <c r="AA89" s="22" t="s">
        <v>1723</v>
      </c>
    </row>
    <row r="90" spans="1:27" x14ac:dyDescent="0.25">
      <c r="A90" s="22" t="str">
        <f>VLOOKUP(Youts[[#This Row],[Código]],BD_Produto[#All],7,FALSE)</f>
        <v>Fora de linha</v>
      </c>
      <c r="B9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0" s="23">
        <v>33105063122</v>
      </c>
      <c r="D90" s="22" t="s">
        <v>1028</v>
      </c>
      <c r="E90" s="22" t="str">
        <f>VLOOKUP(Youts[[#This Row],[Código]],BD_Produto[],3,FALSE)</f>
        <v>Mobile</v>
      </c>
      <c r="F90" s="22" t="str">
        <f>VLOOKUP(Youts[[#This Row],[Código]],BD_Produto[],4,FALSE)</f>
        <v>Case BB</v>
      </c>
      <c r="G90" s="24"/>
      <c r="H90" s="25"/>
      <c r="I90" s="22"/>
      <c r="J90" s="24"/>
      <c r="K90" s="24" t="str">
        <f>IFERROR(VLOOKUP(Youts[[#This Row],[Código]],Importação!P:R,3,FALSE),"")</f>
        <v/>
      </c>
      <c r="L90" s="24">
        <f>IFERROR(VLOOKUP(Youts[[#This Row],[Código]],Saldo[],3,FALSE),0)</f>
        <v>0</v>
      </c>
      <c r="M90" s="24">
        <f>SUM(Youts[[#This Row],[Produção]:[Estoque]])</f>
        <v>0</v>
      </c>
      <c r="N90" s="24" t="str">
        <f>IFERROR(Youts[[#This Row],[Estoque+Importação]]/Youts[[#This Row],[Proj. de V. No prox. mes]],"Sem Projeção")</f>
        <v>Sem Projeção</v>
      </c>
      <c r="O90" s="24" t="str">
        <f>IF(OR(Youts[[#This Row],[Status]]="Em Linha",Youts[[#This Row],[Status]]="Componente",Youts[[#This Row],[Status]]="Materia Prima"),Youts[[#This Row],[Proj. de V. No prox. mes]]*10,"-")</f>
        <v>-</v>
      </c>
      <c r="P9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0" s="75">
        <f>VLOOKUP(Youts[[#This Row],[Código]],Projeção[#All],15,FALSE)</f>
        <v>0</v>
      </c>
      <c r="R90" s="39">
        <f>VLOOKUP(Youts[[#This Row],[Código]],Projeção[#All],14,FALSE)</f>
        <v>0</v>
      </c>
      <c r="S90" s="39">
        <f>IFERROR(VLOOKUP(Youts[[#This Row],[Código]],Venda_mes[],2,FALSE),0)</f>
        <v>0</v>
      </c>
      <c r="T90" s="44" t="str">
        <f>IFERROR(Youts[[#This Row],[V. No mes]]/Youts[[#This Row],[Proj. de V. No mes]],"")</f>
        <v/>
      </c>
      <c r="U90" s="43">
        <f>VLOOKUP(Youts[[#This Row],[Código]],Projeção[#All],14,FALSE)+VLOOKUP(Youts[[#This Row],[Código]],Projeção[#All],13,FALSE)+VLOOKUP(Youts[[#This Row],[Código]],Projeção[#All],12,FALSE)</f>
        <v>0</v>
      </c>
      <c r="V90" s="39">
        <f>IFERROR(VLOOKUP(Youts[[#This Row],[Código]],Venda_3meses[],2,FALSE),0)</f>
        <v>0</v>
      </c>
      <c r="W90" s="44" t="str">
        <f>IFERROR(Youts[[#This Row],[V. 3 meses]]/Youts[[#This Row],[Proj. de V. 3 meses]],"")</f>
        <v/>
      </c>
      <c r="X9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0" s="39">
        <f>IFERROR(VLOOKUP(Youts[[#This Row],[Código]],Venda_12meses[],2,FALSE),0)</f>
        <v>0</v>
      </c>
      <c r="Z90" s="44" t="str">
        <f>IFERROR(Youts[[#This Row],[V. 12 meses]]/Youts[[#This Row],[Proj. de V. 12 meses]],"")</f>
        <v/>
      </c>
      <c r="AA90" s="22" t="s">
        <v>1723</v>
      </c>
    </row>
    <row r="91" spans="1:27" x14ac:dyDescent="0.25">
      <c r="A91" s="22" t="str">
        <f>VLOOKUP(Youts[[#This Row],[Código]],BD_Produto[#All],7,FALSE)</f>
        <v>Fora de linha</v>
      </c>
      <c r="B9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1" s="23">
        <v>33105063121</v>
      </c>
      <c r="D91" s="22" t="s">
        <v>1032</v>
      </c>
      <c r="E91" s="22" t="str">
        <f>VLOOKUP(Youts[[#This Row],[Código]],BD_Produto[],3,FALSE)</f>
        <v>Mobile</v>
      </c>
      <c r="F91" s="22" t="str">
        <f>VLOOKUP(Youts[[#This Row],[Código]],BD_Produto[],4,FALSE)</f>
        <v>Case BB</v>
      </c>
      <c r="G91" s="24"/>
      <c r="H91" s="25"/>
      <c r="I91" s="22"/>
      <c r="J91" s="24"/>
      <c r="K91" s="24" t="str">
        <f>IFERROR(VLOOKUP(Youts[[#This Row],[Código]],Importação!P:R,3,FALSE),"")</f>
        <v/>
      </c>
      <c r="L91" s="24">
        <f>IFERROR(VLOOKUP(Youts[[#This Row],[Código]],Saldo[],3,FALSE),0)</f>
        <v>0</v>
      </c>
      <c r="M91" s="24">
        <f>SUM(Youts[[#This Row],[Produção]:[Estoque]])</f>
        <v>0</v>
      </c>
      <c r="N91" s="24">
        <f>IFERROR(Youts[[#This Row],[Estoque+Importação]]/Youts[[#This Row],[Proj. de V. No prox. mes]],"Sem Projeção")</f>
        <v>0</v>
      </c>
      <c r="O91" s="24" t="str">
        <f>IF(OR(Youts[[#This Row],[Status]]="Em Linha",Youts[[#This Row],[Status]]="Componente",Youts[[#This Row],[Status]]="Materia Prima"),Youts[[#This Row],[Proj. de V. No prox. mes]]*10,"-")</f>
        <v>-</v>
      </c>
      <c r="P9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1" s="75">
        <f>VLOOKUP(Youts[[#This Row],[Código]],Projeção[#All],15,FALSE)</f>
        <v>0.39999999999999997</v>
      </c>
      <c r="R91" s="39">
        <f>VLOOKUP(Youts[[#This Row],[Código]],Projeção[#All],14,FALSE)</f>
        <v>0</v>
      </c>
      <c r="S91" s="39">
        <f>IFERROR(VLOOKUP(Youts[[#This Row],[Código]],Venda_mes[],2,FALSE),0)</f>
        <v>0</v>
      </c>
      <c r="T91" s="44" t="str">
        <f>IFERROR(Youts[[#This Row],[V. No mes]]/Youts[[#This Row],[Proj. de V. No mes]],"")</f>
        <v/>
      </c>
      <c r="U91" s="43">
        <f>VLOOKUP(Youts[[#This Row],[Código]],Projeção[#All],14,FALSE)+VLOOKUP(Youts[[#This Row],[Código]],Projeção[#All],13,FALSE)+VLOOKUP(Youts[[#This Row],[Código]],Projeção[#All],12,FALSE)</f>
        <v>0</v>
      </c>
      <c r="V91" s="39">
        <f>IFERROR(VLOOKUP(Youts[[#This Row],[Código]],Venda_3meses[],2,FALSE),0)</f>
        <v>0</v>
      </c>
      <c r="W91" s="44" t="str">
        <f>IFERROR(Youts[[#This Row],[V. 3 meses]]/Youts[[#This Row],[Proj. de V. 3 meses]],"")</f>
        <v/>
      </c>
      <c r="X9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1" s="39">
        <f>IFERROR(VLOOKUP(Youts[[#This Row],[Código]],Venda_12meses[],2,FALSE),0)</f>
        <v>12</v>
      </c>
      <c r="Z91" s="44" t="str">
        <f>IFERROR(Youts[[#This Row],[V. 12 meses]]/Youts[[#This Row],[Proj. de V. 12 meses]],"")</f>
        <v/>
      </c>
      <c r="AA91" s="22" t="s">
        <v>1723</v>
      </c>
    </row>
    <row r="92" spans="1:27" x14ac:dyDescent="0.25">
      <c r="A92" s="22" t="str">
        <f>VLOOKUP(Youts[[#This Row],[Código]],BD_Produto[#All],7,FALSE)</f>
        <v>Fora de linha</v>
      </c>
      <c r="B9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2" s="23">
        <v>33105063119</v>
      </c>
      <c r="D92" s="22" t="s">
        <v>1027</v>
      </c>
      <c r="E92" s="22" t="str">
        <f>VLOOKUP(Youts[[#This Row],[Código]],BD_Produto[],3,FALSE)</f>
        <v>Mobile</v>
      </c>
      <c r="F92" s="22" t="str">
        <f>VLOOKUP(Youts[[#This Row],[Código]],BD_Produto[],4,FALSE)</f>
        <v>Case BB</v>
      </c>
      <c r="G92" s="24"/>
      <c r="H92" s="25"/>
      <c r="I92" s="22"/>
      <c r="J92" s="24"/>
      <c r="K92" s="24" t="str">
        <f>IFERROR(VLOOKUP(Youts[[#This Row],[Código]],Importação!P:R,3,FALSE),"")</f>
        <v/>
      </c>
      <c r="L92" s="24">
        <f>IFERROR(VLOOKUP(Youts[[#This Row],[Código]],Saldo[],3,FALSE),0)</f>
        <v>0</v>
      </c>
      <c r="M92" s="24">
        <f>SUM(Youts[[#This Row],[Produção]:[Estoque]])</f>
        <v>0</v>
      </c>
      <c r="N92" s="24" t="str">
        <f>IFERROR(Youts[[#This Row],[Estoque+Importação]]/Youts[[#This Row],[Proj. de V. No prox. mes]],"Sem Projeção")</f>
        <v>Sem Projeção</v>
      </c>
      <c r="O92" s="24" t="str">
        <f>IF(OR(Youts[[#This Row],[Status]]="Em Linha",Youts[[#This Row],[Status]]="Componente",Youts[[#This Row],[Status]]="Materia Prima"),Youts[[#This Row],[Proj. de V. No prox. mes]]*10,"-")</f>
        <v>-</v>
      </c>
      <c r="P9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2" s="75">
        <f>VLOOKUP(Youts[[#This Row],[Código]],Projeção[#All],15,FALSE)</f>
        <v>0</v>
      </c>
      <c r="R92" s="39">
        <f>VLOOKUP(Youts[[#This Row],[Código]],Projeção[#All],14,FALSE)</f>
        <v>0</v>
      </c>
      <c r="S92" s="39">
        <f>IFERROR(VLOOKUP(Youts[[#This Row],[Código]],Venda_mes[],2,FALSE),0)</f>
        <v>0</v>
      </c>
      <c r="T92" s="44" t="str">
        <f>IFERROR(Youts[[#This Row],[V. No mes]]/Youts[[#This Row],[Proj. de V. No mes]],"")</f>
        <v/>
      </c>
      <c r="U92" s="43">
        <f>VLOOKUP(Youts[[#This Row],[Código]],Projeção[#All],14,FALSE)+VLOOKUP(Youts[[#This Row],[Código]],Projeção[#All],13,FALSE)+VLOOKUP(Youts[[#This Row],[Código]],Projeção[#All],12,FALSE)</f>
        <v>0</v>
      </c>
      <c r="V92" s="39">
        <f>IFERROR(VLOOKUP(Youts[[#This Row],[Código]],Venda_3meses[],2,FALSE),0)</f>
        <v>0</v>
      </c>
      <c r="W92" s="44" t="str">
        <f>IFERROR(Youts[[#This Row],[V. 3 meses]]/Youts[[#This Row],[Proj. de V. 3 meses]],"")</f>
        <v/>
      </c>
      <c r="X9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2" s="39">
        <f>IFERROR(VLOOKUP(Youts[[#This Row],[Código]],Venda_12meses[],2,FALSE),0)</f>
        <v>0</v>
      </c>
      <c r="Z92" s="44" t="str">
        <f>IFERROR(Youts[[#This Row],[V. 12 meses]]/Youts[[#This Row],[Proj. de V. 12 meses]],"")</f>
        <v/>
      </c>
      <c r="AA92" s="22" t="s">
        <v>1723</v>
      </c>
    </row>
    <row r="93" spans="1:27" x14ac:dyDescent="0.25">
      <c r="A93" s="22" t="str">
        <f>VLOOKUP(Youts[[#This Row],[Código]],BD_Produto[#All],7,FALSE)</f>
        <v>Fora de linha</v>
      </c>
      <c r="B9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3" s="23">
        <v>33105063120</v>
      </c>
      <c r="D93" s="22" t="s">
        <v>1026</v>
      </c>
      <c r="E93" s="22" t="str">
        <f>VLOOKUP(Youts[[#This Row],[Código]],BD_Produto[],3,FALSE)</f>
        <v>Mobile</v>
      </c>
      <c r="F93" s="22" t="str">
        <f>VLOOKUP(Youts[[#This Row],[Código]],BD_Produto[],4,FALSE)</f>
        <v>Case BB</v>
      </c>
      <c r="G93" s="24"/>
      <c r="H93" s="25"/>
      <c r="I93" s="22"/>
      <c r="J93" s="24"/>
      <c r="K93" s="24" t="str">
        <f>IFERROR(VLOOKUP(Youts[[#This Row],[Código]],Importação!P:R,3,FALSE),"")</f>
        <v/>
      </c>
      <c r="L93" s="24">
        <f>IFERROR(VLOOKUP(Youts[[#This Row],[Código]],Saldo[],3,FALSE),0)</f>
        <v>0</v>
      </c>
      <c r="M93" s="24">
        <f>SUM(Youts[[#This Row],[Produção]:[Estoque]])</f>
        <v>0</v>
      </c>
      <c r="N93" s="24" t="str">
        <f>IFERROR(Youts[[#This Row],[Estoque+Importação]]/Youts[[#This Row],[Proj. de V. No prox. mes]],"Sem Projeção")</f>
        <v>Sem Projeção</v>
      </c>
      <c r="O93" s="24" t="str">
        <f>IF(OR(Youts[[#This Row],[Status]]="Em Linha",Youts[[#This Row],[Status]]="Componente",Youts[[#This Row],[Status]]="Materia Prima"),Youts[[#This Row],[Proj. de V. No prox. mes]]*10,"-")</f>
        <v>-</v>
      </c>
      <c r="P9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3" s="83">
        <f>VLOOKUP(Youts[[#This Row],[Código]],Projeção[#All],15,FALSE)</f>
        <v>0</v>
      </c>
      <c r="R93" s="43">
        <f>VLOOKUP(Youts[[#This Row],[Código]],Projeção[#All],14,FALSE)</f>
        <v>0</v>
      </c>
      <c r="S93" s="39">
        <f>IFERROR(VLOOKUP(Youts[[#This Row],[Código]],Venda_mes[],2,FALSE),0)</f>
        <v>0</v>
      </c>
      <c r="T93" s="44" t="str">
        <f>IFERROR(Youts[[#This Row],[V. No mes]]/Youts[[#This Row],[Proj. de V. No mes]],"")</f>
        <v/>
      </c>
      <c r="U93" s="43">
        <f>VLOOKUP(Youts[[#This Row],[Código]],Projeção[#All],14,FALSE)+VLOOKUP(Youts[[#This Row],[Código]],Projeção[#All],13,FALSE)+VLOOKUP(Youts[[#This Row],[Código]],Projeção[#All],12,FALSE)</f>
        <v>0</v>
      </c>
      <c r="V93" s="39">
        <f>IFERROR(VLOOKUP(Youts[[#This Row],[Código]],Venda_3meses[],2,FALSE),0)</f>
        <v>0</v>
      </c>
      <c r="W93" s="44" t="str">
        <f>IFERROR(Youts[[#This Row],[V. 3 meses]]/Youts[[#This Row],[Proj. de V. 3 meses]],"")</f>
        <v/>
      </c>
      <c r="X9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3" s="39">
        <f>IFERROR(VLOOKUP(Youts[[#This Row],[Código]],Venda_12meses[],2,FALSE),0)</f>
        <v>0</v>
      </c>
      <c r="Z93" s="44" t="str">
        <f>IFERROR(Youts[[#This Row],[V. 12 meses]]/Youts[[#This Row],[Proj. de V. 12 meses]],"")</f>
        <v/>
      </c>
      <c r="AA93" s="22" t="s">
        <v>1723</v>
      </c>
    </row>
    <row r="94" spans="1:27" x14ac:dyDescent="0.25">
      <c r="A94" s="22" t="str">
        <f>VLOOKUP(Youts[[#This Row],[Código]],BD_Produto[#All],7,FALSE)</f>
        <v>Fora de linha</v>
      </c>
      <c r="B94" s="22" t="str">
        <f>IF(OR(Youts[[#This Row],[Status]]="Em linha",Youts[[#This Row],[Status]]="Materia Prima",Youts[[#This Row],[Status]]="Componente"),"ok",IF(Youts[[#This Row],[Estoque+Importação]]&lt;1,"Tirar","ok"))</f>
        <v>ok</v>
      </c>
      <c r="C94" s="23">
        <v>33105163080</v>
      </c>
      <c r="D94" s="22" t="s">
        <v>998</v>
      </c>
      <c r="E94" s="22" t="str">
        <f>VLOOKUP(Youts[[#This Row],[Código]],BD_Produto[],3,FALSE)</f>
        <v>Mobile</v>
      </c>
      <c r="F94" s="22" t="str">
        <f>VLOOKUP(Youts[[#This Row],[Código]],BD_Produto[],4,FALSE)</f>
        <v>Screen Protector</v>
      </c>
      <c r="G94" s="24"/>
      <c r="H94" s="25"/>
      <c r="I94" s="22"/>
      <c r="J94" s="24"/>
      <c r="K94" s="24" t="str">
        <f>IFERROR(VLOOKUP(Youts[[#This Row],[Código]],Importação!P:R,3,FALSE),"")</f>
        <v/>
      </c>
      <c r="L94" s="24">
        <f>IFERROR(VLOOKUP(Youts[[#This Row],[Código]],Saldo[],3,FALSE),0)</f>
        <v>939</v>
      </c>
      <c r="M94" s="24">
        <f>SUM(Youts[[#This Row],[Produção]:[Estoque]])</f>
        <v>939</v>
      </c>
      <c r="N94" s="24" t="str">
        <f>IFERROR(Youts[[#This Row],[Estoque+Importação]]/Youts[[#This Row],[Proj. de V. No prox. mes]],"Sem Projeção")</f>
        <v>Sem Projeção</v>
      </c>
      <c r="O94" s="24" t="str">
        <f>IF(OR(Youts[[#This Row],[Status]]="Em Linha",Youts[[#This Row],[Status]]="Componente",Youts[[#This Row],[Status]]="Materia Prima"),Youts[[#This Row],[Proj. de V. No prox. mes]]*10,"-")</f>
        <v>-</v>
      </c>
      <c r="P9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4" s="83">
        <f>VLOOKUP(Youts[[#This Row],[Código]],Projeção[#All],15,FALSE)</f>
        <v>0</v>
      </c>
      <c r="R94" s="43">
        <f>VLOOKUP(Youts[[#This Row],[Código]],Projeção[#All],14,FALSE)</f>
        <v>0</v>
      </c>
      <c r="S94" s="39">
        <f>IFERROR(VLOOKUP(Youts[[#This Row],[Código]],Venda_mes[],2,FALSE),0)</f>
        <v>0</v>
      </c>
      <c r="T94" s="44" t="str">
        <f>IFERROR(Youts[[#This Row],[V. No mes]]/Youts[[#This Row],[Proj. de V. No mes]],"")</f>
        <v/>
      </c>
      <c r="U94" s="43">
        <f>VLOOKUP(Youts[[#This Row],[Código]],Projeção[#All],14,FALSE)+VLOOKUP(Youts[[#This Row],[Código]],Projeção[#All],13,FALSE)+VLOOKUP(Youts[[#This Row],[Código]],Projeção[#All],12,FALSE)</f>
        <v>0</v>
      </c>
      <c r="V94" s="39">
        <f>IFERROR(VLOOKUP(Youts[[#This Row],[Código]],Venda_3meses[],2,FALSE),0)</f>
        <v>0</v>
      </c>
      <c r="W94" s="44" t="str">
        <f>IFERROR(Youts[[#This Row],[V. 3 meses]]/Youts[[#This Row],[Proj. de V. 3 meses]],"")</f>
        <v/>
      </c>
      <c r="X9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4" s="39">
        <f>IFERROR(VLOOKUP(Youts[[#This Row],[Código]],Venda_12meses[],2,FALSE),0)</f>
        <v>0</v>
      </c>
      <c r="Z94" s="44" t="str">
        <f>IFERROR(Youts[[#This Row],[V. 12 meses]]/Youts[[#This Row],[Proj. de V. 12 meses]],"")</f>
        <v/>
      </c>
      <c r="AA94" s="22" t="s">
        <v>1723</v>
      </c>
    </row>
    <row r="95" spans="1:27" x14ac:dyDescent="0.25">
      <c r="A95" s="22" t="str">
        <f>VLOOKUP(Youts[[#This Row],[Código]],BD_Produto[#All],7,FALSE)</f>
        <v>Fora de linha</v>
      </c>
      <c r="B9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5" s="23">
        <v>33102263136</v>
      </c>
      <c r="D95" s="22" t="s">
        <v>808</v>
      </c>
      <c r="E95" s="22" t="str">
        <f>VLOOKUP(Youts[[#This Row],[Código]],BD_Produto[],3,FALSE)</f>
        <v>Áudio</v>
      </c>
      <c r="F95" s="22" t="str">
        <f>VLOOKUP(Youts[[#This Row],[Código]],BD_Produto[],4,FALSE)</f>
        <v>Caixa de Som</v>
      </c>
      <c r="G95" s="24"/>
      <c r="H95" s="25"/>
      <c r="I95" s="22"/>
      <c r="J95" s="24"/>
      <c r="K95" s="24" t="str">
        <f>IFERROR(VLOOKUP(Youts[[#This Row],[Código]],Importação!P:R,3,FALSE),"")</f>
        <v/>
      </c>
      <c r="L95" s="24">
        <f>IFERROR(VLOOKUP(Youts[[#This Row],[Código]],Saldo[],3,FALSE),0)</f>
        <v>0</v>
      </c>
      <c r="M95" s="24">
        <f>SUM(Youts[[#This Row],[Produção]:[Estoque]])</f>
        <v>0</v>
      </c>
      <c r="N95" s="24">
        <f>IFERROR(Youts[[#This Row],[Estoque+Importação]]/Youts[[#This Row],[Proj. de V. No prox. mes]],"Sem Projeção")</f>
        <v>0</v>
      </c>
      <c r="O95" s="24" t="str">
        <f>IF(OR(Youts[[#This Row],[Status]]="Em Linha",Youts[[#This Row],[Status]]="Componente",Youts[[#This Row],[Status]]="Materia Prima"),Youts[[#This Row],[Proj. de V. No prox. mes]]*10,"-")</f>
        <v>-</v>
      </c>
      <c r="P9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5" s="83">
        <f>VLOOKUP(Youts[[#This Row],[Código]],Projeção[#All],15,FALSE)</f>
        <v>3.3333333333333333E-2</v>
      </c>
      <c r="R95" s="43">
        <f>VLOOKUP(Youts[[#This Row],[Código]],Projeção[#All],14,FALSE)</f>
        <v>0</v>
      </c>
      <c r="S95" s="39">
        <f>IFERROR(VLOOKUP(Youts[[#This Row],[Código]],Venda_mes[],2,FALSE),0)</f>
        <v>0</v>
      </c>
      <c r="T95" s="44" t="str">
        <f>IFERROR(Youts[[#This Row],[V. No mes]]/Youts[[#This Row],[Proj. de V. No mes]],"")</f>
        <v/>
      </c>
      <c r="U95" s="43">
        <f>VLOOKUP(Youts[[#This Row],[Código]],Projeção[#All],14,FALSE)+VLOOKUP(Youts[[#This Row],[Código]],Projeção[#All],13,FALSE)+VLOOKUP(Youts[[#This Row],[Código]],Projeção[#All],12,FALSE)</f>
        <v>0</v>
      </c>
      <c r="V95" s="39">
        <f>IFERROR(VLOOKUP(Youts[[#This Row],[Código]],Venda_3meses[],2,FALSE),0)</f>
        <v>0</v>
      </c>
      <c r="W95" s="44" t="str">
        <f>IFERROR(Youts[[#This Row],[V. 3 meses]]/Youts[[#This Row],[Proj. de V. 3 meses]],"")</f>
        <v/>
      </c>
      <c r="X9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0.66666666666666663</v>
      </c>
      <c r="Y95" s="39">
        <f>IFERROR(VLOOKUP(Youts[[#This Row],[Código]],Venda_12meses[],2,FALSE),0)</f>
        <v>1</v>
      </c>
      <c r="Z95" s="44">
        <f>IFERROR(Youts[[#This Row],[V. 12 meses]]/Youts[[#This Row],[Proj. de V. 12 meses]],"")</f>
        <v>1.5</v>
      </c>
      <c r="AA95" s="22" t="s">
        <v>1723</v>
      </c>
    </row>
    <row r="96" spans="1:27" x14ac:dyDescent="0.25">
      <c r="A96" s="22" t="str">
        <f>VLOOKUP(Youts[[#This Row],[Código]],BD_Produto[#All],7,FALSE)</f>
        <v>Fora de linha</v>
      </c>
      <c r="B96" s="22" t="str">
        <f>IF(OR(Youts[[#This Row],[Status]]="Em linha",Youts[[#This Row],[Status]]="Materia Prima",Youts[[#This Row],[Status]]="Componente"),"ok",IF(Youts[[#This Row],[Estoque+Importação]]&lt;1,"Tirar","ok"))</f>
        <v>ok</v>
      </c>
      <c r="C96" s="23">
        <v>30100062780</v>
      </c>
      <c r="D96" s="22" t="s">
        <v>1251</v>
      </c>
      <c r="E96" s="22" t="str">
        <f>VLOOKUP(Youts[[#This Row],[Código]],BD_Produto[],3,FALSE)</f>
        <v>Storage Mídia</v>
      </c>
      <c r="F96" s="22" t="str">
        <f>VLOOKUP(Youts[[#This Row],[Código]],BD_Produto[],4,FALSE)</f>
        <v>Rock in Rio - Color Label - DVD-R</v>
      </c>
      <c r="G96" s="24"/>
      <c r="H96" s="25"/>
      <c r="I96" s="22"/>
      <c r="J96" s="24"/>
      <c r="K96" s="24" t="str">
        <f>IFERROR(VLOOKUP(Youts[[#This Row],[Código]],Importação!P:R,3,FALSE),"")</f>
        <v/>
      </c>
      <c r="L96" s="24">
        <f>IFERROR(VLOOKUP(Youts[[#This Row],[Código]],Saldo[],3,FALSE),0)</f>
        <v>3915</v>
      </c>
      <c r="M96" s="24">
        <f>SUM(Youts[[#This Row],[Produção]:[Estoque]])</f>
        <v>3915</v>
      </c>
      <c r="N96" s="24" t="str">
        <f>IFERROR(Youts[[#This Row],[Estoque+Importação]]/Youts[[#This Row],[Proj. de V. No prox. mes]],"Sem Projeção")</f>
        <v>Sem Projeção</v>
      </c>
      <c r="O96" s="24" t="str">
        <f>IF(OR(Youts[[#This Row],[Status]]="Em Linha",Youts[[#This Row],[Status]]="Componente",Youts[[#This Row],[Status]]="Materia Prima"),Youts[[#This Row],[Proj. de V. No prox. mes]]*10,"-")</f>
        <v>-</v>
      </c>
      <c r="P9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6" s="83">
        <f>VLOOKUP(Youts[[#This Row],[Código]],Projeção[#All],15,FALSE)</f>
        <v>0</v>
      </c>
      <c r="R96" s="43">
        <f>VLOOKUP(Youts[[#This Row],[Código]],Projeção[#All],14,FALSE)</f>
        <v>0</v>
      </c>
      <c r="S96" s="39">
        <f>IFERROR(VLOOKUP(Youts[[#This Row],[Código]],Venda_mes[],2,FALSE),0)</f>
        <v>0</v>
      </c>
      <c r="T96" s="44" t="str">
        <f>IFERROR(Youts[[#This Row],[V. No mes]]/Youts[[#This Row],[Proj. de V. No mes]],"")</f>
        <v/>
      </c>
      <c r="U96" s="43">
        <f>VLOOKUP(Youts[[#This Row],[Código]],Projeção[#All],14,FALSE)+VLOOKUP(Youts[[#This Row],[Código]],Projeção[#All],13,FALSE)+VLOOKUP(Youts[[#This Row],[Código]],Projeção[#All],12,FALSE)</f>
        <v>0</v>
      </c>
      <c r="V96" s="39">
        <f>IFERROR(VLOOKUP(Youts[[#This Row],[Código]],Venda_3meses[],2,FALSE),0)</f>
        <v>0</v>
      </c>
      <c r="W96" s="44" t="str">
        <f>IFERROR(Youts[[#This Row],[V. 3 meses]]/Youts[[#This Row],[Proj. de V. 3 meses]],"")</f>
        <v/>
      </c>
      <c r="X9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6" s="39">
        <f>IFERROR(VLOOKUP(Youts[[#This Row],[Código]],Venda_12meses[],2,FALSE),0)</f>
        <v>0</v>
      </c>
      <c r="Z96" s="44" t="str">
        <f>IFERROR(Youts[[#This Row],[V. 12 meses]]/Youts[[#This Row],[Proj. de V. 12 meses]],"")</f>
        <v/>
      </c>
      <c r="AA96" s="22"/>
    </row>
    <row r="97" spans="1:27" x14ac:dyDescent="0.25">
      <c r="A97" s="22" t="str">
        <f>VLOOKUP(Youts[[#This Row],[Código]],BD_Produto[#All],7,FALSE)</f>
        <v>Fora de linha</v>
      </c>
      <c r="B9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7" s="23">
        <v>30100062074</v>
      </c>
      <c r="D97" s="22" t="s">
        <v>1249</v>
      </c>
      <c r="E97" s="22" t="str">
        <f>VLOOKUP(Youts[[#This Row],[Código]],BD_Produto[],3,FALSE)</f>
        <v>Storage Mídia</v>
      </c>
      <c r="F97" s="22" t="str">
        <f>VLOOKUP(Youts[[#This Row],[Código]],BD_Produto[],4,FALSE)</f>
        <v>Standard - DVD-R</v>
      </c>
      <c r="G97" s="24"/>
      <c r="H97" s="25"/>
      <c r="I97" s="22"/>
      <c r="J97" s="24"/>
      <c r="K97" s="24" t="str">
        <f>IFERROR(VLOOKUP(Youts[[#This Row],[Código]],Importação!P:R,3,FALSE),"")</f>
        <v/>
      </c>
      <c r="L97" s="24">
        <f>IFERROR(VLOOKUP(Youts[[#This Row],[Código]],Saldo[],3,FALSE),0)</f>
        <v>0</v>
      </c>
      <c r="M97" s="24">
        <f>SUM(Youts[[#This Row],[Produção]:[Estoque]])</f>
        <v>0</v>
      </c>
      <c r="N97" s="24" t="str">
        <f>IFERROR(Youts[[#This Row],[Estoque+Importação]]/Youts[[#This Row],[Proj. de V. No prox. mes]],"Sem Projeção")</f>
        <v>Sem Projeção</v>
      </c>
      <c r="O97" s="24" t="str">
        <f>IF(OR(Youts[[#This Row],[Status]]="Em Linha",Youts[[#This Row],[Status]]="Componente",Youts[[#This Row],[Status]]="Materia Prima"),Youts[[#This Row],[Proj. de V. No prox. mes]]*10,"-")</f>
        <v>-</v>
      </c>
      <c r="P9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7" s="83">
        <f>VLOOKUP(Youts[[#This Row],[Código]],Projeção[#All],15,FALSE)</f>
        <v>0</v>
      </c>
      <c r="R97" s="43">
        <f>VLOOKUP(Youts[[#This Row],[Código]],Projeção[#All],14,FALSE)</f>
        <v>0</v>
      </c>
      <c r="S97" s="39">
        <f>IFERROR(VLOOKUP(Youts[[#This Row],[Código]],Venda_mes[],2,FALSE),0)</f>
        <v>0</v>
      </c>
      <c r="T97" s="44" t="str">
        <f>IFERROR(Youts[[#This Row],[V. No mes]]/Youts[[#This Row],[Proj. de V. No mes]],"")</f>
        <v/>
      </c>
      <c r="U97" s="43">
        <f>VLOOKUP(Youts[[#This Row],[Código]],Projeção[#All],14,FALSE)+VLOOKUP(Youts[[#This Row],[Código]],Projeção[#All],13,FALSE)+VLOOKUP(Youts[[#This Row],[Código]],Projeção[#All],12,FALSE)</f>
        <v>0</v>
      </c>
      <c r="V97" s="39">
        <f>IFERROR(VLOOKUP(Youts[[#This Row],[Código]],Venda_3meses[],2,FALSE),0)</f>
        <v>0</v>
      </c>
      <c r="W97" s="44" t="str">
        <f>IFERROR(Youts[[#This Row],[V. 3 meses]]/Youts[[#This Row],[Proj. de V. 3 meses]],"")</f>
        <v/>
      </c>
      <c r="X9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97" s="39">
        <f>IFERROR(VLOOKUP(Youts[[#This Row],[Código]],Venda_12meses[],2,FALSE),0)</f>
        <v>0</v>
      </c>
      <c r="Z97" s="44" t="str">
        <f>IFERROR(Youts[[#This Row],[V. 12 meses]]/Youts[[#This Row],[Proj. de V. 12 meses]],"")</f>
        <v/>
      </c>
      <c r="AA97" s="22"/>
    </row>
    <row r="98" spans="1:27" x14ac:dyDescent="0.25">
      <c r="A98" s="22" t="str">
        <f>VLOOKUP(Youts[[#This Row],[Código]],BD_Produto[#All],7,FALSE)</f>
        <v>Fora de linha</v>
      </c>
      <c r="B9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8" s="23">
        <v>33105063095</v>
      </c>
      <c r="D98" s="22" t="s">
        <v>1040</v>
      </c>
      <c r="E98" s="22" t="str">
        <f>VLOOKUP(Youts[[#This Row],[Código]],BD_Produto[],3,FALSE)</f>
        <v>Mobile</v>
      </c>
      <c r="F98" s="22" t="str">
        <f>VLOOKUP(Youts[[#This Row],[Código]],BD_Produto[],4,FALSE)</f>
        <v>iPhone 4/4S</v>
      </c>
      <c r="G98" s="24"/>
      <c r="H98" s="25"/>
      <c r="I98" s="22"/>
      <c r="J98" s="24"/>
      <c r="K98" s="24" t="str">
        <f>IFERROR(VLOOKUP(Youts[[#This Row],[Código]],Importação!P:R,3,FALSE),"")</f>
        <v/>
      </c>
      <c r="L98" s="24">
        <f>IFERROR(VLOOKUP(Youts[[#This Row],[Código]],Saldo[],3,FALSE),0)</f>
        <v>0</v>
      </c>
      <c r="M98" s="24">
        <f>SUM(Youts[[#This Row],[Produção]:[Estoque]])</f>
        <v>0</v>
      </c>
      <c r="N98" s="24" t="str">
        <f>IFERROR(Youts[[#This Row],[Estoque+Importação]]/Youts[[#This Row],[Proj. de V. No prox. mes]],"Sem Projeção")</f>
        <v>Sem Projeção</v>
      </c>
      <c r="O98" s="24" t="str">
        <f>IF(OR(Youts[[#This Row],[Status]]="Em Linha",Youts[[#This Row],[Status]]="Componente",Youts[[#This Row],[Status]]="Materia Prima"),Youts[[#This Row],[Proj. de V. No prox. mes]]*10,"-")</f>
        <v>-</v>
      </c>
      <c r="P9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8" s="83">
        <f>VLOOKUP(Youts[[#This Row],[Código]],Projeção[#All],15,FALSE)</f>
        <v>0</v>
      </c>
      <c r="R98" s="43">
        <f>VLOOKUP(Youts[[#This Row],[Código]],Projeção[#All],14,FALSE)</f>
        <v>0</v>
      </c>
      <c r="S98" s="39">
        <f>IFERROR(VLOOKUP(Youts[[#This Row],[Código]],Venda_mes[],2,FALSE),0)</f>
        <v>0</v>
      </c>
      <c r="T98" s="44" t="str">
        <f>IFERROR(Youts[[#This Row],[V. No mes]]/Youts[[#This Row],[Proj. de V. No mes]],"")</f>
        <v/>
      </c>
      <c r="U98" s="43">
        <f>VLOOKUP(Youts[[#This Row],[Código]],Projeção[#All],14,FALSE)+VLOOKUP(Youts[[#This Row],[Código]],Projeção[#All],13,FALSE)+VLOOKUP(Youts[[#This Row],[Código]],Projeção[#All],12,FALSE)</f>
        <v>0</v>
      </c>
      <c r="V98" s="39">
        <f>IFERROR(VLOOKUP(Youts[[#This Row],[Código]],Venda_3meses[],2,FALSE),0)</f>
        <v>0</v>
      </c>
      <c r="W98" s="44" t="str">
        <f>IFERROR(Youts[[#This Row],[V. 3 meses]]/Youts[[#This Row],[Proj. de V. 3 meses]],"")</f>
        <v/>
      </c>
      <c r="X9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0.13333333333333333</v>
      </c>
      <c r="Y98" s="39">
        <f>IFERROR(VLOOKUP(Youts[[#This Row],[Código]],Venda_12meses[],2,FALSE),0)</f>
        <v>0</v>
      </c>
      <c r="Z98" s="44">
        <f>IFERROR(Youts[[#This Row],[V. 12 meses]]/Youts[[#This Row],[Proj. de V. 12 meses]],"")</f>
        <v>0</v>
      </c>
      <c r="AA98" s="22" t="s">
        <v>1723</v>
      </c>
    </row>
    <row r="99" spans="1:27" x14ac:dyDescent="0.25">
      <c r="A99" s="22" t="str">
        <f>VLOOKUP(Youts[[#This Row],[Código]],BD_Produto[#All],7,FALSE)</f>
        <v>Fora de linha</v>
      </c>
      <c r="B9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99" s="23">
        <v>30100061449</v>
      </c>
      <c r="D99" s="22" t="s">
        <v>86</v>
      </c>
      <c r="E99" s="22" t="str">
        <f>VLOOKUP(Youts[[#This Row],[Código]],BD_Produto[],3,FALSE)</f>
        <v>Storage Mídia</v>
      </c>
      <c r="F99" s="22" t="str">
        <f>VLOOKUP(Youts[[#This Row],[Código]],BD_Produto[],4,FALSE)</f>
        <v>Colorful - DVD-R</v>
      </c>
      <c r="G99" s="24"/>
      <c r="H99" s="25"/>
      <c r="I99" s="22"/>
      <c r="J99" s="24"/>
      <c r="K99" s="24" t="str">
        <f>IFERROR(VLOOKUP(Youts[[#This Row],[Código]],Importação!P:R,3,FALSE),"")</f>
        <v/>
      </c>
      <c r="L99" s="24">
        <f>IFERROR(VLOOKUP(Youts[[#This Row],[Código]],Saldo[],3,FALSE),0)</f>
        <v>0</v>
      </c>
      <c r="M99" s="24">
        <f>SUM(Youts[[#This Row],[Produção]:[Estoque]])</f>
        <v>0</v>
      </c>
      <c r="N99" s="24">
        <f>IFERROR(Youts[[#This Row],[Estoque+Importação]]/Youts[[#This Row],[Proj. de V. No prox. mes]],"Sem Projeção")</f>
        <v>0</v>
      </c>
      <c r="O99" s="24" t="str">
        <f>IF(OR(Youts[[#This Row],[Status]]="Em Linha",Youts[[#This Row],[Status]]="Componente",Youts[[#This Row],[Status]]="Materia Prima"),Youts[[#This Row],[Proj. de V. No prox. mes]]*10,"-")</f>
        <v>-</v>
      </c>
      <c r="P9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99" s="34">
        <f>VLOOKUP(Youts[[#This Row],[Código]],Projeção[#All],15,FALSE)</f>
        <v>66.666666666666657</v>
      </c>
      <c r="R99" s="43">
        <f>VLOOKUP(Youts[[#This Row],[Código]],Projeção[#All],14,FALSE)</f>
        <v>734.23333333333346</v>
      </c>
      <c r="S99" s="39">
        <f>IFERROR(VLOOKUP(Youts[[#This Row],[Código]],Venda_mes[],2,FALSE),0)</f>
        <v>0</v>
      </c>
      <c r="T99" s="44">
        <f>IFERROR(Youts[[#This Row],[V. No mes]]/Youts[[#This Row],[Proj. de V. No mes]],"")</f>
        <v>0</v>
      </c>
      <c r="U99" s="43">
        <f>VLOOKUP(Youts[[#This Row],[Código]],Projeção[#All],14,FALSE)+VLOOKUP(Youts[[#This Row],[Código]],Projeção[#All],13,FALSE)+VLOOKUP(Youts[[#This Row],[Código]],Projeção[#All],12,FALSE)</f>
        <v>2604.5</v>
      </c>
      <c r="V99" s="39">
        <f>IFERROR(VLOOKUP(Youts[[#This Row],[Código]],Venda_3meses[],2,FALSE),0)</f>
        <v>0</v>
      </c>
      <c r="W99" s="44">
        <f>IFERROR(Youts[[#This Row],[V. 3 meses]]/Youts[[#This Row],[Proj. de V. 3 meses]],"")</f>
        <v>0</v>
      </c>
      <c r="X9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6204.4666666666662</v>
      </c>
      <c r="Y99" s="39">
        <f>IFERROR(VLOOKUP(Youts[[#This Row],[Código]],Venda_12meses[],2,FALSE),0)</f>
        <v>2000</v>
      </c>
      <c r="Z99" s="44">
        <f>IFERROR(Youts[[#This Row],[V. 12 meses]]/Youts[[#This Row],[Proj. de V. 12 meses]],"")</f>
        <v>0.32234841565753708</v>
      </c>
      <c r="AA99" s="22"/>
    </row>
    <row r="100" spans="1:27" x14ac:dyDescent="0.25">
      <c r="A100" s="22" t="str">
        <f>VLOOKUP(Youts[[#This Row],[Código]],BD_Produto[#All],7,FALSE)</f>
        <v>Fora de linha</v>
      </c>
      <c r="B10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0" s="23">
        <v>30100061451</v>
      </c>
      <c r="D100" s="22" t="s">
        <v>88</v>
      </c>
      <c r="E100" s="22" t="str">
        <f>VLOOKUP(Youts[[#This Row],[Código]],BD_Produto[],3,FALSE)</f>
        <v>Storage Mídia</v>
      </c>
      <c r="F100" s="22" t="str">
        <f>VLOOKUP(Youts[[#This Row],[Código]],BD_Produto[],4,FALSE)</f>
        <v>Colorful - DVD-R</v>
      </c>
      <c r="G100" s="24"/>
      <c r="H100" s="25"/>
      <c r="I100" s="22"/>
      <c r="J100" s="24"/>
      <c r="K100" s="24" t="str">
        <f>IFERROR(VLOOKUP(Youts[[#This Row],[Código]],Importação!P:R,3,FALSE),"")</f>
        <v/>
      </c>
      <c r="L100" s="24">
        <f>IFERROR(VLOOKUP(Youts[[#This Row],[Código]],Saldo[],3,FALSE),0)</f>
        <v>0</v>
      </c>
      <c r="M100" s="24">
        <f>SUM(Youts[[#This Row],[Produção]:[Estoque]])</f>
        <v>0</v>
      </c>
      <c r="N100" s="24">
        <f>IFERROR(Youts[[#This Row],[Estoque+Importação]]/Youts[[#This Row],[Proj. de V. No prox. mes]],"Sem Projeção")</f>
        <v>0</v>
      </c>
      <c r="O100" s="24" t="str">
        <f>IF(OR(Youts[[#This Row],[Status]]="Em Linha",Youts[[#This Row],[Status]]="Componente",Youts[[#This Row],[Status]]="Materia Prima"),Youts[[#This Row],[Proj. de V. No prox. mes]]*10,"-")</f>
        <v>-</v>
      </c>
      <c r="P10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0" s="34">
        <f>VLOOKUP(Youts[[#This Row],[Código]],Projeção[#All],15,FALSE)</f>
        <v>183.33333333333331</v>
      </c>
      <c r="R100" s="43">
        <f>VLOOKUP(Youts[[#This Row],[Código]],Projeção[#All],14,FALSE)</f>
        <v>1119.5333333333331</v>
      </c>
      <c r="S100" s="39">
        <f>IFERROR(VLOOKUP(Youts[[#This Row],[Código]],Venda_mes[],2,FALSE),0)</f>
        <v>0</v>
      </c>
      <c r="T100" s="44">
        <f>IFERROR(Youts[[#This Row],[V. No mes]]/Youts[[#This Row],[Proj. de V. No mes]],"")</f>
        <v>0</v>
      </c>
      <c r="U100" s="43">
        <f>VLOOKUP(Youts[[#This Row],[Código]],Projeção[#All],14,FALSE)+VLOOKUP(Youts[[#This Row],[Código]],Projeção[#All],13,FALSE)+VLOOKUP(Youts[[#This Row],[Código]],Projeção[#All],12,FALSE)</f>
        <v>4864.3333333333321</v>
      </c>
      <c r="V100" s="39">
        <f>IFERROR(VLOOKUP(Youts[[#This Row],[Código]],Venda_3meses[],2,FALSE),0)</f>
        <v>0</v>
      </c>
      <c r="W100" s="44">
        <f>IFERROR(Youts[[#This Row],[V. 3 meses]]/Youts[[#This Row],[Proj. de V. 3 meses]],"")</f>
        <v>0</v>
      </c>
      <c r="X10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6517.0666666666666</v>
      </c>
      <c r="Y100" s="39">
        <f>IFERROR(VLOOKUP(Youts[[#This Row],[Código]],Venda_12meses[],2,FALSE),0)</f>
        <v>5500</v>
      </c>
      <c r="Z100" s="44">
        <f>IFERROR(Youts[[#This Row],[V. 12 meses]]/Youts[[#This Row],[Proj. de V. 12 meses]],"")</f>
        <v>0.84393796800196408</v>
      </c>
      <c r="AA100" s="22"/>
    </row>
    <row r="101" spans="1:27" x14ac:dyDescent="0.25">
      <c r="A101" s="22" t="str">
        <f>VLOOKUP(Youts[[#This Row],[Código]],BD_Produto[#All],7,FALSE)</f>
        <v>Fora de linha</v>
      </c>
      <c r="B10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1" s="23">
        <v>30100061457</v>
      </c>
      <c r="D101" s="22" t="s">
        <v>92</v>
      </c>
      <c r="E101" s="22" t="str">
        <f>VLOOKUP(Youts[[#This Row],[Código]],BD_Produto[],3,FALSE)</f>
        <v>Storage Mídia</v>
      </c>
      <c r="F101" s="22" t="str">
        <f>VLOOKUP(Youts[[#This Row],[Código]],BD_Produto[],4,FALSE)</f>
        <v>Standard - Cake - DVD-R</v>
      </c>
      <c r="G101" s="24"/>
      <c r="H101" s="25"/>
      <c r="I101" s="22"/>
      <c r="J101" s="24"/>
      <c r="K101" s="24" t="str">
        <f>IFERROR(VLOOKUP(Youts[[#This Row],[Código]],Importação!P:R,3,FALSE),"")</f>
        <v/>
      </c>
      <c r="L101" s="24">
        <f>IFERROR(VLOOKUP(Youts[[#This Row],[Código]],Saldo[],3,FALSE),0)</f>
        <v>0</v>
      </c>
      <c r="M101" s="24">
        <f>SUM(Youts[[#This Row],[Produção]:[Estoque]])</f>
        <v>0</v>
      </c>
      <c r="N101" s="24" t="str">
        <f>IFERROR(Youts[[#This Row],[Estoque+Importação]]/Youts[[#This Row],[Proj. de V. No prox. mes]],"Sem Projeção")</f>
        <v>Sem Projeção</v>
      </c>
      <c r="O101" s="24" t="str">
        <f>IF(OR(Youts[[#This Row],[Status]]="Em Linha",Youts[[#This Row],[Status]]="Componente",Youts[[#This Row],[Status]]="Materia Prima"),Youts[[#This Row],[Proj. de V. No prox. mes]]*10,"-")</f>
        <v>-</v>
      </c>
      <c r="P10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1" s="34">
        <f>VLOOKUP(Youts[[#This Row],[Código]],Projeção[#All],15,FALSE)</f>
        <v>0</v>
      </c>
      <c r="R101" s="43">
        <f>VLOOKUP(Youts[[#This Row],[Código]],Projeção[#All],14,FALSE)</f>
        <v>372</v>
      </c>
      <c r="S101" s="39">
        <f>IFERROR(VLOOKUP(Youts[[#This Row],[Código]],Venda_mes[],2,FALSE),0)</f>
        <v>0</v>
      </c>
      <c r="T101" s="44">
        <f>IFERROR(Youts[[#This Row],[V. No mes]]/Youts[[#This Row],[Proj. de V. No mes]],"")</f>
        <v>0</v>
      </c>
      <c r="U101" s="43">
        <f>VLOOKUP(Youts[[#This Row],[Código]],Projeção[#All],14,FALSE)+VLOOKUP(Youts[[#This Row],[Código]],Projeção[#All],13,FALSE)+VLOOKUP(Youts[[#This Row],[Código]],Projeção[#All],12,FALSE)</f>
        <v>1377.3333333333335</v>
      </c>
      <c r="V101" s="39">
        <f>IFERROR(VLOOKUP(Youts[[#This Row],[Código]],Venda_3meses[],2,FALSE),0)</f>
        <v>0</v>
      </c>
      <c r="W101" s="44">
        <f>IFERROR(Youts[[#This Row],[V. 3 meses]]/Youts[[#This Row],[Proj. de V. 3 meses]],"")</f>
        <v>0</v>
      </c>
      <c r="X10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2350.666666666667</v>
      </c>
      <c r="Y101" s="39">
        <f>IFERROR(VLOOKUP(Youts[[#This Row],[Código]],Venda_12meses[],2,FALSE),0)</f>
        <v>0</v>
      </c>
      <c r="Z101" s="44">
        <f>IFERROR(Youts[[#This Row],[V. 12 meses]]/Youts[[#This Row],[Proj. de V. 12 meses]],"")</f>
        <v>0</v>
      </c>
      <c r="AA101" s="22"/>
    </row>
    <row r="102" spans="1:27" x14ac:dyDescent="0.25">
      <c r="A102" s="22" t="str">
        <f>VLOOKUP(Youts[[#This Row],[Código]],BD_Produto[#All],7,FALSE)</f>
        <v>Fora de linha</v>
      </c>
      <c r="B10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2" s="23">
        <v>30100061459</v>
      </c>
      <c r="D102" s="22" t="s">
        <v>93</v>
      </c>
      <c r="E102" s="22" t="str">
        <f>VLOOKUP(Youts[[#This Row],[Código]],BD_Produto[],3,FALSE)</f>
        <v>Storage Mídia</v>
      </c>
      <c r="F102" s="22" t="str">
        <f>VLOOKUP(Youts[[#This Row],[Código]],BD_Produto[],4,FALSE)</f>
        <v>Color Label - DVD-R</v>
      </c>
      <c r="G102" s="24"/>
      <c r="H102" s="25"/>
      <c r="I102" s="22"/>
      <c r="J102" s="24"/>
      <c r="K102" s="24" t="str">
        <f>IFERROR(VLOOKUP(Youts[[#This Row],[Código]],Importação!P:R,3,FALSE),"")</f>
        <v/>
      </c>
      <c r="L102" s="24">
        <f>IFERROR(VLOOKUP(Youts[[#This Row],[Código]],Saldo[],3,FALSE),0)</f>
        <v>0</v>
      </c>
      <c r="M102" s="24">
        <f>SUM(Youts[[#This Row],[Produção]:[Estoque]])</f>
        <v>0</v>
      </c>
      <c r="N102" s="24" t="str">
        <f>IFERROR(Youts[[#This Row],[Estoque+Importação]]/Youts[[#This Row],[Proj. de V. No prox. mes]],"Sem Projeção")</f>
        <v>Sem Projeção</v>
      </c>
      <c r="O102" s="24" t="str">
        <f>IF(OR(Youts[[#This Row],[Status]]="Em Linha",Youts[[#This Row],[Status]]="Componente",Youts[[#This Row],[Status]]="Materia Prima"),Youts[[#This Row],[Proj. de V. No prox. mes]]*10,"-")</f>
        <v>-</v>
      </c>
      <c r="P10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2" s="34">
        <f>VLOOKUP(Youts[[#This Row],[Código]],Projeção[#All],15,FALSE)</f>
        <v>0</v>
      </c>
      <c r="R102" s="43">
        <f>VLOOKUP(Youts[[#This Row],[Código]],Projeção[#All],14,FALSE)</f>
        <v>200.20000000000002</v>
      </c>
      <c r="S102" s="39">
        <f>IFERROR(VLOOKUP(Youts[[#This Row],[Código]],Venda_mes[],2,FALSE),0)</f>
        <v>0</v>
      </c>
      <c r="T102" s="44">
        <f>IFERROR(Youts[[#This Row],[V. No mes]]/Youts[[#This Row],[Proj. de V. No mes]],"")</f>
        <v>0</v>
      </c>
      <c r="U102" s="43">
        <f>VLOOKUP(Youts[[#This Row],[Código]],Projeção[#All],14,FALSE)+VLOOKUP(Youts[[#This Row],[Código]],Projeção[#All],13,FALSE)+VLOOKUP(Youts[[#This Row],[Código]],Projeção[#All],12,FALSE)</f>
        <v>734.06666666666672</v>
      </c>
      <c r="V102" s="39">
        <f>IFERROR(VLOOKUP(Youts[[#This Row],[Código]],Venda_3meses[],2,FALSE),0)</f>
        <v>0</v>
      </c>
      <c r="W102" s="44">
        <f>IFERROR(Youts[[#This Row],[V. 3 meses]]/Youts[[#This Row],[Proj. de V. 3 meses]],"")</f>
        <v>0</v>
      </c>
      <c r="X10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1067.7333333333333</v>
      </c>
      <c r="Y102" s="39">
        <f>IFERROR(VLOOKUP(Youts[[#This Row],[Código]],Venda_12meses[],2,FALSE),0)</f>
        <v>0</v>
      </c>
      <c r="Z102" s="44">
        <f>IFERROR(Youts[[#This Row],[V. 12 meses]]/Youts[[#This Row],[Proj. de V. 12 meses]],"")</f>
        <v>0</v>
      </c>
      <c r="AA102" s="22"/>
    </row>
    <row r="103" spans="1:27" x14ac:dyDescent="0.25">
      <c r="A103" s="22" t="str">
        <f>VLOOKUP(Youts[[#This Row],[Código]],BD_Produto[#All],7,FALSE)</f>
        <v>Fora de linha</v>
      </c>
      <c r="B10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3" s="23">
        <v>30100061445</v>
      </c>
      <c r="D103" s="22" t="s">
        <v>83</v>
      </c>
      <c r="E103" s="22" t="str">
        <f>VLOOKUP(Youts[[#This Row],[Código]],BD_Produto[],3,FALSE)</f>
        <v>Storage Mídia</v>
      </c>
      <c r="F103" s="22" t="str">
        <f>VLOOKUP(Youts[[#This Row],[Código]],BD_Produto[],4,FALSE)</f>
        <v>Color Label - CD-R</v>
      </c>
      <c r="G103" s="24"/>
      <c r="H103" s="25"/>
      <c r="I103" s="22"/>
      <c r="J103" s="24"/>
      <c r="K103" s="24" t="str">
        <f>IFERROR(VLOOKUP(Youts[[#This Row],[Código]],Importação!P:R,3,FALSE),"")</f>
        <v/>
      </c>
      <c r="L103" s="24">
        <f>IFERROR(VLOOKUP(Youts[[#This Row],[Código]],Saldo[],3,FALSE),0)</f>
        <v>0</v>
      </c>
      <c r="M103" s="24">
        <f>SUM(Youts[[#This Row],[Produção]:[Estoque]])</f>
        <v>0</v>
      </c>
      <c r="N103" s="24" t="str">
        <f>IFERROR(Youts[[#This Row],[Estoque+Importação]]/Youts[[#This Row],[Proj. de V. No prox. mes]],"Sem Projeção")</f>
        <v>Sem Projeção</v>
      </c>
      <c r="O103" s="24" t="str">
        <f>IF(OR(Youts[[#This Row],[Status]]="Em Linha",Youts[[#This Row],[Status]]="Componente",Youts[[#This Row],[Status]]="Materia Prima"),Youts[[#This Row],[Proj. de V. No prox. mes]]*10,"-")</f>
        <v>-</v>
      </c>
      <c r="P10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3" s="34">
        <f>VLOOKUP(Youts[[#This Row],[Código]],Projeção[#All],15,FALSE)</f>
        <v>0</v>
      </c>
      <c r="R103" s="43">
        <f>VLOOKUP(Youts[[#This Row],[Código]],Projeção[#All],14,FALSE)</f>
        <v>19.599999999999998</v>
      </c>
      <c r="S103" s="39">
        <f>IFERROR(VLOOKUP(Youts[[#This Row],[Código]],Venda_mes[],2,FALSE),0)</f>
        <v>0</v>
      </c>
      <c r="T103" s="44">
        <f>IFERROR(Youts[[#This Row],[V. No mes]]/Youts[[#This Row],[Proj. de V. No mes]],"")</f>
        <v>0</v>
      </c>
      <c r="U103" s="43">
        <f>VLOOKUP(Youts[[#This Row],[Código]],Projeção[#All],14,FALSE)+VLOOKUP(Youts[[#This Row],[Código]],Projeção[#All],13,FALSE)+VLOOKUP(Youts[[#This Row],[Código]],Projeção[#All],12,FALSE)</f>
        <v>71.866666666666646</v>
      </c>
      <c r="V103" s="39">
        <f>IFERROR(VLOOKUP(Youts[[#This Row],[Código]],Venda_3meses[],2,FALSE),0)</f>
        <v>0</v>
      </c>
      <c r="W103" s="44">
        <f>IFERROR(Youts[[#This Row],[V. 3 meses]]/Youts[[#This Row],[Proj. de V. 3 meses]],"")</f>
        <v>0</v>
      </c>
      <c r="X10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104.5333333333333</v>
      </c>
      <c r="Y103" s="39">
        <f>IFERROR(VLOOKUP(Youts[[#This Row],[Código]],Venda_12meses[],2,FALSE),0)</f>
        <v>0</v>
      </c>
      <c r="Z103" s="44">
        <f>IFERROR(Youts[[#This Row],[V. 12 meses]]/Youts[[#This Row],[Proj. de V. 12 meses]],"")</f>
        <v>0</v>
      </c>
      <c r="AA103" s="22"/>
    </row>
    <row r="104" spans="1:27" x14ac:dyDescent="0.25">
      <c r="A104" s="22" t="str">
        <f>VLOOKUP(Youts[[#This Row],[Código]],BD_Produto[#All],7,FALSE)</f>
        <v>Fora de linha</v>
      </c>
      <c r="B10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4" s="23">
        <v>30100061447</v>
      </c>
      <c r="D104" s="22" t="s">
        <v>84</v>
      </c>
      <c r="E104" s="22" t="str">
        <f>VLOOKUP(Youts[[#This Row],[Código]],BD_Produto[],3,FALSE)</f>
        <v>Storage Mídia</v>
      </c>
      <c r="F104" s="22" t="str">
        <f>VLOOKUP(Youts[[#This Row],[Código]],BD_Produto[],4,FALSE)</f>
        <v>Colorful - DVD-R</v>
      </c>
      <c r="G104" s="24"/>
      <c r="H104" s="25"/>
      <c r="I104" s="22"/>
      <c r="J104" s="24"/>
      <c r="K104" s="24" t="str">
        <f>IFERROR(VLOOKUP(Youts[[#This Row],[Código]],Importação!P:R,3,FALSE),"")</f>
        <v/>
      </c>
      <c r="L104" s="24">
        <f>IFERROR(VLOOKUP(Youts[[#This Row],[Código]],Saldo[],3,FALSE),0)</f>
        <v>0</v>
      </c>
      <c r="M104" s="24">
        <f>SUM(Youts[[#This Row],[Produção]:[Estoque]])</f>
        <v>0</v>
      </c>
      <c r="N104" s="24" t="str">
        <f>IFERROR(Youts[[#This Row],[Estoque+Importação]]/Youts[[#This Row],[Proj. de V. No prox. mes]],"Sem Projeção")</f>
        <v>Sem Projeção</v>
      </c>
      <c r="O104" s="24" t="str">
        <f>IF(OR(Youts[[#This Row],[Status]]="Em Linha",Youts[[#This Row],[Status]]="Componente",Youts[[#This Row],[Status]]="Materia Prima"),Youts[[#This Row],[Proj. de V. No prox. mes]]*10,"-")</f>
        <v>-</v>
      </c>
      <c r="P10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4" s="83">
        <f>VLOOKUP(Youts[[#This Row],[Código]],Projeção[#All],15,FALSE)</f>
        <v>0</v>
      </c>
      <c r="R104" s="43">
        <f>VLOOKUP(Youts[[#This Row],[Código]],Projeção[#All],14,FALSE)</f>
        <v>17.633333333333333</v>
      </c>
      <c r="S104" s="39">
        <f>IFERROR(VLOOKUP(Youts[[#This Row],[Código]],Venda_mes[],2,FALSE),0)</f>
        <v>0</v>
      </c>
      <c r="T104" s="44">
        <f>IFERROR(Youts[[#This Row],[V. No mes]]/Youts[[#This Row],[Proj. de V. No mes]],"")</f>
        <v>0</v>
      </c>
      <c r="U104" s="43">
        <f>VLOOKUP(Youts[[#This Row],[Código]],Projeção[#All],14,FALSE)+VLOOKUP(Youts[[#This Row],[Código]],Projeção[#All],13,FALSE)+VLOOKUP(Youts[[#This Row],[Código]],Projeção[#All],12,FALSE)</f>
        <v>88.166666666666657</v>
      </c>
      <c r="V104" s="39">
        <f>IFERROR(VLOOKUP(Youts[[#This Row],[Código]],Venda_3meses[],2,FALSE),0)</f>
        <v>0</v>
      </c>
      <c r="W104" s="44">
        <f>IFERROR(Youts[[#This Row],[V. 3 meses]]/Youts[[#This Row],[Proj. de V. 3 meses]],"")</f>
        <v>0</v>
      </c>
      <c r="X10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2763.9333333333334</v>
      </c>
      <c r="Y104" s="39">
        <f>IFERROR(VLOOKUP(Youts[[#This Row],[Código]],Venda_12meses[],2,FALSE),0)</f>
        <v>0</v>
      </c>
      <c r="Z104" s="44">
        <f>IFERROR(Youts[[#This Row],[V. 12 meses]]/Youts[[#This Row],[Proj. de V. 12 meses]],"")</f>
        <v>0</v>
      </c>
      <c r="AA104" s="22"/>
    </row>
    <row r="105" spans="1:27" x14ac:dyDescent="0.25">
      <c r="A105" s="22" t="str">
        <f>VLOOKUP(Youts[[#This Row],[Código]],BD_Produto[#All],7,FALSE)</f>
        <v>Fora de linha</v>
      </c>
      <c r="B10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5" s="23">
        <v>30100062817</v>
      </c>
      <c r="D105" s="22" t="s">
        <v>946</v>
      </c>
      <c r="E105" s="22" t="str">
        <f>VLOOKUP(Youts[[#This Row],[Código]],BD_Produto[],3,FALSE)</f>
        <v>Storage Mídia</v>
      </c>
      <c r="F105" s="22" t="str">
        <f>VLOOKUP(Youts[[#This Row],[Código]],BD_Produto[],4,FALSE)</f>
        <v>Rock in Rio - Colorful - DVD-R</v>
      </c>
      <c r="G105" s="24"/>
      <c r="H105" s="25"/>
      <c r="I105" s="22"/>
      <c r="J105" s="24"/>
      <c r="K105" s="24" t="str">
        <f>IFERROR(VLOOKUP(Youts[[#This Row],[Código]],Importação!P:R,3,FALSE),"")</f>
        <v/>
      </c>
      <c r="L105" s="24">
        <f>IFERROR(VLOOKUP(Youts[[#This Row],[Código]],Saldo[],3,FALSE),0)</f>
        <v>0</v>
      </c>
      <c r="M105" s="24">
        <f>SUM(Youts[[#This Row],[Produção]:[Estoque]])</f>
        <v>0</v>
      </c>
      <c r="N105" s="24" t="str">
        <f>IFERROR(Youts[[#This Row],[Estoque+Importação]]/Youts[[#This Row],[Proj. de V. No prox. mes]],"Sem Projeção")</f>
        <v>Sem Projeção</v>
      </c>
      <c r="O105" s="24" t="str">
        <f>IF(OR(Youts[[#This Row],[Status]]="Em Linha",Youts[[#This Row],[Status]]="Componente",Youts[[#This Row],[Status]]="Materia Prima"),Youts[[#This Row],[Proj. de V. No prox. mes]]*10,"-")</f>
        <v>-</v>
      </c>
      <c r="P10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5" s="83">
        <f>VLOOKUP(Youts[[#This Row],[Código]],Projeção[#All],15,FALSE)</f>
        <v>0</v>
      </c>
      <c r="R105" s="43">
        <f>VLOOKUP(Youts[[#This Row],[Código]],Projeção[#All],14,FALSE)</f>
        <v>0.83333333333333337</v>
      </c>
      <c r="S105" s="39">
        <f>IFERROR(VLOOKUP(Youts[[#This Row],[Código]],Venda_mes[],2,FALSE),0)</f>
        <v>0</v>
      </c>
      <c r="T105" s="44">
        <f>IFERROR(Youts[[#This Row],[V. No mes]]/Youts[[#This Row],[Proj. de V. No mes]],"")</f>
        <v>0</v>
      </c>
      <c r="U105" s="43">
        <f>VLOOKUP(Youts[[#This Row],[Código]],Projeção[#All],14,FALSE)+VLOOKUP(Youts[[#This Row],[Código]],Projeção[#All],13,FALSE)+VLOOKUP(Youts[[#This Row],[Código]],Projeção[#All],12,FALSE)</f>
        <v>4.166666666666667</v>
      </c>
      <c r="V105" s="39">
        <f>IFERROR(VLOOKUP(Youts[[#This Row],[Código]],Venda_3meses[],2,FALSE),0)</f>
        <v>0</v>
      </c>
      <c r="W105" s="44">
        <f>IFERROR(Youts[[#This Row],[V. 3 meses]]/Youts[[#This Row],[Proj. de V. 3 meses]],"")</f>
        <v>0</v>
      </c>
      <c r="X10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35</v>
      </c>
      <c r="Y105" s="39">
        <f>IFERROR(VLOOKUP(Youts[[#This Row],[Código]],Venda_12meses[],2,FALSE),0)</f>
        <v>0</v>
      </c>
      <c r="Z105" s="44">
        <f>IFERROR(Youts[[#This Row],[V. 12 meses]]/Youts[[#This Row],[Proj. de V. 12 meses]],"")</f>
        <v>0</v>
      </c>
      <c r="AA105" s="22"/>
    </row>
    <row r="106" spans="1:27" x14ac:dyDescent="0.25">
      <c r="A106" s="22" t="str">
        <f>VLOOKUP(Youts[[#This Row],[Código]],BD_Produto[#All],7,FALSE)</f>
        <v>Fora de linha</v>
      </c>
      <c r="B10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6" s="23">
        <v>30100062772</v>
      </c>
      <c r="D106" s="22" t="s">
        <v>945</v>
      </c>
      <c r="E106" s="22" t="str">
        <f>VLOOKUP(Youts[[#This Row],[Código]],BD_Produto[],3,FALSE)</f>
        <v>Storage Mídia</v>
      </c>
      <c r="F106" s="22" t="str">
        <f>VLOOKUP(Youts[[#This Row],[Código]],BD_Produto[],4,FALSE)</f>
        <v>Rock in Rio - Colorful - DVD-R</v>
      </c>
      <c r="G106" s="24"/>
      <c r="H106" s="25"/>
      <c r="I106" s="22"/>
      <c r="J106" s="24"/>
      <c r="K106" s="24" t="str">
        <f>IFERROR(VLOOKUP(Youts[[#This Row],[Código]],Importação!P:R,3,FALSE),"")</f>
        <v/>
      </c>
      <c r="L106" s="24">
        <f>IFERROR(VLOOKUP(Youts[[#This Row],[Código]],Saldo[],3,FALSE),0)</f>
        <v>0</v>
      </c>
      <c r="M106" s="24">
        <f>SUM(Youts[[#This Row],[Produção]:[Estoque]])</f>
        <v>0</v>
      </c>
      <c r="N106" s="24" t="str">
        <f>IFERROR(Youts[[#This Row],[Estoque+Importação]]/Youts[[#This Row],[Proj. de V. No prox. mes]],"Sem Projeção")</f>
        <v>Sem Projeção</v>
      </c>
      <c r="O106" s="24" t="str">
        <f>IF(OR(Youts[[#This Row],[Status]]="Em Linha",Youts[[#This Row],[Status]]="Componente",Youts[[#This Row],[Status]]="Materia Prima"),Youts[[#This Row],[Proj. de V. No prox. mes]]*10,"-")</f>
        <v>-</v>
      </c>
      <c r="P10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6" s="83">
        <f>VLOOKUP(Youts[[#This Row],[Código]],Projeção[#All],15,FALSE)</f>
        <v>0</v>
      </c>
      <c r="R106" s="43">
        <f>VLOOKUP(Youts[[#This Row],[Código]],Projeção[#All],14,FALSE)</f>
        <v>0.66666666666666663</v>
      </c>
      <c r="S106" s="39">
        <f>IFERROR(VLOOKUP(Youts[[#This Row],[Código]],Venda_mes[],2,FALSE),0)</f>
        <v>0</v>
      </c>
      <c r="T106" s="44">
        <f>IFERROR(Youts[[#This Row],[V. No mes]]/Youts[[#This Row],[Proj. de V. No mes]],"")</f>
        <v>0</v>
      </c>
      <c r="U106" s="43">
        <f>VLOOKUP(Youts[[#This Row],[Código]],Projeção[#All],14,FALSE)+VLOOKUP(Youts[[#This Row],[Código]],Projeção[#All],13,FALSE)+VLOOKUP(Youts[[#This Row],[Código]],Projeção[#All],12,FALSE)</f>
        <v>3.333333333333333</v>
      </c>
      <c r="V106" s="39">
        <f>IFERROR(VLOOKUP(Youts[[#This Row],[Código]],Venda_3meses[],2,FALSE),0)</f>
        <v>0</v>
      </c>
      <c r="W106" s="44">
        <f>IFERROR(Youts[[#This Row],[V. 3 meses]]/Youts[[#This Row],[Proj. de V. 3 meses]],"")</f>
        <v>0</v>
      </c>
      <c r="X10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06" s="39">
        <f>IFERROR(VLOOKUP(Youts[[#This Row],[Código]],Venda_12meses[],2,FALSE),0)</f>
        <v>0</v>
      </c>
      <c r="Z106" s="44">
        <f>IFERROR(Youts[[#This Row],[V. 12 meses]]/Youts[[#This Row],[Proj. de V. 12 meses]],"")</f>
        <v>0</v>
      </c>
      <c r="AA106" s="22"/>
    </row>
    <row r="107" spans="1:27" x14ac:dyDescent="0.25">
      <c r="A107" s="22" t="str">
        <f>VLOOKUP(Youts[[#This Row],[Código]],BD_Produto[#All],7,FALSE)</f>
        <v>Fora de linha</v>
      </c>
      <c r="B10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7" s="23">
        <v>30100062773</v>
      </c>
      <c r="D107" s="22" t="s">
        <v>944</v>
      </c>
      <c r="E107" s="22" t="str">
        <f>VLOOKUP(Youts[[#This Row],[Código]],BD_Produto[],3,FALSE)</f>
        <v>Storage Mídia</v>
      </c>
      <c r="F107" s="22" t="str">
        <f>VLOOKUP(Youts[[#This Row],[Código]],BD_Produto[],4,FALSE)</f>
        <v>Rock in Rio - Colorful - DVD-R</v>
      </c>
      <c r="G107" s="24"/>
      <c r="H107" s="25"/>
      <c r="I107" s="22"/>
      <c r="J107" s="24"/>
      <c r="K107" s="24" t="str">
        <f>IFERROR(VLOOKUP(Youts[[#This Row],[Código]],Importação!P:R,3,FALSE),"")</f>
        <v/>
      </c>
      <c r="L107" s="24">
        <f>IFERROR(VLOOKUP(Youts[[#This Row],[Código]],Saldo[],3,FALSE),0)</f>
        <v>0</v>
      </c>
      <c r="M107" s="24">
        <f>SUM(Youts[[#This Row],[Produção]:[Estoque]])</f>
        <v>0</v>
      </c>
      <c r="N107" s="24" t="str">
        <f>IFERROR(Youts[[#This Row],[Estoque+Importação]]/Youts[[#This Row],[Proj. de V. No prox. mes]],"Sem Projeção")</f>
        <v>Sem Projeção</v>
      </c>
      <c r="O107" s="24" t="str">
        <f>IF(OR(Youts[[#This Row],[Status]]="Em Linha",Youts[[#This Row],[Status]]="Componente",Youts[[#This Row],[Status]]="Materia Prima"),Youts[[#This Row],[Proj. de V. No prox. mes]]*10,"-")</f>
        <v>-</v>
      </c>
      <c r="P10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7" s="75">
        <f>VLOOKUP(Youts[[#This Row],[Código]],Projeção[#All],15,FALSE)</f>
        <v>0</v>
      </c>
      <c r="R107" s="39">
        <f>VLOOKUP(Youts[[#This Row],[Código]],Projeção[#All],14,FALSE)</f>
        <v>0.66666666666666663</v>
      </c>
      <c r="S107" s="39">
        <f>IFERROR(VLOOKUP(Youts[[#This Row],[Código]],Venda_mes[],2,FALSE),0)</f>
        <v>0</v>
      </c>
      <c r="T107" s="44">
        <f>IFERROR(Youts[[#This Row],[V. No mes]]/Youts[[#This Row],[Proj. de V. No mes]],"")</f>
        <v>0</v>
      </c>
      <c r="U107" s="43">
        <f>VLOOKUP(Youts[[#This Row],[Código]],Projeção[#All],14,FALSE)+VLOOKUP(Youts[[#This Row],[Código]],Projeção[#All],13,FALSE)+VLOOKUP(Youts[[#This Row],[Código]],Projeção[#All],12,FALSE)</f>
        <v>3.333333333333333</v>
      </c>
      <c r="V107" s="39">
        <f>IFERROR(VLOOKUP(Youts[[#This Row],[Código]],Venda_3meses[],2,FALSE),0)</f>
        <v>0</v>
      </c>
      <c r="W107" s="44">
        <f>IFERROR(Youts[[#This Row],[V. 3 meses]]/Youts[[#This Row],[Proj. de V. 3 meses]],"")</f>
        <v>0</v>
      </c>
      <c r="X10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07" s="39">
        <f>IFERROR(VLOOKUP(Youts[[#This Row],[Código]],Venda_12meses[],2,FALSE),0)</f>
        <v>0</v>
      </c>
      <c r="Z107" s="44">
        <f>IFERROR(Youts[[#This Row],[V. 12 meses]]/Youts[[#This Row],[Proj. de V. 12 meses]],"")</f>
        <v>0</v>
      </c>
      <c r="AA107" s="22"/>
    </row>
    <row r="108" spans="1:27" x14ac:dyDescent="0.25">
      <c r="A108" s="22" t="str">
        <f>VLOOKUP(Youts[[#This Row],[Código]],BD_Produto[#All],7,FALSE)</f>
        <v>Fora de linha</v>
      </c>
      <c r="B10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8" s="23">
        <v>30100062774</v>
      </c>
      <c r="D108" s="22" t="s">
        <v>943</v>
      </c>
      <c r="E108" s="22" t="str">
        <f>VLOOKUP(Youts[[#This Row],[Código]],BD_Produto[],3,FALSE)</f>
        <v>Storage Mídia</v>
      </c>
      <c r="F108" s="22" t="str">
        <f>VLOOKUP(Youts[[#This Row],[Código]],BD_Produto[],4,FALSE)</f>
        <v>Rock in Rio - Colorful - DVD-R</v>
      </c>
      <c r="G108" s="24"/>
      <c r="H108" s="25"/>
      <c r="I108" s="22"/>
      <c r="J108" s="24"/>
      <c r="K108" s="24" t="str">
        <f>IFERROR(VLOOKUP(Youts[[#This Row],[Código]],Importação!P:R,3,FALSE),"")</f>
        <v/>
      </c>
      <c r="L108" s="24">
        <f>IFERROR(VLOOKUP(Youts[[#This Row],[Código]],Saldo[],3,FALSE),0)</f>
        <v>0</v>
      </c>
      <c r="M108" s="24">
        <f>SUM(Youts[[#This Row],[Produção]:[Estoque]])</f>
        <v>0</v>
      </c>
      <c r="N108" s="24" t="str">
        <f>IFERROR(Youts[[#This Row],[Estoque+Importação]]/Youts[[#This Row],[Proj. de V. No prox. mes]],"Sem Projeção")</f>
        <v>Sem Projeção</v>
      </c>
      <c r="O108" s="24" t="str">
        <f>IF(OR(Youts[[#This Row],[Status]]="Em Linha",Youts[[#This Row],[Status]]="Componente",Youts[[#This Row],[Status]]="Materia Prima"),Youts[[#This Row],[Proj. de V. No prox. mes]]*10,"-")</f>
        <v>-</v>
      </c>
      <c r="P10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8" s="83">
        <f>VLOOKUP(Youts[[#This Row],[Código]],Projeção[#All],15,FALSE)</f>
        <v>0</v>
      </c>
      <c r="R108" s="43">
        <f>VLOOKUP(Youts[[#This Row],[Código]],Projeção[#All],14,FALSE)</f>
        <v>0.66666666666666663</v>
      </c>
      <c r="S108" s="39">
        <f>IFERROR(VLOOKUP(Youts[[#This Row],[Código]],Venda_mes[],2,FALSE),0)</f>
        <v>0</v>
      </c>
      <c r="T108" s="44">
        <f>IFERROR(Youts[[#This Row],[V. No mes]]/Youts[[#This Row],[Proj. de V. No mes]],"")</f>
        <v>0</v>
      </c>
      <c r="U108" s="43">
        <f>VLOOKUP(Youts[[#This Row],[Código]],Projeção[#All],14,FALSE)+VLOOKUP(Youts[[#This Row],[Código]],Projeção[#All],13,FALSE)+VLOOKUP(Youts[[#This Row],[Código]],Projeção[#All],12,FALSE)</f>
        <v>3.333333333333333</v>
      </c>
      <c r="V108" s="39">
        <f>IFERROR(VLOOKUP(Youts[[#This Row],[Código]],Venda_3meses[],2,FALSE),0)</f>
        <v>0</v>
      </c>
      <c r="W108" s="44">
        <f>IFERROR(Youts[[#This Row],[V. 3 meses]]/Youts[[#This Row],[Proj. de V. 3 meses]],"")</f>
        <v>0</v>
      </c>
      <c r="X10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08" s="39">
        <f>IFERROR(VLOOKUP(Youts[[#This Row],[Código]],Venda_12meses[],2,FALSE),0)</f>
        <v>0</v>
      </c>
      <c r="Z108" s="44">
        <f>IFERROR(Youts[[#This Row],[V. 12 meses]]/Youts[[#This Row],[Proj. de V. 12 meses]],"")</f>
        <v>0</v>
      </c>
      <c r="AA108" s="22"/>
    </row>
    <row r="109" spans="1:27" x14ac:dyDescent="0.25">
      <c r="A109" s="22" t="str">
        <f>VLOOKUP(Youts[[#This Row],[Código]],BD_Produto[#All],7,FALSE)</f>
        <v>Fora de linha</v>
      </c>
      <c r="B10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09" s="23">
        <v>30100062771</v>
      </c>
      <c r="D109" s="22" t="s">
        <v>942</v>
      </c>
      <c r="E109" s="22" t="str">
        <f>VLOOKUP(Youts[[#This Row],[Código]],BD_Produto[],3,FALSE)</f>
        <v>Storage Mídia</v>
      </c>
      <c r="F109" s="22" t="str">
        <f>VLOOKUP(Youts[[#This Row],[Código]],BD_Produto[],4,FALSE)</f>
        <v>Rock in Rio - Colorful - DVD-R</v>
      </c>
      <c r="G109" s="24"/>
      <c r="H109" s="25"/>
      <c r="I109" s="22"/>
      <c r="J109" s="24"/>
      <c r="K109" s="24" t="str">
        <f>IFERROR(VLOOKUP(Youts[[#This Row],[Código]],Importação!P:R,3,FALSE),"")</f>
        <v/>
      </c>
      <c r="L109" s="24">
        <f>IFERROR(VLOOKUP(Youts[[#This Row],[Código]],Saldo[],3,FALSE),0)</f>
        <v>0</v>
      </c>
      <c r="M109" s="24">
        <f>SUM(Youts[[#This Row],[Produção]:[Estoque]])</f>
        <v>0</v>
      </c>
      <c r="N109" s="24" t="str">
        <f>IFERROR(Youts[[#This Row],[Estoque+Importação]]/Youts[[#This Row],[Proj. de V. No prox. mes]],"Sem Projeção")</f>
        <v>Sem Projeção</v>
      </c>
      <c r="O109" s="24" t="str">
        <f>IF(OR(Youts[[#This Row],[Status]]="Em Linha",Youts[[#This Row],[Status]]="Componente",Youts[[#This Row],[Status]]="Materia Prima"),Youts[[#This Row],[Proj. de V. No prox. mes]]*10,"-")</f>
        <v>-</v>
      </c>
      <c r="P10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09" s="83">
        <f>VLOOKUP(Youts[[#This Row],[Código]],Projeção[#All],15,FALSE)</f>
        <v>0</v>
      </c>
      <c r="R109" s="43">
        <f>VLOOKUP(Youts[[#This Row],[Código]],Projeção[#All],14,FALSE)</f>
        <v>0.66666666666666663</v>
      </c>
      <c r="S109" s="39">
        <f>IFERROR(VLOOKUP(Youts[[#This Row],[Código]],Venda_mes[],2,FALSE),0)</f>
        <v>0</v>
      </c>
      <c r="T109" s="44">
        <f>IFERROR(Youts[[#This Row],[V. No mes]]/Youts[[#This Row],[Proj. de V. No mes]],"")</f>
        <v>0</v>
      </c>
      <c r="U109" s="43">
        <f>VLOOKUP(Youts[[#This Row],[Código]],Projeção[#All],14,FALSE)+VLOOKUP(Youts[[#This Row],[Código]],Projeção[#All],13,FALSE)+VLOOKUP(Youts[[#This Row],[Código]],Projeção[#All],12,FALSE)</f>
        <v>3.333333333333333</v>
      </c>
      <c r="V109" s="39">
        <f>IFERROR(VLOOKUP(Youts[[#This Row],[Código]],Venda_3meses[],2,FALSE),0)</f>
        <v>0</v>
      </c>
      <c r="W109" s="44">
        <f>IFERROR(Youts[[#This Row],[V. 3 meses]]/Youts[[#This Row],[Proj. de V. 3 meses]],"")</f>
        <v>0</v>
      </c>
      <c r="X10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09" s="39">
        <f>IFERROR(VLOOKUP(Youts[[#This Row],[Código]],Venda_12meses[],2,FALSE),0)</f>
        <v>0</v>
      </c>
      <c r="Z109" s="44">
        <f>IFERROR(Youts[[#This Row],[V. 12 meses]]/Youts[[#This Row],[Proj. de V. 12 meses]],"")</f>
        <v>0</v>
      </c>
      <c r="AA109" s="22"/>
    </row>
    <row r="110" spans="1:27" x14ac:dyDescent="0.25">
      <c r="A110" s="22" t="str">
        <f>VLOOKUP(Youts[[#This Row],[Código]],BD_Produto[#All],7,FALSE)</f>
        <v>Fora de linha</v>
      </c>
      <c r="B11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0" s="23">
        <v>30100062770</v>
      </c>
      <c r="D110" s="22" t="s">
        <v>941</v>
      </c>
      <c r="E110" s="22" t="str">
        <f>VLOOKUP(Youts[[#This Row],[Código]],BD_Produto[],3,FALSE)</f>
        <v>Storage Mídia</v>
      </c>
      <c r="F110" s="22" t="str">
        <f>VLOOKUP(Youts[[#This Row],[Código]],BD_Produto[],4,FALSE)</f>
        <v>Rock in Rio - Colorful - DVD-R</v>
      </c>
      <c r="G110" s="24"/>
      <c r="H110" s="25"/>
      <c r="I110" s="22"/>
      <c r="J110" s="24"/>
      <c r="K110" s="24" t="str">
        <f>IFERROR(VLOOKUP(Youts[[#This Row],[Código]],Importação!P:R,3,FALSE),"")</f>
        <v/>
      </c>
      <c r="L110" s="24">
        <f>IFERROR(VLOOKUP(Youts[[#This Row],[Código]],Saldo[],3,FALSE),0)</f>
        <v>0</v>
      </c>
      <c r="M110" s="24">
        <f>SUM(Youts[[#This Row],[Produção]:[Estoque]])</f>
        <v>0</v>
      </c>
      <c r="N110" s="24" t="str">
        <f>IFERROR(Youts[[#This Row],[Estoque+Importação]]/Youts[[#This Row],[Proj. de V. No prox. mes]],"Sem Projeção")</f>
        <v>Sem Projeção</v>
      </c>
      <c r="O110" s="24" t="str">
        <f>IF(OR(Youts[[#This Row],[Status]]="Em Linha",Youts[[#This Row],[Status]]="Componente",Youts[[#This Row],[Status]]="Materia Prima"),Youts[[#This Row],[Proj. de V. No prox. mes]]*10,"-")</f>
        <v>-</v>
      </c>
      <c r="P11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0" s="83">
        <f>VLOOKUP(Youts[[#This Row],[Código]],Projeção[#All],15,FALSE)</f>
        <v>0</v>
      </c>
      <c r="R110" s="43">
        <f>VLOOKUP(Youts[[#This Row],[Código]],Projeção[#All],14,FALSE)</f>
        <v>0.66666666666666663</v>
      </c>
      <c r="S110" s="39">
        <f>IFERROR(VLOOKUP(Youts[[#This Row],[Código]],Venda_mes[],2,FALSE),0)</f>
        <v>0</v>
      </c>
      <c r="T110" s="44">
        <f>IFERROR(Youts[[#This Row],[V. No mes]]/Youts[[#This Row],[Proj. de V. No mes]],"")</f>
        <v>0</v>
      </c>
      <c r="U110" s="43">
        <f>VLOOKUP(Youts[[#This Row],[Código]],Projeção[#All],14,FALSE)+VLOOKUP(Youts[[#This Row],[Código]],Projeção[#All],13,FALSE)+VLOOKUP(Youts[[#This Row],[Código]],Projeção[#All],12,FALSE)</f>
        <v>3.333333333333333</v>
      </c>
      <c r="V110" s="39">
        <f>IFERROR(VLOOKUP(Youts[[#This Row],[Código]],Venda_3meses[],2,FALSE),0)</f>
        <v>0</v>
      </c>
      <c r="W110" s="44">
        <f>IFERROR(Youts[[#This Row],[V. 3 meses]]/Youts[[#This Row],[Proj. de V. 3 meses]],"")</f>
        <v>0</v>
      </c>
      <c r="X11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10" s="39">
        <f>IFERROR(VLOOKUP(Youts[[#This Row],[Código]],Venda_12meses[],2,FALSE),0)</f>
        <v>0</v>
      </c>
      <c r="Z110" s="44">
        <f>IFERROR(Youts[[#This Row],[V. 12 meses]]/Youts[[#This Row],[Proj. de V. 12 meses]],"")</f>
        <v>0</v>
      </c>
      <c r="AA110" s="22"/>
    </row>
    <row r="111" spans="1:27" x14ac:dyDescent="0.25">
      <c r="A111" s="22" t="str">
        <f>VLOOKUP(Youts[[#This Row],[Código]],BD_Produto[#All],7,FALSE)</f>
        <v>Fora de linha</v>
      </c>
      <c r="B11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1" s="23">
        <v>30100062761</v>
      </c>
      <c r="D111" s="22" t="s">
        <v>940</v>
      </c>
      <c r="E111" s="22" t="str">
        <f>VLOOKUP(Youts[[#This Row],[Código]],BD_Produto[],3,FALSE)</f>
        <v>Storage Mídia</v>
      </c>
      <c r="F111" s="22" t="str">
        <f>VLOOKUP(Youts[[#This Row],[Código]],BD_Produto[],4,FALSE)</f>
        <v>Rock in Rio - Colorful - CD-R</v>
      </c>
      <c r="G111" s="24"/>
      <c r="H111" s="25"/>
      <c r="I111" s="22"/>
      <c r="J111" s="24"/>
      <c r="K111" s="24" t="str">
        <f>IFERROR(VLOOKUP(Youts[[#This Row],[Código]],Importação!P:R,3,FALSE),"")</f>
        <v/>
      </c>
      <c r="L111" s="24">
        <f>IFERROR(VLOOKUP(Youts[[#This Row],[Código]],Saldo[],3,FALSE),0)</f>
        <v>0</v>
      </c>
      <c r="M111" s="24">
        <f>SUM(Youts[[#This Row],[Produção]:[Estoque]])</f>
        <v>0</v>
      </c>
      <c r="N111" s="24" t="str">
        <f>IFERROR(Youts[[#This Row],[Estoque+Importação]]/Youts[[#This Row],[Proj. de V. No prox. mes]],"Sem Projeção")</f>
        <v>Sem Projeção</v>
      </c>
      <c r="O111" s="24" t="str">
        <f>IF(OR(Youts[[#This Row],[Status]]="Em Linha",Youts[[#This Row],[Status]]="Componente",Youts[[#This Row],[Status]]="Materia Prima"),Youts[[#This Row],[Proj. de V. No prox. mes]]*10,"-")</f>
        <v>-</v>
      </c>
      <c r="P11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1" s="75">
        <f>VLOOKUP(Youts[[#This Row],[Código]],Projeção[#All],15,FALSE)</f>
        <v>0</v>
      </c>
      <c r="R111" s="39">
        <f>VLOOKUP(Youts[[#This Row],[Código]],Projeção[#All],14,FALSE)</f>
        <v>0.66666666666666663</v>
      </c>
      <c r="S111" s="39">
        <f>IFERROR(VLOOKUP(Youts[[#This Row],[Código]],Venda_mes[],2,FALSE),0)</f>
        <v>0</v>
      </c>
      <c r="T111" s="44">
        <f>IFERROR(Youts[[#This Row],[V. No mes]]/Youts[[#This Row],[Proj. de V. No mes]],"")</f>
        <v>0</v>
      </c>
      <c r="U111" s="43">
        <f>VLOOKUP(Youts[[#This Row],[Código]],Projeção[#All],14,FALSE)+VLOOKUP(Youts[[#This Row],[Código]],Projeção[#All],13,FALSE)+VLOOKUP(Youts[[#This Row],[Código]],Projeção[#All],12,FALSE)</f>
        <v>3.333333333333333</v>
      </c>
      <c r="V111" s="39">
        <f>IFERROR(VLOOKUP(Youts[[#This Row],[Código]],Venda_3meses[],2,FALSE),0)</f>
        <v>0</v>
      </c>
      <c r="W111" s="44">
        <f>IFERROR(Youts[[#This Row],[V. 3 meses]]/Youts[[#This Row],[Proj. de V. 3 meses]],"")</f>
        <v>0</v>
      </c>
      <c r="X11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11" s="39">
        <f>IFERROR(VLOOKUP(Youts[[#This Row],[Código]],Venda_12meses[],2,FALSE),0)</f>
        <v>0</v>
      </c>
      <c r="Z111" s="44">
        <f>IFERROR(Youts[[#This Row],[V. 12 meses]]/Youts[[#This Row],[Proj. de V. 12 meses]],"")</f>
        <v>0</v>
      </c>
      <c r="AA111" s="22"/>
    </row>
    <row r="112" spans="1:27" x14ac:dyDescent="0.25">
      <c r="A112" s="22" t="str">
        <f>VLOOKUP(Youts[[#This Row],[Código]],BD_Produto[#All],7,FALSE)</f>
        <v>Fora de linha</v>
      </c>
      <c r="B11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2" s="23">
        <v>30100062764</v>
      </c>
      <c r="D112" s="22" t="s">
        <v>939</v>
      </c>
      <c r="E112" s="22" t="str">
        <f>VLOOKUP(Youts[[#This Row],[Código]],BD_Produto[],3,FALSE)</f>
        <v>Storage Mídia</v>
      </c>
      <c r="F112" s="22" t="str">
        <f>VLOOKUP(Youts[[#This Row],[Código]],BD_Produto[],4,FALSE)</f>
        <v>Rock in Rio - Colorful - CD-R</v>
      </c>
      <c r="G112" s="24"/>
      <c r="H112" s="25"/>
      <c r="I112" s="22"/>
      <c r="J112" s="24"/>
      <c r="K112" s="24" t="str">
        <f>IFERROR(VLOOKUP(Youts[[#This Row],[Código]],Importação!P:R,3,FALSE),"")</f>
        <v/>
      </c>
      <c r="L112" s="24">
        <f>IFERROR(VLOOKUP(Youts[[#This Row],[Código]],Saldo[],3,FALSE),0)</f>
        <v>0</v>
      </c>
      <c r="M112" s="24">
        <f>SUM(Youts[[#This Row],[Produção]:[Estoque]])</f>
        <v>0</v>
      </c>
      <c r="N112" s="24" t="str">
        <f>IFERROR(Youts[[#This Row],[Estoque+Importação]]/Youts[[#This Row],[Proj. de V. No prox. mes]],"Sem Projeção")</f>
        <v>Sem Projeção</v>
      </c>
      <c r="O112" s="24" t="str">
        <f>IF(OR(Youts[[#This Row],[Status]]="Em Linha",Youts[[#This Row],[Status]]="Componente",Youts[[#This Row],[Status]]="Materia Prima"),Youts[[#This Row],[Proj. de V. No prox. mes]]*10,"-")</f>
        <v>-</v>
      </c>
      <c r="P11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2" s="83">
        <f>VLOOKUP(Youts[[#This Row],[Código]],Projeção[#All],15,FALSE)</f>
        <v>0</v>
      </c>
      <c r="R112" s="43">
        <f>VLOOKUP(Youts[[#This Row],[Código]],Projeção[#All],14,FALSE)</f>
        <v>0.66666666666666663</v>
      </c>
      <c r="S112" s="39">
        <f>IFERROR(VLOOKUP(Youts[[#This Row],[Código]],Venda_mes[],2,FALSE),0)</f>
        <v>0</v>
      </c>
      <c r="T112" s="44">
        <f>IFERROR(Youts[[#This Row],[V. No mes]]/Youts[[#This Row],[Proj. de V. No mes]],"")</f>
        <v>0</v>
      </c>
      <c r="U112" s="43">
        <f>VLOOKUP(Youts[[#This Row],[Código]],Projeção[#All],14,FALSE)+VLOOKUP(Youts[[#This Row],[Código]],Projeção[#All],13,FALSE)+VLOOKUP(Youts[[#This Row],[Código]],Projeção[#All],12,FALSE)</f>
        <v>3.333333333333333</v>
      </c>
      <c r="V112" s="39">
        <f>IFERROR(VLOOKUP(Youts[[#This Row],[Código]],Venda_3meses[],2,FALSE),0)</f>
        <v>0</v>
      </c>
      <c r="W112" s="44">
        <f>IFERROR(Youts[[#This Row],[V. 3 meses]]/Youts[[#This Row],[Proj. de V. 3 meses]],"")</f>
        <v>0</v>
      </c>
      <c r="X11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12" s="39">
        <f>IFERROR(VLOOKUP(Youts[[#This Row],[Código]],Venda_12meses[],2,FALSE),0)</f>
        <v>0</v>
      </c>
      <c r="Z112" s="44">
        <f>IFERROR(Youts[[#This Row],[V. 12 meses]]/Youts[[#This Row],[Proj. de V. 12 meses]],"")</f>
        <v>0</v>
      </c>
      <c r="AA112" s="22"/>
    </row>
    <row r="113" spans="1:27" x14ac:dyDescent="0.25">
      <c r="A113" s="22" t="str">
        <f>VLOOKUP(Youts[[#This Row],[Código]],BD_Produto[#All],7,FALSE)</f>
        <v>Fora de linha</v>
      </c>
      <c r="B11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3" s="23">
        <v>30100062763</v>
      </c>
      <c r="D113" s="22" t="s">
        <v>938</v>
      </c>
      <c r="E113" s="22" t="str">
        <f>VLOOKUP(Youts[[#This Row],[Código]],BD_Produto[],3,FALSE)</f>
        <v>Storage Mídia</v>
      </c>
      <c r="F113" s="22" t="str">
        <f>VLOOKUP(Youts[[#This Row],[Código]],BD_Produto[],4,FALSE)</f>
        <v>Rock in Rio - Colorful - CD-R</v>
      </c>
      <c r="G113" s="24"/>
      <c r="H113" s="25"/>
      <c r="I113" s="22"/>
      <c r="J113" s="24"/>
      <c r="K113" s="24" t="str">
        <f>IFERROR(VLOOKUP(Youts[[#This Row],[Código]],Importação!P:R,3,FALSE),"")</f>
        <v/>
      </c>
      <c r="L113" s="24">
        <f>IFERROR(VLOOKUP(Youts[[#This Row],[Código]],Saldo[],3,FALSE),0)</f>
        <v>0</v>
      </c>
      <c r="M113" s="24">
        <f>SUM(Youts[[#This Row],[Produção]:[Estoque]])</f>
        <v>0</v>
      </c>
      <c r="N113" s="24" t="str">
        <f>IFERROR(Youts[[#This Row],[Estoque+Importação]]/Youts[[#This Row],[Proj. de V. No prox. mes]],"Sem Projeção")</f>
        <v>Sem Projeção</v>
      </c>
      <c r="O113" s="24" t="str">
        <f>IF(OR(Youts[[#This Row],[Status]]="Em Linha",Youts[[#This Row],[Status]]="Componente",Youts[[#This Row],[Status]]="Materia Prima"),Youts[[#This Row],[Proj. de V. No prox. mes]]*10,"-")</f>
        <v>-</v>
      </c>
      <c r="P11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3" s="75">
        <f>VLOOKUP(Youts[[#This Row],[Código]],Projeção[#All],15,FALSE)</f>
        <v>0</v>
      </c>
      <c r="R113" s="39">
        <f>VLOOKUP(Youts[[#This Row],[Código]],Projeção[#All],14,FALSE)</f>
        <v>0.66666666666666663</v>
      </c>
      <c r="S113" s="39">
        <f>IFERROR(VLOOKUP(Youts[[#This Row],[Código]],Venda_mes[],2,FALSE),0)</f>
        <v>0</v>
      </c>
      <c r="T113" s="44">
        <f>IFERROR(Youts[[#This Row],[V. No mes]]/Youts[[#This Row],[Proj. de V. No mes]],"")</f>
        <v>0</v>
      </c>
      <c r="U113" s="43">
        <f>VLOOKUP(Youts[[#This Row],[Código]],Projeção[#All],14,FALSE)+VLOOKUP(Youts[[#This Row],[Código]],Projeção[#All],13,FALSE)+VLOOKUP(Youts[[#This Row],[Código]],Projeção[#All],12,FALSE)</f>
        <v>3.333333333333333</v>
      </c>
      <c r="V113" s="39">
        <f>IFERROR(VLOOKUP(Youts[[#This Row],[Código]],Venda_3meses[],2,FALSE),0)</f>
        <v>0</v>
      </c>
      <c r="W113" s="44">
        <f>IFERROR(Youts[[#This Row],[V. 3 meses]]/Youts[[#This Row],[Proj. de V. 3 meses]],"")</f>
        <v>0</v>
      </c>
      <c r="X11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13" s="39">
        <f>IFERROR(VLOOKUP(Youts[[#This Row],[Código]],Venda_12meses[],2,FALSE),0)</f>
        <v>0</v>
      </c>
      <c r="Z113" s="44">
        <f>IFERROR(Youts[[#This Row],[V. 12 meses]]/Youts[[#This Row],[Proj. de V. 12 meses]],"")</f>
        <v>0</v>
      </c>
      <c r="AA113" s="22"/>
    </row>
    <row r="114" spans="1:27" x14ac:dyDescent="0.25">
      <c r="A114" s="22" t="str">
        <f>VLOOKUP(Youts[[#This Row],[Código]],BD_Produto[#All],7,FALSE)</f>
        <v>Fora de linha</v>
      </c>
      <c r="B11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4" s="23">
        <v>30100062762</v>
      </c>
      <c r="D114" s="22" t="s">
        <v>937</v>
      </c>
      <c r="E114" s="22" t="str">
        <f>VLOOKUP(Youts[[#This Row],[Código]],BD_Produto[],3,FALSE)</f>
        <v>Storage Mídia</v>
      </c>
      <c r="F114" s="22" t="str">
        <f>VLOOKUP(Youts[[#This Row],[Código]],BD_Produto[],4,FALSE)</f>
        <v>Rock in Rio - Colorful - CD-R</v>
      </c>
      <c r="G114" s="24"/>
      <c r="H114" s="25"/>
      <c r="I114" s="22"/>
      <c r="J114" s="24"/>
      <c r="K114" s="24" t="str">
        <f>IFERROR(VLOOKUP(Youts[[#This Row],[Código]],Importação!P:R,3,FALSE),"")</f>
        <v/>
      </c>
      <c r="L114" s="24">
        <f>IFERROR(VLOOKUP(Youts[[#This Row],[Código]],Saldo[],3,FALSE),0)</f>
        <v>0</v>
      </c>
      <c r="M114" s="24">
        <f>SUM(Youts[[#This Row],[Produção]:[Estoque]])</f>
        <v>0</v>
      </c>
      <c r="N114" s="24" t="str">
        <f>IFERROR(Youts[[#This Row],[Estoque+Importação]]/Youts[[#This Row],[Proj. de V. No prox. mes]],"Sem Projeção")</f>
        <v>Sem Projeção</v>
      </c>
      <c r="O114" s="24" t="str">
        <f>IF(OR(Youts[[#This Row],[Status]]="Em Linha",Youts[[#This Row],[Status]]="Componente",Youts[[#This Row],[Status]]="Materia Prima"),Youts[[#This Row],[Proj. de V. No prox. mes]]*10,"-")</f>
        <v>-</v>
      </c>
      <c r="P11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4" s="83">
        <f>VLOOKUP(Youts[[#This Row],[Código]],Projeção[#All],15,FALSE)</f>
        <v>0</v>
      </c>
      <c r="R114" s="43">
        <f>VLOOKUP(Youts[[#This Row],[Código]],Projeção[#All],14,FALSE)</f>
        <v>0.66666666666666663</v>
      </c>
      <c r="S114" s="39">
        <f>IFERROR(VLOOKUP(Youts[[#This Row],[Código]],Venda_mes[],2,FALSE),0)</f>
        <v>0</v>
      </c>
      <c r="T114" s="44">
        <f>IFERROR(Youts[[#This Row],[V. No mes]]/Youts[[#This Row],[Proj. de V. No mes]],"")</f>
        <v>0</v>
      </c>
      <c r="U114" s="43">
        <f>VLOOKUP(Youts[[#This Row],[Código]],Projeção[#All],14,FALSE)+VLOOKUP(Youts[[#This Row],[Código]],Projeção[#All],13,FALSE)+VLOOKUP(Youts[[#This Row],[Código]],Projeção[#All],12,FALSE)</f>
        <v>3.333333333333333</v>
      </c>
      <c r="V114" s="39">
        <f>IFERROR(VLOOKUP(Youts[[#This Row],[Código]],Venda_3meses[],2,FALSE),0)</f>
        <v>0</v>
      </c>
      <c r="W114" s="44">
        <f>IFERROR(Youts[[#This Row],[V. 3 meses]]/Youts[[#This Row],[Proj. de V. 3 meses]],"")</f>
        <v>0</v>
      </c>
      <c r="X11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28</v>
      </c>
      <c r="Y114" s="39">
        <f>IFERROR(VLOOKUP(Youts[[#This Row],[Código]],Venda_12meses[],2,FALSE),0)</f>
        <v>0</v>
      </c>
      <c r="Z114" s="44">
        <f>IFERROR(Youts[[#This Row],[V. 12 meses]]/Youts[[#This Row],[Proj. de V. 12 meses]],"")</f>
        <v>0</v>
      </c>
      <c r="AA114" s="22"/>
    </row>
    <row r="115" spans="1:27" x14ac:dyDescent="0.25">
      <c r="A115" s="22" t="str">
        <f>VLOOKUP(Youts[[#This Row],[Código]],BD_Produto[#All],7,FALSE)</f>
        <v>Fora de linha</v>
      </c>
      <c r="B11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5" s="23">
        <v>30100061448</v>
      </c>
      <c r="D115" s="22" t="s">
        <v>85</v>
      </c>
      <c r="E115" s="22" t="str">
        <f>VLOOKUP(Youts[[#This Row],[Código]],BD_Produto[],3,FALSE)</f>
        <v>Storage Mídia</v>
      </c>
      <c r="F115" s="22" t="str">
        <f>VLOOKUP(Youts[[#This Row],[Código]],BD_Produto[],4,FALSE)</f>
        <v>Colorful - DVD-R</v>
      </c>
      <c r="G115" s="24"/>
      <c r="H115" s="25"/>
      <c r="I115" s="22"/>
      <c r="J115" s="24"/>
      <c r="K115" s="24" t="str">
        <f>IFERROR(VLOOKUP(Youts[[#This Row],[Código]],Importação!P:R,3,FALSE),"")</f>
        <v/>
      </c>
      <c r="L115" s="24">
        <f>IFERROR(VLOOKUP(Youts[[#This Row],[Código]],Saldo[],3,FALSE),0)</f>
        <v>0</v>
      </c>
      <c r="M115" s="24">
        <f>SUM(Youts[[#This Row],[Produção]:[Estoque]])</f>
        <v>0</v>
      </c>
      <c r="N115" s="24" t="str">
        <f>IFERROR(Youts[[#This Row],[Estoque+Importação]]/Youts[[#This Row],[Proj. de V. No prox. mes]],"Sem Projeção")</f>
        <v>Sem Projeção</v>
      </c>
      <c r="O115" s="24" t="str">
        <f>IF(OR(Youts[[#This Row],[Status]]="Em Linha",Youts[[#This Row],[Status]]="Componente",Youts[[#This Row],[Status]]="Materia Prima"),Youts[[#This Row],[Proj. de V. No prox. mes]]*10,"-")</f>
        <v>-</v>
      </c>
      <c r="P11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5" s="34">
        <f>VLOOKUP(Youts[[#This Row],[Código]],Projeção[#All],15,FALSE)</f>
        <v>0</v>
      </c>
      <c r="R115" s="43">
        <f>VLOOKUP(Youts[[#This Row],[Código]],Projeção[#All],14,FALSE)</f>
        <v>135.19999999999999</v>
      </c>
      <c r="S115" s="39">
        <f>IFERROR(VLOOKUP(Youts[[#This Row],[Código]],Venda_mes[],2,FALSE),0)</f>
        <v>0</v>
      </c>
      <c r="T115" s="44">
        <f>IFERROR(Youts[[#This Row],[V. No mes]]/Youts[[#This Row],[Proj. de V. No mes]],"")</f>
        <v>0</v>
      </c>
      <c r="U115" s="43">
        <f>VLOOKUP(Youts[[#This Row],[Código]],Projeção[#All],14,FALSE)+VLOOKUP(Youts[[#This Row],[Código]],Projeção[#All],13,FALSE)+VLOOKUP(Youts[[#This Row],[Código]],Projeção[#All],12,FALSE)</f>
        <v>405.59999999999997</v>
      </c>
      <c r="V115" s="39">
        <f>IFERROR(VLOOKUP(Youts[[#This Row],[Código]],Venda_3meses[],2,FALSE),0)</f>
        <v>0</v>
      </c>
      <c r="W115" s="44">
        <f>IFERROR(Youts[[#This Row],[V. 3 meses]]/Youts[[#This Row],[Proj. de V. 3 meses]],"")</f>
        <v>0</v>
      </c>
      <c r="X11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2704</v>
      </c>
      <c r="Y115" s="39">
        <f>IFERROR(VLOOKUP(Youts[[#This Row],[Código]],Venda_12meses[],2,FALSE),0)</f>
        <v>0</v>
      </c>
      <c r="Z115" s="44">
        <f>IFERROR(Youts[[#This Row],[V. 12 meses]]/Youts[[#This Row],[Proj. de V. 12 meses]],"")</f>
        <v>0</v>
      </c>
      <c r="AA115" s="22"/>
    </row>
    <row r="116" spans="1:27" x14ac:dyDescent="0.25">
      <c r="A116" s="22" t="str">
        <f>VLOOKUP(Youts[[#This Row],[Código]],BD_Produto[#All],7,FALSE)</f>
        <v>Fora de linha</v>
      </c>
      <c r="B11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6" s="23">
        <v>30100061450</v>
      </c>
      <c r="D116" s="22" t="s">
        <v>87</v>
      </c>
      <c r="E116" s="22" t="str">
        <f>VLOOKUP(Youts[[#This Row],[Código]],BD_Produto[],3,FALSE)</f>
        <v>Storage Mídia</v>
      </c>
      <c r="F116" s="22" t="str">
        <f>VLOOKUP(Youts[[#This Row],[Código]],BD_Produto[],4,FALSE)</f>
        <v>Colorful - DVD-R</v>
      </c>
      <c r="G116" s="24"/>
      <c r="H116" s="25"/>
      <c r="I116" s="22"/>
      <c r="J116" s="24"/>
      <c r="K116" s="24" t="str">
        <f>IFERROR(VLOOKUP(Youts[[#This Row],[Código]],Importação!P:R,3,FALSE),"")</f>
        <v/>
      </c>
      <c r="L116" s="24">
        <f>IFERROR(VLOOKUP(Youts[[#This Row],[Código]],Saldo[],3,FALSE),0)</f>
        <v>0</v>
      </c>
      <c r="M116" s="24">
        <f>SUM(Youts[[#This Row],[Produção]:[Estoque]])</f>
        <v>0</v>
      </c>
      <c r="N116" s="24" t="str">
        <f>IFERROR(Youts[[#This Row],[Estoque+Importação]]/Youts[[#This Row],[Proj. de V. No prox. mes]],"Sem Projeção")</f>
        <v>Sem Projeção</v>
      </c>
      <c r="O116" s="24" t="str">
        <f>IF(OR(Youts[[#This Row],[Status]]="Em Linha",Youts[[#This Row],[Status]]="Componente",Youts[[#This Row],[Status]]="Materia Prima"),Youts[[#This Row],[Proj. de V. No prox. mes]]*10,"-")</f>
        <v>-</v>
      </c>
      <c r="P11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6" s="83">
        <f>VLOOKUP(Youts[[#This Row],[Código]],Projeção[#All],15,FALSE)</f>
        <v>0</v>
      </c>
      <c r="R116" s="43">
        <f>VLOOKUP(Youts[[#This Row],[Código]],Projeção[#All],14,FALSE)</f>
        <v>167.76666666666668</v>
      </c>
      <c r="S116" s="39">
        <f>IFERROR(VLOOKUP(Youts[[#This Row],[Código]],Venda_mes[],2,FALSE),0)</f>
        <v>0</v>
      </c>
      <c r="T116" s="44">
        <f>IFERROR(Youts[[#This Row],[V. No mes]]/Youts[[#This Row],[Proj. de V. No mes]],"")</f>
        <v>0</v>
      </c>
      <c r="U116" s="43">
        <f>VLOOKUP(Youts[[#This Row],[Código]],Projeção[#All],14,FALSE)+VLOOKUP(Youts[[#This Row],[Código]],Projeção[#All],13,FALSE)+VLOOKUP(Youts[[#This Row],[Código]],Projeção[#All],12,FALSE)</f>
        <v>503.30000000000007</v>
      </c>
      <c r="V116" s="39">
        <f>IFERROR(VLOOKUP(Youts[[#This Row],[Código]],Venda_3meses[],2,FALSE),0)</f>
        <v>0</v>
      </c>
      <c r="W116" s="44">
        <f>IFERROR(Youts[[#This Row],[V. 3 meses]]/Youts[[#This Row],[Proj. de V. 3 meses]],"")</f>
        <v>0</v>
      </c>
      <c r="X11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3355.3333333333335</v>
      </c>
      <c r="Y116" s="39">
        <f>IFERROR(VLOOKUP(Youts[[#This Row],[Código]],Venda_12meses[],2,FALSE),0)</f>
        <v>0</v>
      </c>
      <c r="Z116" s="44">
        <f>IFERROR(Youts[[#This Row],[V. 12 meses]]/Youts[[#This Row],[Proj. de V. 12 meses]],"")</f>
        <v>0</v>
      </c>
      <c r="AA116" s="22"/>
    </row>
    <row r="117" spans="1:27" x14ac:dyDescent="0.25">
      <c r="A117" s="22" t="str">
        <f>VLOOKUP(Youts[[#This Row],[Código]],BD_Produto[#All],7,FALSE)</f>
        <v>Fora de linha</v>
      </c>
      <c r="B11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7" s="23">
        <v>30100061456</v>
      </c>
      <c r="D117" s="22" t="s">
        <v>936</v>
      </c>
      <c r="E117" s="22" t="str">
        <f>VLOOKUP(Youts[[#This Row],[Código]],BD_Produto[],3,FALSE)</f>
        <v>Storage Mídia</v>
      </c>
      <c r="F117" s="22" t="str">
        <f>VLOOKUP(Youts[[#This Row],[Código]],BD_Produto[],4,FALSE)</f>
        <v>Color Label - DVD-R</v>
      </c>
      <c r="G117" s="24"/>
      <c r="H117" s="25"/>
      <c r="I117" s="22"/>
      <c r="J117" s="24"/>
      <c r="K117" s="24" t="str">
        <f>IFERROR(VLOOKUP(Youts[[#This Row],[Código]],Importação!P:R,3,FALSE),"")</f>
        <v/>
      </c>
      <c r="L117" s="24">
        <f>IFERROR(VLOOKUP(Youts[[#This Row],[Código]],Saldo[],3,FALSE),0)</f>
        <v>0</v>
      </c>
      <c r="M117" s="24">
        <f>SUM(Youts[[#This Row],[Produção]:[Estoque]])</f>
        <v>0</v>
      </c>
      <c r="N117" s="24" t="str">
        <f>IFERROR(Youts[[#This Row],[Estoque+Importação]]/Youts[[#This Row],[Proj. de V. No prox. mes]],"Sem Projeção")</f>
        <v>Sem Projeção</v>
      </c>
      <c r="O117" s="24" t="str">
        <f>IF(OR(Youts[[#This Row],[Status]]="Em Linha",Youts[[#This Row],[Status]]="Componente",Youts[[#This Row],[Status]]="Materia Prima"),Youts[[#This Row],[Proj. de V. No prox. mes]]*10,"-")</f>
        <v>-</v>
      </c>
      <c r="P11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7" s="83">
        <f>VLOOKUP(Youts[[#This Row],[Código]],Projeção[#All],15,FALSE)</f>
        <v>0</v>
      </c>
      <c r="R117" s="43">
        <f>VLOOKUP(Youts[[#This Row],[Código]],Projeção[#All],14,FALSE)</f>
        <v>70.933333333333337</v>
      </c>
      <c r="S117" s="39">
        <f>IFERROR(VLOOKUP(Youts[[#This Row],[Código]],Venda_mes[],2,FALSE),0)</f>
        <v>0</v>
      </c>
      <c r="T117" s="44">
        <f>IFERROR(Youts[[#This Row],[V. No mes]]/Youts[[#This Row],[Proj. de V. No mes]],"")</f>
        <v>0</v>
      </c>
      <c r="U117" s="43">
        <f>VLOOKUP(Youts[[#This Row],[Código]],Projeção[#All],14,FALSE)+VLOOKUP(Youts[[#This Row],[Código]],Projeção[#All],13,FALSE)+VLOOKUP(Youts[[#This Row],[Código]],Projeção[#All],12,FALSE)</f>
        <v>412.79999999999995</v>
      </c>
      <c r="V117" s="39">
        <f>IFERROR(VLOOKUP(Youts[[#This Row],[Código]],Venda_3meses[],2,FALSE),0)</f>
        <v>0</v>
      </c>
      <c r="W117" s="44">
        <f>IFERROR(Youts[[#This Row],[V. 3 meses]]/Youts[[#This Row],[Proj. de V. 3 meses]],"")</f>
        <v>0</v>
      </c>
      <c r="X11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5318.6666666666661</v>
      </c>
      <c r="Y117" s="39">
        <f>IFERROR(VLOOKUP(Youts[[#This Row],[Código]],Venda_12meses[],2,FALSE),0)</f>
        <v>0</v>
      </c>
      <c r="Z117" s="44">
        <f>IFERROR(Youts[[#This Row],[V. 12 meses]]/Youts[[#This Row],[Proj. de V. 12 meses]],"")</f>
        <v>0</v>
      </c>
      <c r="AA117" s="22"/>
    </row>
    <row r="118" spans="1:27" x14ac:dyDescent="0.25">
      <c r="A118" s="22" t="str">
        <f>VLOOKUP(Youts[[#This Row],[Código]],BD_Produto[#All],7,FALSE)</f>
        <v>Fora de linha</v>
      </c>
      <c r="B11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8" s="23">
        <v>30100061455</v>
      </c>
      <c r="D118" s="22" t="s">
        <v>1244</v>
      </c>
      <c r="E118" s="22" t="str">
        <f>VLOOKUP(Youts[[#This Row],[Código]],BD_Produto[],3,FALSE)</f>
        <v>Storage Mídia</v>
      </c>
      <c r="F118" s="22" t="str">
        <f>VLOOKUP(Youts[[#This Row],[Código]],BD_Produto[],4,FALSE)</f>
        <v>Color Label - DVD-R</v>
      </c>
      <c r="G118" s="24"/>
      <c r="H118" s="25"/>
      <c r="I118" s="22"/>
      <c r="J118" s="24"/>
      <c r="K118" s="24" t="str">
        <f>IFERROR(VLOOKUP(Youts[[#This Row],[Código]],Importação!P:R,3,FALSE),"")</f>
        <v/>
      </c>
      <c r="L118" s="24">
        <f>IFERROR(VLOOKUP(Youts[[#This Row],[Código]],Saldo[],3,FALSE),0)</f>
        <v>0</v>
      </c>
      <c r="M118" s="24">
        <f>SUM(Youts[[#This Row],[Produção]:[Estoque]])</f>
        <v>0</v>
      </c>
      <c r="N118" s="24" t="str">
        <f>IFERROR(Youts[[#This Row],[Estoque+Importação]]/Youts[[#This Row],[Proj. de V. No prox. mes]],"Sem Projeção")</f>
        <v>Sem Projeção</v>
      </c>
      <c r="O118" s="24" t="str">
        <f>IF(OR(Youts[[#This Row],[Status]]="Em Linha",Youts[[#This Row],[Status]]="Componente",Youts[[#This Row],[Status]]="Materia Prima"),Youts[[#This Row],[Proj. de V. No prox. mes]]*10,"-")</f>
        <v>-</v>
      </c>
      <c r="P11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8" s="83">
        <f>VLOOKUP(Youts[[#This Row],[Código]],Projeção[#All],15,FALSE)</f>
        <v>0</v>
      </c>
      <c r="R118" s="43">
        <f>VLOOKUP(Youts[[#This Row],[Código]],Projeção[#All],14,FALSE)</f>
        <v>14.299999999999999</v>
      </c>
      <c r="S118" s="39">
        <f>IFERROR(VLOOKUP(Youts[[#This Row],[Código]],Venda_mes[],2,FALSE),0)</f>
        <v>0</v>
      </c>
      <c r="T118" s="44">
        <f>IFERROR(Youts[[#This Row],[V. No mes]]/Youts[[#This Row],[Proj. de V. No mes]],"")</f>
        <v>0</v>
      </c>
      <c r="U118" s="43">
        <f>VLOOKUP(Youts[[#This Row],[Código]],Projeção[#All],14,FALSE)+VLOOKUP(Youts[[#This Row],[Código]],Projeção[#All],13,FALSE)+VLOOKUP(Youts[[#This Row],[Código]],Projeção[#All],12,FALSE)</f>
        <v>42.9</v>
      </c>
      <c r="V118" s="39">
        <f>IFERROR(VLOOKUP(Youts[[#This Row],[Código]],Venda_3meses[],2,FALSE),0)</f>
        <v>0</v>
      </c>
      <c r="W118" s="44">
        <f>IFERROR(Youts[[#This Row],[V. 3 meses]]/Youts[[#This Row],[Proj. de V. 3 meses]],"")</f>
        <v>0</v>
      </c>
      <c r="X11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1352.6666666666665</v>
      </c>
      <c r="Y118" s="39">
        <f>IFERROR(VLOOKUP(Youts[[#This Row],[Código]],Venda_12meses[],2,FALSE),0)</f>
        <v>0</v>
      </c>
      <c r="Z118" s="44">
        <f>IFERROR(Youts[[#This Row],[V. 12 meses]]/Youts[[#This Row],[Proj. de V. 12 meses]],"")</f>
        <v>0</v>
      </c>
      <c r="AA118" s="22"/>
    </row>
    <row r="119" spans="1:27" x14ac:dyDescent="0.25">
      <c r="A119" s="22" t="str">
        <f>VLOOKUP(Youts[[#This Row],[Código]],BD_Produto[#All],7,FALSE)</f>
        <v>Fora de linha</v>
      </c>
      <c r="B11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19" s="23">
        <v>30100061454</v>
      </c>
      <c r="D119" s="22" t="s">
        <v>1231</v>
      </c>
      <c r="E119" s="22" t="str">
        <f>VLOOKUP(Youts[[#This Row],[Código]],BD_Produto[],3,FALSE)</f>
        <v>Storage Mídia</v>
      </c>
      <c r="F119" s="22" t="str">
        <f>VLOOKUP(Youts[[#This Row],[Código]],BD_Produto[],4,FALSE)</f>
        <v>Color Label - DVD-R</v>
      </c>
      <c r="G119" s="24"/>
      <c r="H119" s="25"/>
      <c r="I119" s="22"/>
      <c r="J119" s="24"/>
      <c r="K119" s="24" t="str">
        <f>IFERROR(VLOOKUP(Youts[[#This Row],[Código]],Importação!P:R,3,FALSE),"")</f>
        <v/>
      </c>
      <c r="L119" s="24">
        <f>IFERROR(VLOOKUP(Youts[[#This Row],[Código]],Saldo[],3,FALSE),0)</f>
        <v>0</v>
      </c>
      <c r="M119" s="24">
        <f>SUM(Youts[[#This Row],[Produção]:[Estoque]])</f>
        <v>0</v>
      </c>
      <c r="N119" s="24" t="str">
        <f>IFERROR(Youts[[#This Row],[Estoque+Importação]]/Youts[[#This Row],[Proj. de V. No prox. mes]],"Sem Projeção")</f>
        <v>Sem Projeção</v>
      </c>
      <c r="O119" s="24" t="str">
        <f>IF(OR(Youts[[#This Row],[Status]]="Em Linha",Youts[[#This Row],[Status]]="Componente",Youts[[#This Row],[Status]]="Materia Prima"),Youts[[#This Row],[Proj. de V. No prox. mes]]*10,"-")</f>
        <v>-</v>
      </c>
      <c r="P11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19" s="83">
        <f>VLOOKUP(Youts[[#This Row],[Código]],Projeção[#All],15,FALSE)</f>
        <v>0</v>
      </c>
      <c r="R119" s="43">
        <f>VLOOKUP(Youts[[#This Row],[Código]],Projeção[#All],14,FALSE)</f>
        <v>35.533333333333331</v>
      </c>
      <c r="S119" s="39">
        <f>IFERROR(VLOOKUP(Youts[[#This Row],[Código]],Venda_mes[],2,FALSE),0)</f>
        <v>0</v>
      </c>
      <c r="T119" s="44">
        <f>IFERROR(Youts[[#This Row],[V. No mes]]/Youts[[#This Row],[Proj. de V. No mes]],"")</f>
        <v>0</v>
      </c>
      <c r="U119" s="43">
        <f>VLOOKUP(Youts[[#This Row],[Código]],Projeção[#All],14,FALSE)+VLOOKUP(Youts[[#This Row],[Código]],Projeção[#All],13,FALSE)+VLOOKUP(Youts[[#This Row],[Código]],Projeção[#All],12,FALSE)</f>
        <v>106.6</v>
      </c>
      <c r="V119" s="39">
        <f>IFERROR(VLOOKUP(Youts[[#This Row],[Código]],Venda_3meses[],2,FALSE),0)</f>
        <v>0</v>
      </c>
      <c r="W119" s="44">
        <f>IFERROR(Youts[[#This Row],[V. 3 meses]]/Youts[[#This Row],[Proj. de V. 3 meses]],"")</f>
        <v>0</v>
      </c>
      <c r="X11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1694.3333333333333</v>
      </c>
      <c r="Y119" s="39">
        <f>IFERROR(VLOOKUP(Youts[[#This Row],[Código]],Venda_12meses[],2,FALSE),0)</f>
        <v>0</v>
      </c>
      <c r="Z119" s="44">
        <f>IFERROR(Youts[[#This Row],[V. 12 meses]]/Youts[[#This Row],[Proj. de V. 12 meses]],"")</f>
        <v>0</v>
      </c>
      <c r="AA119" s="22"/>
    </row>
    <row r="120" spans="1:27" x14ac:dyDescent="0.25">
      <c r="A120" s="22" t="str">
        <f>VLOOKUP(Youts[[#This Row],[Código]],BD_Produto[#All],7,FALSE)</f>
        <v>Fora de linha</v>
      </c>
      <c r="B12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0" s="23">
        <v>33102164227</v>
      </c>
      <c r="D120" s="22" t="s">
        <v>1438</v>
      </c>
      <c r="E120" s="22" t="str">
        <f>VLOOKUP(Youts[[#This Row],[Código]],BD_Produto[],3,FALSE)</f>
        <v>Áudio</v>
      </c>
      <c r="F120" s="22" t="str">
        <f>VLOOKUP(Youts[[#This Row],[Código]],BD_Produto[],4,FALSE)</f>
        <v>Fone de Ouvido - Headphone</v>
      </c>
      <c r="G120" s="24"/>
      <c r="H120" s="25"/>
      <c r="I120" s="22"/>
      <c r="J120" s="24"/>
      <c r="K120" s="24" t="str">
        <f>IFERROR(VLOOKUP(Youts[[#This Row],[Código]],Importação!P:R,3,FALSE),"")</f>
        <v/>
      </c>
      <c r="L120" s="24">
        <f>IFERROR(VLOOKUP(Youts[[#This Row],[Código]],Saldo[],3,FALSE),0)</f>
        <v>0</v>
      </c>
      <c r="M120" s="24">
        <f>SUM(Youts[[#This Row],[Produção]:[Estoque]])</f>
        <v>0</v>
      </c>
      <c r="N120" s="24" t="str">
        <f>IFERROR(Youts[[#This Row],[Estoque+Importação]]/Youts[[#This Row],[Proj. de V. No prox. mes]],"Sem Projeção")</f>
        <v>Sem Projeção</v>
      </c>
      <c r="O120" s="24" t="str">
        <f>IF(OR(Youts[[#This Row],[Status]]="Em Linha",Youts[[#This Row],[Status]]="Componente",Youts[[#This Row],[Status]]="Materia Prima"),Youts[[#This Row],[Proj. de V. No prox. mes]]*10,"-")</f>
        <v>-</v>
      </c>
      <c r="P12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0" s="75">
        <f>VLOOKUP(Youts[[#This Row],[Código]],Projeção[#All],15,FALSE)</f>
        <v>0</v>
      </c>
      <c r="R120" s="39">
        <f>VLOOKUP(Youts[[#This Row],[Código]],Projeção[#All],14,FALSE)</f>
        <v>0</v>
      </c>
      <c r="S120" s="39">
        <f>IFERROR(VLOOKUP(Youts[[#This Row],[Código]],Venda_mes[],2,FALSE),0)</f>
        <v>0</v>
      </c>
      <c r="T120" s="44" t="str">
        <f>IFERROR(Youts[[#This Row],[V. No mes]]/Youts[[#This Row],[Proj. de V. No mes]],"")</f>
        <v/>
      </c>
      <c r="U120" s="43">
        <f>VLOOKUP(Youts[[#This Row],[Código]],Projeção[#All],14,FALSE)+VLOOKUP(Youts[[#This Row],[Código]],Projeção[#All],13,FALSE)+VLOOKUP(Youts[[#This Row],[Código]],Projeção[#All],12,FALSE)</f>
        <v>0</v>
      </c>
      <c r="V120" s="39">
        <f>IFERROR(VLOOKUP(Youts[[#This Row],[Código]],Venda_3meses[],2,FALSE),0)</f>
        <v>0</v>
      </c>
      <c r="W120" s="44" t="str">
        <f>IFERROR(Youts[[#This Row],[V. 3 meses]]/Youts[[#This Row],[Proj. de V. 3 meses]],"")</f>
        <v/>
      </c>
      <c r="X12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0" s="39">
        <f>IFERROR(VLOOKUP(Youts[[#This Row],[Código]],Venda_12meses[],2,FALSE),0)</f>
        <v>0</v>
      </c>
      <c r="Z120" s="44" t="str">
        <f>IFERROR(Youts[[#This Row],[V. 12 meses]]/Youts[[#This Row],[Proj. de V. 12 meses]],"")</f>
        <v/>
      </c>
      <c r="AA120" s="22"/>
    </row>
    <row r="121" spans="1:27" x14ac:dyDescent="0.25">
      <c r="A121" s="22" t="str">
        <f>VLOOKUP(Youts[[#This Row],[Código]],BD_Produto[#All],7,FALSE)</f>
        <v>Fora de linha</v>
      </c>
      <c r="B12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1" s="23">
        <v>33100262821</v>
      </c>
      <c r="D121" s="22" t="s">
        <v>891</v>
      </c>
      <c r="E121" s="22" t="str">
        <f>VLOOKUP(Youts[[#This Row],[Código]],BD_Produto[],3,FALSE)</f>
        <v>Storage Mídia</v>
      </c>
      <c r="F121" s="22" t="str">
        <f>VLOOKUP(Youts[[#This Row],[Código]],BD_Produto[],4,FALSE)</f>
        <v>Rock in Rio - Pen Drive</v>
      </c>
      <c r="G121" s="24"/>
      <c r="H121" s="25"/>
      <c r="I121" s="22"/>
      <c r="J121" s="24"/>
      <c r="K121" s="24" t="str">
        <f>IFERROR(VLOOKUP(Youts[[#This Row],[Código]],Importação!P:R,3,FALSE),"")</f>
        <v/>
      </c>
      <c r="L121" s="24">
        <f>IFERROR(VLOOKUP(Youts[[#This Row],[Código]],Saldo[],3,FALSE),0)</f>
        <v>0</v>
      </c>
      <c r="M121" s="24">
        <f>SUM(Youts[[#This Row],[Produção]:[Estoque]])</f>
        <v>0</v>
      </c>
      <c r="N121" s="24" t="str">
        <f>IFERROR(Youts[[#This Row],[Estoque+Importação]]/Youts[[#This Row],[Proj. de V. No prox. mes]],"Sem Projeção")</f>
        <v>Sem Projeção</v>
      </c>
      <c r="O121" s="24" t="str">
        <f>IF(OR(Youts[[#This Row],[Status]]="Em Linha",Youts[[#This Row],[Status]]="Componente",Youts[[#This Row],[Status]]="Materia Prima"),Youts[[#This Row],[Proj. de V. No prox. mes]]*10,"-")</f>
        <v>-</v>
      </c>
      <c r="P12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1" s="75">
        <f>VLOOKUP(Youts[[#This Row],[Código]],Projeção[#All],15,FALSE)</f>
        <v>0</v>
      </c>
      <c r="R121" s="39">
        <f>VLOOKUP(Youts[[#This Row],[Código]],Projeção[#All],14,FALSE)</f>
        <v>0</v>
      </c>
      <c r="S121" s="39">
        <f>IFERROR(VLOOKUP(Youts[[#This Row],[Código]],Venda_mes[],2,FALSE),0)</f>
        <v>0</v>
      </c>
      <c r="T121" s="44" t="str">
        <f>IFERROR(Youts[[#This Row],[V. No mes]]/Youts[[#This Row],[Proj. de V. No mes]],"")</f>
        <v/>
      </c>
      <c r="U121" s="43">
        <f>VLOOKUP(Youts[[#This Row],[Código]],Projeção[#All],14,FALSE)+VLOOKUP(Youts[[#This Row],[Código]],Projeção[#All],13,FALSE)+VLOOKUP(Youts[[#This Row],[Código]],Projeção[#All],12,FALSE)</f>
        <v>0</v>
      </c>
      <c r="V121" s="39">
        <f>IFERROR(VLOOKUP(Youts[[#This Row],[Código]],Venda_3meses[],2,FALSE),0)</f>
        <v>0</v>
      </c>
      <c r="W121" s="44" t="str">
        <f>IFERROR(Youts[[#This Row],[V. 3 meses]]/Youts[[#This Row],[Proj. de V. 3 meses]],"")</f>
        <v/>
      </c>
      <c r="X12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1" s="39">
        <f>IFERROR(VLOOKUP(Youts[[#This Row],[Código]],Venda_12meses[],2,FALSE),0)</f>
        <v>0</v>
      </c>
      <c r="Z121" s="44" t="str">
        <f>IFERROR(Youts[[#This Row],[V. 12 meses]]/Youts[[#This Row],[Proj. de V. 12 meses]],"")</f>
        <v/>
      </c>
      <c r="AA121" s="22"/>
    </row>
    <row r="122" spans="1:27" x14ac:dyDescent="0.25">
      <c r="A122" s="22" t="str">
        <f>VLOOKUP(Youts[[#This Row],[Código]],BD_Produto[#All],7,FALSE)</f>
        <v>Fora de linha</v>
      </c>
      <c r="B12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2" s="23">
        <v>33100262754</v>
      </c>
      <c r="D122" s="22" t="s">
        <v>1436</v>
      </c>
      <c r="E122" s="22" t="str">
        <f>VLOOKUP(Youts[[#This Row],[Código]],BD_Produto[],3,FALSE)</f>
        <v>Storage Mídia</v>
      </c>
      <c r="F122" s="22" t="str">
        <f>VLOOKUP(Youts[[#This Row],[Código]],BD_Produto[],4,FALSE)</f>
        <v>Rock in Rio - Pen Drive</v>
      </c>
      <c r="G122" s="24"/>
      <c r="H122" s="25"/>
      <c r="I122" s="22"/>
      <c r="J122" s="24"/>
      <c r="K122" s="24" t="str">
        <f>IFERROR(VLOOKUP(Youts[[#This Row],[Código]],Importação!P:R,3,FALSE),"")</f>
        <v/>
      </c>
      <c r="L122" s="24">
        <f>IFERROR(VLOOKUP(Youts[[#This Row],[Código]],Saldo[],3,FALSE),0)</f>
        <v>0</v>
      </c>
      <c r="M122" s="24">
        <f>SUM(Youts[[#This Row],[Produção]:[Estoque]])</f>
        <v>0</v>
      </c>
      <c r="N122" s="24" t="str">
        <f>IFERROR(Youts[[#This Row],[Estoque+Importação]]/Youts[[#This Row],[Proj. de V. No prox. mes]],"Sem Projeção")</f>
        <v>Sem Projeção</v>
      </c>
      <c r="O122" s="24" t="str">
        <f>IF(OR(Youts[[#This Row],[Status]]="Em Linha",Youts[[#This Row],[Status]]="Componente",Youts[[#This Row],[Status]]="Materia Prima"),Youts[[#This Row],[Proj. de V. No prox. mes]]*10,"-")</f>
        <v>-</v>
      </c>
      <c r="P12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2" s="83">
        <f>VLOOKUP(Youts[[#This Row],[Código]],Projeção[#All],15,FALSE)</f>
        <v>0</v>
      </c>
      <c r="R122" s="43">
        <f>VLOOKUP(Youts[[#This Row],[Código]],Projeção[#All],14,FALSE)</f>
        <v>0</v>
      </c>
      <c r="S122" s="39">
        <f>IFERROR(VLOOKUP(Youts[[#This Row],[Código]],Venda_mes[],2,FALSE),0)</f>
        <v>0</v>
      </c>
      <c r="T122" s="44" t="str">
        <f>IFERROR(Youts[[#This Row],[V. No mes]]/Youts[[#This Row],[Proj. de V. No mes]],"")</f>
        <v/>
      </c>
      <c r="U122" s="43">
        <f>VLOOKUP(Youts[[#This Row],[Código]],Projeção[#All],14,FALSE)+VLOOKUP(Youts[[#This Row],[Código]],Projeção[#All],13,FALSE)+VLOOKUP(Youts[[#This Row],[Código]],Projeção[#All],12,FALSE)</f>
        <v>0</v>
      </c>
      <c r="V122" s="39">
        <f>IFERROR(VLOOKUP(Youts[[#This Row],[Código]],Venda_3meses[],2,FALSE),0)</f>
        <v>0</v>
      </c>
      <c r="W122" s="44" t="str">
        <f>IFERROR(Youts[[#This Row],[V. 3 meses]]/Youts[[#This Row],[Proj. de V. 3 meses]],"")</f>
        <v/>
      </c>
      <c r="X12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2" s="39">
        <f>IFERROR(VLOOKUP(Youts[[#This Row],[Código]],Venda_12meses[],2,FALSE),0)</f>
        <v>0</v>
      </c>
      <c r="Z122" s="44" t="str">
        <f>IFERROR(Youts[[#This Row],[V. 12 meses]]/Youts[[#This Row],[Proj. de V. 12 meses]],"")</f>
        <v/>
      </c>
      <c r="AA122" s="22"/>
    </row>
    <row r="123" spans="1:27" x14ac:dyDescent="0.25">
      <c r="A123" s="22" t="str">
        <f>VLOOKUP(Youts[[#This Row],[Código]],BD_Produto[#All],7,FALSE)</f>
        <v>Fora de linha</v>
      </c>
      <c r="B12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3" s="23">
        <v>33100262757</v>
      </c>
      <c r="D123" s="22" t="s">
        <v>894</v>
      </c>
      <c r="E123" s="22" t="str">
        <f>VLOOKUP(Youts[[#This Row],[Código]],BD_Produto[],3,FALSE)</f>
        <v>Storage Mídia</v>
      </c>
      <c r="F123" s="22" t="str">
        <f>VLOOKUP(Youts[[#This Row],[Código]],BD_Produto[],4,FALSE)</f>
        <v>Rock in Rio - Pen Drive</v>
      </c>
      <c r="G123" s="24"/>
      <c r="H123" s="25"/>
      <c r="I123" s="22"/>
      <c r="J123" s="24"/>
      <c r="K123" s="24" t="str">
        <f>IFERROR(VLOOKUP(Youts[[#This Row],[Código]],Importação!P:R,3,FALSE),"")</f>
        <v/>
      </c>
      <c r="L123" s="24">
        <f>IFERROR(VLOOKUP(Youts[[#This Row],[Código]],Saldo[],3,FALSE),0)</f>
        <v>0</v>
      </c>
      <c r="M123" s="24">
        <f>SUM(Youts[[#This Row],[Produção]:[Estoque]])</f>
        <v>0</v>
      </c>
      <c r="N123" s="24" t="str">
        <f>IFERROR(Youts[[#This Row],[Estoque+Importação]]/Youts[[#This Row],[Proj. de V. No prox. mes]],"Sem Projeção")</f>
        <v>Sem Projeção</v>
      </c>
      <c r="O123" s="24" t="str">
        <f>IF(OR(Youts[[#This Row],[Status]]="Em Linha",Youts[[#This Row],[Status]]="Componente",Youts[[#This Row],[Status]]="Materia Prima"),Youts[[#This Row],[Proj. de V. No prox. mes]]*10,"-")</f>
        <v>-</v>
      </c>
      <c r="P12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3" s="83">
        <f>VLOOKUP(Youts[[#This Row],[Código]],Projeção[#All],15,FALSE)</f>
        <v>0</v>
      </c>
      <c r="R123" s="43">
        <f>VLOOKUP(Youts[[#This Row],[Código]],Projeção[#All],14,FALSE)</f>
        <v>0</v>
      </c>
      <c r="S123" s="39">
        <f>IFERROR(VLOOKUP(Youts[[#This Row],[Código]],Venda_mes[],2,FALSE),0)</f>
        <v>0</v>
      </c>
      <c r="T123" s="44" t="str">
        <f>IFERROR(Youts[[#This Row],[V. No mes]]/Youts[[#This Row],[Proj. de V. No mes]],"")</f>
        <v/>
      </c>
      <c r="U123" s="43">
        <f>VLOOKUP(Youts[[#This Row],[Código]],Projeção[#All],14,FALSE)+VLOOKUP(Youts[[#This Row],[Código]],Projeção[#All],13,FALSE)+VLOOKUP(Youts[[#This Row],[Código]],Projeção[#All],12,FALSE)</f>
        <v>0</v>
      </c>
      <c r="V123" s="39">
        <f>IFERROR(VLOOKUP(Youts[[#This Row],[Código]],Venda_3meses[],2,FALSE),0)</f>
        <v>0</v>
      </c>
      <c r="W123" s="44" t="str">
        <f>IFERROR(Youts[[#This Row],[V. 3 meses]]/Youts[[#This Row],[Proj. de V. 3 meses]],"")</f>
        <v/>
      </c>
      <c r="X12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3" s="39">
        <f>IFERROR(VLOOKUP(Youts[[#This Row],[Código]],Venda_12meses[],2,FALSE),0)</f>
        <v>0</v>
      </c>
      <c r="Z123" s="44" t="str">
        <f>IFERROR(Youts[[#This Row],[V. 12 meses]]/Youts[[#This Row],[Proj. de V. 12 meses]],"")</f>
        <v/>
      </c>
      <c r="AA123" s="22"/>
    </row>
    <row r="124" spans="1:27" x14ac:dyDescent="0.25">
      <c r="A124" s="22" t="str">
        <f>VLOOKUP(Youts[[#This Row],[Código]],BD_Produto[#All],7,FALSE)</f>
        <v>Fora de linha</v>
      </c>
      <c r="B12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4" s="23">
        <v>33100262755</v>
      </c>
      <c r="D124" s="22" t="s">
        <v>1437</v>
      </c>
      <c r="E124" s="22" t="str">
        <f>VLOOKUP(Youts[[#This Row],[Código]],BD_Produto[],3,FALSE)</f>
        <v>Storage Mídia</v>
      </c>
      <c r="F124" s="22" t="str">
        <f>VLOOKUP(Youts[[#This Row],[Código]],BD_Produto[],4,FALSE)</f>
        <v>Rock in Rio - Pen Drive</v>
      </c>
      <c r="G124" s="24"/>
      <c r="H124" s="25"/>
      <c r="I124" s="22"/>
      <c r="J124" s="24"/>
      <c r="K124" s="24" t="str">
        <f>IFERROR(VLOOKUP(Youts[[#This Row],[Código]],Importação!P:R,3,FALSE),"")</f>
        <v/>
      </c>
      <c r="L124" s="24">
        <f>IFERROR(VLOOKUP(Youts[[#This Row],[Código]],Saldo[],3,FALSE),0)</f>
        <v>0</v>
      </c>
      <c r="M124" s="24">
        <f>SUM(Youts[[#This Row],[Produção]:[Estoque]])</f>
        <v>0</v>
      </c>
      <c r="N124" s="24" t="str">
        <f>IFERROR(Youts[[#This Row],[Estoque+Importação]]/Youts[[#This Row],[Proj. de V. No prox. mes]],"Sem Projeção")</f>
        <v>Sem Projeção</v>
      </c>
      <c r="O124" s="24" t="str">
        <f>IF(OR(Youts[[#This Row],[Status]]="Em Linha",Youts[[#This Row],[Status]]="Componente",Youts[[#This Row],[Status]]="Materia Prima"),Youts[[#This Row],[Proj. de V. No prox. mes]]*10,"-")</f>
        <v>-</v>
      </c>
      <c r="P12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4" s="83">
        <f>VLOOKUP(Youts[[#This Row],[Código]],Projeção[#All],15,FALSE)</f>
        <v>0</v>
      </c>
      <c r="R124" s="43">
        <f>VLOOKUP(Youts[[#This Row],[Código]],Projeção[#All],14,FALSE)</f>
        <v>0</v>
      </c>
      <c r="S124" s="39">
        <f>IFERROR(VLOOKUP(Youts[[#This Row],[Código]],Venda_mes[],2,FALSE),0)</f>
        <v>0</v>
      </c>
      <c r="T124" s="44" t="str">
        <f>IFERROR(Youts[[#This Row],[V. No mes]]/Youts[[#This Row],[Proj. de V. No mes]],"")</f>
        <v/>
      </c>
      <c r="U124" s="43">
        <f>VLOOKUP(Youts[[#This Row],[Código]],Projeção[#All],14,FALSE)+VLOOKUP(Youts[[#This Row],[Código]],Projeção[#All],13,FALSE)+VLOOKUP(Youts[[#This Row],[Código]],Projeção[#All],12,FALSE)</f>
        <v>0</v>
      </c>
      <c r="V124" s="39">
        <f>IFERROR(VLOOKUP(Youts[[#This Row],[Código]],Venda_3meses[],2,FALSE),0)</f>
        <v>0</v>
      </c>
      <c r="W124" s="44" t="str">
        <f>IFERROR(Youts[[#This Row],[V. 3 meses]]/Youts[[#This Row],[Proj. de V. 3 meses]],"")</f>
        <v/>
      </c>
      <c r="X12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4" s="39">
        <f>IFERROR(VLOOKUP(Youts[[#This Row],[Código]],Venda_12meses[],2,FALSE),0)</f>
        <v>0</v>
      </c>
      <c r="Z124" s="44" t="str">
        <f>IFERROR(Youts[[#This Row],[V. 12 meses]]/Youts[[#This Row],[Proj. de V. 12 meses]],"")</f>
        <v/>
      </c>
      <c r="AA124" s="22"/>
    </row>
    <row r="125" spans="1:27" x14ac:dyDescent="0.25">
      <c r="A125" s="22" t="str">
        <f>VLOOKUP(Youts[[#This Row],[Código]],BD_Produto[#All],7,FALSE)</f>
        <v>Fora de linha</v>
      </c>
      <c r="B12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5" s="23">
        <v>33100262758</v>
      </c>
      <c r="D125" s="22" t="s">
        <v>890</v>
      </c>
      <c r="E125" s="22" t="str">
        <f>VLOOKUP(Youts[[#This Row],[Código]],BD_Produto[],3,FALSE)</f>
        <v>Storage Mídia</v>
      </c>
      <c r="F125" s="22" t="str">
        <f>VLOOKUP(Youts[[#This Row],[Código]],BD_Produto[],4,FALSE)</f>
        <v>Rock in Rio - Pen Drive</v>
      </c>
      <c r="G125" s="24"/>
      <c r="H125" s="25"/>
      <c r="I125" s="22"/>
      <c r="J125" s="24"/>
      <c r="K125" s="24" t="str">
        <f>IFERROR(VLOOKUP(Youts[[#This Row],[Código]],Importação!P:R,3,FALSE),"")</f>
        <v/>
      </c>
      <c r="L125" s="24">
        <f>IFERROR(VLOOKUP(Youts[[#This Row],[Código]],Saldo[],3,FALSE),0)</f>
        <v>0</v>
      </c>
      <c r="M125" s="24">
        <f>SUM(Youts[[#This Row],[Produção]:[Estoque]])</f>
        <v>0</v>
      </c>
      <c r="N125" s="24" t="str">
        <f>IFERROR(Youts[[#This Row],[Estoque+Importação]]/Youts[[#This Row],[Proj. de V. No prox. mes]],"Sem Projeção")</f>
        <v>Sem Projeção</v>
      </c>
      <c r="O125" s="24" t="str">
        <f>IF(OR(Youts[[#This Row],[Status]]="Em Linha",Youts[[#This Row],[Status]]="Componente",Youts[[#This Row],[Status]]="Materia Prima"),Youts[[#This Row],[Proj. de V. No prox. mes]]*10,"-")</f>
        <v>-</v>
      </c>
      <c r="P12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5" s="83">
        <f>VLOOKUP(Youts[[#This Row],[Código]],Projeção[#All],15,FALSE)</f>
        <v>0</v>
      </c>
      <c r="R125" s="43">
        <f>VLOOKUP(Youts[[#This Row],[Código]],Projeção[#All],14,FALSE)</f>
        <v>0</v>
      </c>
      <c r="S125" s="39">
        <f>IFERROR(VLOOKUP(Youts[[#This Row],[Código]],Venda_mes[],2,FALSE),0)</f>
        <v>0</v>
      </c>
      <c r="T125" s="44" t="str">
        <f>IFERROR(Youts[[#This Row],[V. No mes]]/Youts[[#This Row],[Proj. de V. No mes]],"")</f>
        <v/>
      </c>
      <c r="U125" s="43">
        <f>VLOOKUP(Youts[[#This Row],[Código]],Projeção[#All],14,FALSE)+VLOOKUP(Youts[[#This Row],[Código]],Projeção[#All],13,FALSE)+VLOOKUP(Youts[[#This Row],[Código]],Projeção[#All],12,FALSE)</f>
        <v>0</v>
      </c>
      <c r="V125" s="39">
        <f>IFERROR(VLOOKUP(Youts[[#This Row],[Código]],Venda_3meses[],2,FALSE),0)</f>
        <v>0</v>
      </c>
      <c r="W125" s="44" t="str">
        <f>IFERROR(Youts[[#This Row],[V. 3 meses]]/Youts[[#This Row],[Proj. de V. 3 meses]],"")</f>
        <v/>
      </c>
      <c r="X12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5" s="39">
        <f>IFERROR(VLOOKUP(Youts[[#This Row],[Código]],Venda_12meses[],2,FALSE),0)</f>
        <v>0</v>
      </c>
      <c r="Z125" s="44" t="str">
        <f>IFERROR(Youts[[#This Row],[V. 12 meses]]/Youts[[#This Row],[Proj. de V. 12 meses]],"")</f>
        <v/>
      </c>
      <c r="AA125" s="22"/>
    </row>
    <row r="126" spans="1:27" x14ac:dyDescent="0.25">
      <c r="A126" s="22" t="str">
        <f>VLOOKUP(Youts[[#This Row],[Código]],BD_Produto[#All],7,FALSE)</f>
        <v>Fora de linha</v>
      </c>
      <c r="B12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6" s="23">
        <v>33100262756</v>
      </c>
      <c r="D126" s="22" t="s">
        <v>897</v>
      </c>
      <c r="E126" s="22" t="str">
        <f>VLOOKUP(Youts[[#This Row],[Código]],BD_Produto[],3,FALSE)</f>
        <v>Storage Mídia</v>
      </c>
      <c r="F126" s="22" t="str">
        <f>VLOOKUP(Youts[[#This Row],[Código]],BD_Produto[],4,FALSE)</f>
        <v>Rock in Rio - Pen Drive</v>
      </c>
      <c r="G126" s="24"/>
      <c r="H126" s="25"/>
      <c r="I126" s="22"/>
      <c r="J126" s="24"/>
      <c r="K126" s="24" t="str">
        <f>IFERROR(VLOOKUP(Youts[[#This Row],[Código]],Importação!P:R,3,FALSE),"")</f>
        <v/>
      </c>
      <c r="L126" s="24">
        <f>IFERROR(VLOOKUP(Youts[[#This Row],[Código]],Saldo[],3,FALSE),0)</f>
        <v>0</v>
      </c>
      <c r="M126" s="24">
        <f>SUM(Youts[[#This Row],[Produção]:[Estoque]])</f>
        <v>0</v>
      </c>
      <c r="N126" s="24" t="str">
        <f>IFERROR(Youts[[#This Row],[Estoque+Importação]]/Youts[[#This Row],[Proj. de V. No prox. mes]],"Sem Projeção")</f>
        <v>Sem Projeção</v>
      </c>
      <c r="O126" s="24" t="str">
        <f>IF(OR(Youts[[#This Row],[Status]]="Em Linha",Youts[[#This Row],[Status]]="Componente",Youts[[#This Row],[Status]]="Materia Prima"),Youts[[#This Row],[Proj. de V. No prox. mes]]*10,"-")</f>
        <v>-</v>
      </c>
      <c r="P12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6" s="83">
        <f>VLOOKUP(Youts[[#This Row],[Código]],Projeção[#All],15,FALSE)</f>
        <v>0</v>
      </c>
      <c r="R126" s="43">
        <f>VLOOKUP(Youts[[#This Row],[Código]],Projeção[#All],14,FALSE)</f>
        <v>0</v>
      </c>
      <c r="S126" s="39">
        <f>IFERROR(VLOOKUP(Youts[[#This Row],[Código]],Venda_mes[],2,FALSE),0)</f>
        <v>0</v>
      </c>
      <c r="T126" s="44" t="str">
        <f>IFERROR(Youts[[#This Row],[V. No mes]]/Youts[[#This Row],[Proj. de V. No mes]],"")</f>
        <v/>
      </c>
      <c r="U126" s="43">
        <f>VLOOKUP(Youts[[#This Row],[Código]],Projeção[#All],14,FALSE)+VLOOKUP(Youts[[#This Row],[Código]],Projeção[#All],13,FALSE)+VLOOKUP(Youts[[#This Row],[Código]],Projeção[#All],12,FALSE)</f>
        <v>0</v>
      </c>
      <c r="V126" s="39">
        <f>IFERROR(VLOOKUP(Youts[[#This Row],[Código]],Venda_3meses[],2,FALSE),0)</f>
        <v>0</v>
      </c>
      <c r="W126" s="44" t="str">
        <f>IFERROR(Youts[[#This Row],[V. 3 meses]]/Youts[[#This Row],[Proj. de V. 3 meses]],"")</f>
        <v/>
      </c>
      <c r="X12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6" s="39">
        <f>IFERROR(VLOOKUP(Youts[[#This Row],[Código]],Venda_12meses[],2,FALSE),0)</f>
        <v>0</v>
      </c>
      <c r="Z126" s="44" t="str">
        <f>IFERROR(Youts[[#This Row],[V. 12 meses]]/Youts[[#This Row],[Proj. de V. 12 meses]],"")</f>
        <v/>
      </c>
      <c r="AA126" s="22"/>
    </row>
    <row r="127" spans="1:27" x14ac:dyDescent="0.25">
      <c r="A127" s="22" t="str">
        <f>VLOOKUP(Youts[[#This Row],[Código]],BD_Produto[#All],7,FALSE)</f>
        <v>Fora de linha</v>
      </c>
      <c r="B12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7" s="23">
        <v>30101061422</v>
      </c>
      <c r="D127" s="22" t="s">
        <v>935</v>
      </c>
      <c r="E127" s="22" t="str">
        <f>VLOOKUP(Youts[[#This Row],[Código]],BD_Produto[],3,FALSE)</f>
        <v>Mídia Packing</v>
      </c>
      <c r="F127" s="22" t="str">
        <f>VLOOKUP(Youts[[#This Row],[Código]],BD_Produto[],4,FALSE)</f>
        <v>Embalagem</v>
      </c>
      <c r="G127" s="24"/>
      <c r="H127" s="25"/>
      <c r="I127" s="22"/>
      <c r="J127" s="24"/>
      <c r="K127" s="24" t="str">
        <f>IFERROR(VLOOKUP(Youts[[#This Row],[Código]],Importação!P:R,3,FALSE),"")</f>
        <v/>
      </c>
      <c r="L127" s="24">
        <f>IFERROR(VLOOKUP(Youts[[#This Row],[Código]],Saldo[],3,FALSE),0)</f>
        <v>0</v>
      </c>
      <c r="M127" s="24">
        <f>SUM(Youts[[#This Row],[Produção]:[Estoque]])</f>
        <v>0</v>
      </c>
      <c r="N127" s="24" t="str">
        <f>IFERROR(Youts[[#This Row],[Estoque+Importação]]/Youts[[#This Row],[Proj. de V. No prox. mes]],"Sem Projeção")</f>
        <v>Sem Projeção</v>
      </c>
      <c r="O127" s="24" t="str">
        <f>IF(OR(Youts[[#This Row],[Status]]="Em Linha",Youts[[#This Row],[Status]]="Componente",Youts[[#This Row],[Status]]="Materia Prima"),Youts[[#This Row],[Proj. de V. No prox. mes]]*10,"-")</f>
        <v>-</v>
      </c>
      <c r="P12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7" s="34">
        <f>VLOOKUP(Youts[[#This Row],[Código]],Projeção[#All],15,FALSE)</f>
        <v>0</v>
      </c>
      <c r="R127" s="43">
        <f>VLOOKUP(Youts[[#This Row],[Código]],Projeção[#All],14,FALSE)</f>
        <v>0</v>
      </c>
      <c r="S127" s="39">
        <f>IFERROR(VLOOKUP(Youts[[#This Row],[Código]],Venda_mes[],2,FALSE),0)</f>
        <v>0</v>
      </c>
      <c r="T127" s="44" t="str">
        <f>IFERROR(Youts[[#This Row],[V. No mes]]/Youts[[#This Row],[Proj. de V. No mes]],"")</f>
        <v/>
      </c>
      <c r="U127" s="43">
        <f>VLOOKUP(Youts[[#This Row],[Código]],Projeção[#All],14,FALSE)+VLOOKUP(Youts[[#This Row],[Código]],Projeção[#All],13,FALSE)+VLOOKUP(Youts[[#This Row],[Código]],Projeção[#All],12,FALSE)</f>
        <v>0</v>
      </c>
      <c r="V127" s="39">
        <f>IFERROR(VLOOKUP(Youts[[#This Row],[Código]],Venda_3meses[],2,FALSE),0)</f>
        <v>0</v>
      </c>
      <c r="W127" s="44" t="str">
        <f>IFERROR(Youts[[#This Row],[V. 3 meses]]/Youts[[#This Row],[Proj. de V. 3 meses]],"")</f>
        <v/>
      </c>
      <c r="X12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7" s="39">
        <f>IFERROR(VLOOKUP(Youts[[#This Row],[Código]],Venda_12meses[],2,FALSE),0)</f>
        <v>0</v>
      </c>
      <c r="Z127" s="44" t="str">
        <f>IFERROR(Youts[[#This Row],[V. 12 meses]]/Youts[[#This Row],[Proj. de V. 12 meses]],"")</f>
        <v/>
      </c>
      <c r="AA127" s="22"/>
    </row>
    <row r="128" spans="1:27" x14ac:dyDescent="0.25">
      <c r="A128" s="22" t="str">
        <f>VLOOKUP(Youts[[#This Row],[Código]],BD_Produto[#All],7,FALSE)</f>
        <v>Fora de linha</v>
      </c>
      <c r="B12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8" s="23">
        <v>30101061423</v>
      </c>
      <c r="D128" s="22" t="s">
        <v>1238</v>
      </c>
      <c r="E128" s="22" t="str">
        <f>VLOOKUP(Youts[[#This Row],[Código]],BD_Produto[],3,FALSE)</f>
        <v>Mídia Packing</v>
      </c>
      <c r="F128" s="22" t="str">
        <f>VLOOKUP(Youts[[#This Row],[Código]],BD_Produto[],4,FALSE)</f>
        <v>Colorful - Embalagem</v>
      </c>
      <c r="G128" s="24"/>
      <c r="H128" s="25"/>
      <c r="I128" s="22"/>
      <c r="J128" s="24"/>
      <c r="K128" s="24" t="str">
        <f>IFERROR(VLOOKUP(Youts[[#This Row],[Código]],Importação!P:R,3,FALSE),"")</f>
        <v/>
      </c>
      <c r="L128" s="24">
        <f>IFERROR(VLOOKUP(Youts[[#This Row],[Código]],Saldo[],3,FALSE),0)</f>
        <v>0</v>
      </c>
      <c r="M128" s="24">
        <f>SUM(Youts[[#This Row],[Produção]:[Estoque]])</f>
        <v>0</v>
      </c>
      <c r="N128" s="24" t="str">
        <f>IFERROR(Youts[[#This Row],[Estoque+Importação]]/Youts[[#This Row],[Proj. de V. No prox. mes]],"Sem Projeção")</f>
        <v>Sem Projeção</v>
      </c>
      <c r="O128" s="24" t="str">
        <f>IF(OR(Youts[[#This Row],[Status]]="Em Linha",Youts[[#This Row],[Status]]="Componente",Youts[[#This Row],[Status]]="Materia Prima"),Youts[[#This Row],[Proj. de V. No prox. mes]]*10,"-")</f>
        <v>-</v>
      </c>
      <c r="P12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8" s="34">
        <f>VLOOKUP(Youts[[#This Row],[Código]],Projeção[#All],15,FALSE)</f>
        <v>0</v>
      </c>
      <c r="R128" s="43">
        <f>VLOOKUP(Youts[[#This Row],[Código]],Projeção[#All],14,FALSE)</f>
        <v>0</v>
      </c>
      <c r="S128" s="39">
        <f>IFERROR(VLOOKUP(Youts[[#This Row],[Código]],Venda_mes[],2,FALSE),0)</f>
        <v>0</v>
      </c>
      <c r="T128" s="44" t="str">
        <f>IFERROR(Youts[[#This Row],[V. No mes]]/Youts[[#This Row],[Proj. de V. No mes]],"")</f>
        <v/>
      </c>
      <c r="U128" s="43">
        <f>VLOOKUP(Youts[[#This Row],[Código]],Projeção[#All],14,FALSE)+VLOOKUP(Youts[[#This Row],[Código]],Projeção[#All],13,FALSE)+VLOOKUP(Youts[[#This Row],[Código]],Projeção[#All],12,FALSE)</f>
        <v>0</v>
      </c>
      <c r="V128" s="39">
        <f>IFERROR(VLOOKUP(Youts[[#This Row],[Código]],Venda_3meses[],2,FALSE),0)</f>
        <v>0</v>
      </c>
      <c r="W128" s="44" t="str">
        <f>IFERROR(Youts[[#This Row],[V. 3 meses]]/Youts[[#This Row],[Proj. de V. 3 meses]],"")</f>
        <v/>
      </c>
      <c r="X12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114.16666666666667</v>
      </c>
      <c r="Y128" s="39">
        <f>IFERROR(VLOOKUP(Youts[[#This Row],[Código]],Venda_12meses[],2,FALSE),0)</f>
        <v>0</v>
      </c>
      <c r="Z128" s="44">
        <f>IFERROR(Youts[[#This Row],[V. 12 meses]]/Youts[[#This Row],[Proj. de V. 12 meses]],"")</f>
        <v>0</v>
      </c>
      <c r="AA128" s="22"/>
    </row>
    <row r="129" spans="1:27" x14ac:dyDescent="0.25">
      <c r="A129" s="22" t="str">
        <f>VLOOKUP(Youts[[#This Row],[Código]],BD_Produto[#All],7,FALSE)</f>
        <v>Fora de linha</v>
      </c>
      <c r="B12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29" s="23">
        <v>30101061792</v>
      </c>
      <c r="D129" s="22" t="s">
        <v>1407</v>
      </c>
      <c r="E129" s="22" t="str">
        <f>VLOOKUP(Youts[[#This Row],[Código]],BD_Produto[],3,FALSE)</f>
        <v>Mídia Packing</v>
      </c>
      <c r="F129" s="22" t="str">
        <f>VLOOKUP(Youts[[#This Row],[Código]],BD_Produto[],4,FALSE)</f>
        <v>Embalagem - Lasa</v>
      </c>
      <c r="G129" s="24"/>
      <c r="H129" s="25"/>
      <c r="I129" s="22"/>
      <c r="J129" s="24"/>
      <c r="K129" s="24" t="str">
        <f>IFERROR(VLOOKUP(Youts[[#This Row],[Código]],Importação!P:R,3,FALSE),"")</f>
        <v/>
      </c>
      <c r="L129" s="24">
        <f>IFERROR(VLOOKUP(Youts[[#This Row],[Código]],Saldo[],3,FALSE),0)</f>
        <v>0</v>
      </c>
      <c r="M129" s="24">
        <f>SUM(Youts[[#This Row],[Produção]:[Estoque]])</f>
        <v>0</v>
      </c>
      <c r="N129" s="24" t="str">
        <f>IFERROR(Youts[[#This Row],[Estoque+Importação]]/Youts[[#This Row],[Proj. de V. No prox. mes]],"Sem Projeção")</f>
        <v>Sem Projeção</v>
      </c>
      <c r="O129" s="24" t="str">
        <f>IF(OR(Youts[[#This Row],[Status]]="Em Linha",Youts[[#This Row],[Status]]="Componente",Youts[[#This Row],[Status]]="Materia Prima"),Youts[[#This Row],[Proj. de V. No prox. mes]]*10,"-")</f>
        <v>-</v>
      </c>
      <c r="P12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29" s="83">
        <f>VLOOKUP(Youts[[#This Row],[Código]],Projeção[#All],15,FALSE)</f>
        <v>0</v>
      </c>
      <c r="R129" s="43">
        <f>VLOOKUP(Youts[[#This Row],[Código]],Projeção[#All],14,FALSE)</f>
        <v>0</v>
      </c>
      <c r="S129" s="39">
        <f>IFERROR(VLOOKUP(Youts[[#This Row],[Código]],Venda_mes[],2,FALSE),0)</f>
        <v>0</v>
      </c>
      <c r="T129" s="44" t="str">
        <f>IFERROR(Youts[[#This Row],[V. No mes]]/Youts[[#This Row],[Proj. de V. No mes]],"")</f>
        <v/>
      </c>
      <c r="U129" s="43">
        <f>VLOOKUP(Youts[[#This Row],[Código]],Projeção[#All],14,FALSE)+VLOOKUP(Youts[[#This Row],[Código]],Projeção[#All],13,FALSE)+VLOOKUP(Youts[[#This Row],[Código]],Projeção[#All],12,FALSE)</f>
        <v>0</v>
      </c>
      <c r="V129" s="39">
        <f>IFERROR(VLOOKUP(Youts[[#This Row],[Código]],Venda_3meses[],2,FALSE),0)</f>
        <v>0</v>
      </c>
      <c r="W129" s="44" t="str">
        <f>IFERROR(Youts[[#This Row],[V. 3 meses]]/Youts[[#This Row],[Proj. de V. 3 meses]],"")</f>
        <v/>
      </c>
      <c r="X12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29" s="39">
        <f>IFERROR(VLOOKUP(Youts[[#This Row],[Código]],Venda_12meses[],2,FALSE),0)</f>
        <v>0</v>
      </c>
      <c r="Z129" s="44" t="str">
        <f>IFERROR(Youts[[#This Row],[V. 12 meses]]/Youts[[#This Row],[Proj. de V. 12 meses]],"")</f>
        <v/>
      </c>
      <c r="AA129" s="22" t="s">
        <v>1705</v>
      </c>
    </row>
    <row r="130" spans="1:27" x14ac:dyDescent="0.25">
      <c r="A130" s="22" t="str">
        <f>VLOOKUP(Youts[[#This Row],[Código]],BD_Produto[#All],7,FALSE)</f>
        <v>Fora de linha</v>
      </c>
      <c r="B13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0" s="23">
        <v>30101061793</v>
      </c>
      <c r="D130" s="22" t="s">
        <v>1408</v>
      </c>
      <c r="E130" s="22" t="str">
        <f>VLOOKUP(Youts[[#This Row],[Código]],BD_Produto[],3,FALSE)</f>
        <v>Mídia Packing</v>
      </c>
      <c r="F130" s="22" t="str">
        <f>VLOOKUP(Youts[[#This Row],[Código]],BD_Produto[],4,FALSE)</f>
        <v>Embalagem - Lasa</v>
      </c>
      <c r="G130" s="24"/>
      <c r="H130" s="25"/>
      <c r="I130" s="22"/>
      <c r="J130" s="24"/>
      <c r="K130" s="24" t="str">
        <f>IFERROR(VLOOKUP(Youts[[#This Row],[Código]],Importação!P:R,3,FALSE),"")</f>
        <v/>
      </c>
      <c r="L130" s="24">
        <f>IFERROR(VLOOKUP(Youts[[#This Row],[Código]],Saldo[],3,FALSE),0)</f>
        <v>0</v>
      </c>
      <c r="M130" s="24">
        <f>SUM(Youts[[#This Row],[Produção]:[Estoque]])</f>
        <v>0</v>
      </c>
      <c r="N130" s="24" t="str">
        <f>IFERROR(Youts[[#This Row],[Estoque+Importação]]/Youts[[#This Row],[Proj. de V. No prox. mes]],"Sem Projeção")</f>
        <v>Sem Projeção</v>
      </c>
      <c r="O130" s="24" t="str">
        <f>IF(OR(Youts[[#This Row],[Status]]="Em Linha",Youts[[#This Row],[Status]]="Componente",Youts[[#This Row],[Status]]="Materia Prima"),Youts[[#This Row],[Proj. de V. No prox. mes]]*10,"-")</f>
        <v>-</v>
      </c>
      <c r="P13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0" s="34">
        <f>VLOOKUP(Youts[[#This Row],[Código]],Projeção[#All],15,FALSE)</f>
        <v>0</v>
      </c>
      <c r="R130" s="43">
        <f>VLOOKUP(Youts[[#This Row],[Código]],Projeção[#All],14,FALSE)</f>
        <v>0</v>
      </c>
      <c r="S130" s="39">
        <f>IFERROR(VLOOKUP(Youts[[#This Row],[Código]],Venda_mes[],2,FALSE),0)</f>
        <v>0</v>
      </c>
      <c r="T130" s="44" t="str">
        <f>IFERROR(Youts[[#This Row],[V. No mes]]/Youts[[#This Row],[Proj. de V. No mes]],"")</f>
        <v/>
      </c>
      <c r="U130" s="43">
        <f>VLOOKUP(Youts[[#This Row],[Código]],Projeção[#All],14,FALSE)+VLOOKUP(Youts[[#This Row],[Código]],Projeção[#All],13,FALSE)+VLOOKUP(Youts[[#This Row],[Código]],Projeção[#All],12,FALSE)</f>
        <v>0</v>
      </c>
      <c r="V130" s="39">
        <f>IFERROR(VLOOKUP(Youts[[#This Row],[Código]],Venda_3meses[],2,FALSE),0)</f>
        <v>0</v>
      </c>
      <c r="W130" s="44" t="str">
        <f>IFERROR(Youts[[#This Row],[V. 3 meses]]/Youts[[#This Row],[Proj. de V. 3 meses]],"")</f>
        <v/>
      </c>
      <c r="X13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0" s="39">
        <f>IFERROR(VLOOKUP(Youts[[#This Row],[Código]],Venda_12meses[],2,FALSE),0)</f>
        <v>0</v>
      </c>
      <c r="Z130" s="44" t="str">
        <f>IFERROR(Youts[[#This Row],[V. 12 meses]]/Youts[[#This Row],[Proj. de V. 12 meses]],"")</f>
        <v/>
      </c>
      <c r="AA130" s="22" t="s">
        <v>1705</v>
      </c>
    </row>
    <row r="131" spans="1:27" x14ac:dyDescent="0.25">
      <c r="A131" s="22" t="str">
        <f>VLOOKUP(Youts[[#This Row],[Código]],BD_Produto[#All],7,FALSE)</f>
        <v>Fora de linha</v>
      </c>
      <c r="B13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1" s="23">
        <v>30101061794</v>
      </c>
      <c r="D131" s="22" t="s">
        <v>1409</v>
      </c>
      <c r="E131" s="22" t="str">
        <f>VLOOKUP(Youts[[#This Row],[Código]],BD_Produto[],3,FALSE)</f>
        <v>Mídia Packing</v>
      </c>
      <c r="F131" s="22" t="str">
        <f>VLOOKUP(Youts[[#This Row],[Código]],BD_Produto[],4,FALSE)</f>
        <v>Embalagem - Lasa</v>
      </c>
      <c r="G131" s="24"/>
      <c r="H131" s="25"/>
      <c r="I131" s="22"/>
      <c r="J131" s="24"/>
      <c r="K131" s="24" t="str">
        <f>IFERROR(VLOOKUP(Youts[[#This Row],[Código]],Importação!P:R,3,FALSE),"")</f>
        <v/>
      </c>
      <c r="L131" s="24">
        <f>IFERROR(VLOOKUP(Youts[[#This Row],[Código]],Saldo[],3,FALSE),0)</f>
        <v>0</v>
      </c>
      <c r="M131" s="24">
        <f>SUM(Youts[[#This Row],[Produção]:[Estoque]])</f>
        <v>0</v>
      </c>
      <c r="N131" s="24" t="str">
        <f>IFERROR(Youts[[#This Row],[Estoque+Importação]]/Youts[[#This Row],[Proj. de V. No prox. mes]],"Sem Projeção")</f>
        <v>Sem Projeção</v>
      </c>
      <c r="O131" s="24" t="str">
        <f>IF(OR(Youts[[#This Row],[Status]]="Em Linha",Youts[[#This Row],[Status]]="Componente",Youts[[#This Row],[Status]]="Materia Prima"),Youts[[#This Row],[Proj. de V. No prox. mes]]*10,"-")</f>
        <v>-</v>
      </c>
      <c r="P13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1" s="83">
        <f>VLOOKUP(Youts[[#This Row],[Código]],Projeção[#All],15,FALSE)</f>
        <v>0</v>
      </c>
      <c r="R131" s="43">
        <f>VLOOKUP(Youts[[#This Row],[Código]],Projeção[#All],14,FALSE)</f>
        <v>0</v>
      </c>
      <c r="S131" s="39">
        <f>IFERROR(VLOOKUP(Youts[[#This Row],[Código]],Venda_mes[],2,FALSE),0)</f>
        <v>0</v>
      </c>
      <c r="T131" s="44" t="str">
        <f>IFERROR(Youts[[#This Row],[V. No mes]]/Youts[[#This Row],[Proj. de V. No mes]],"")</f>
        <v/>
      </c>
      <c r="U131" s="43">
        <f>VLOOKUP(Youts[[#This Row],[Código]],Projeção[#All],14,FALSE)+VLOOKUP(Youts[[#This Row],[Código]],Projeção[#All],13,FALSE)+VLOOKUP(Youts[[#This Row],[Código]],Projeção[#All],12,FALSE)</f>
        <v>0</v>
      </c>
      <c r="V131" s="39">
        <f>IFERROR(VLOOKUP(Youts[[#This Row],[Código]],Venda_3meses[],2,FALSE),0)</f>
        <v>0</v>
      </c>
      <c r="W131" s="44" t="str">
        <f>IFERROR(Youts[[#This Row],[V. 3 meses]]/Youts[[#This Row],[Proj. de V. 3 meses]],"")</f>
        <v/>
      </c>
      <c r="X13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1" s="39">
        <f>IFERROR(VLOOKUP(Youts[[#This Row],[Código]],Venda_12meses[],2,FALSE),0)</f>
        <v>0</v>
      </c>
      <c r="Z131" s="44" t="str">
        <f>IFERROR(Youts[[#This Row],[V. 12 meses]]/Youts[[#This Row],[Proj. de V. 12 meses]],"")</f>
        <v/>
      </c>
      <c r="AA131" s="22" t="s">
        <v>1705</v>
      </c>
    </row>
    <row r="132" spans="1:27" x14ac:dyDescent="0.25">
      <c r="A132" s="22" t="str">
        <f>VLOOKUP(Youts[[#This Row],[Código]],BD_Produto[#All],7,FALSE)</f>
        <v>Fora de linha</v>
      </c>
      <c r="B13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2" s="23">
        <v>30101061795</v>
      </c>
      <c r="D132" s="22" t="s">
        <v>1411</v>
      </c>
      <c r="E132" s="22" t="str">
        <f>VLOOKUP(Youts[[#This Row],[Código]],BD_Produto[],3,FALSE)</f>
        <v>Storage Mídia</v>
      </c>
      <c r="F132" s="22" t="str">
        <f>VLOOKUP(Youts[[#This Row],[Código]],BD_Produto[],4,FALSE)</f>
        <v>Colorful - Embalagem Lasa</v>
      </c>
      <c r="G132" s="24"/>
      <c r="H132" s="25"/>
      <c r="I132" s="22"/>
      <c r="J132" s="24"/>
      <c r="K132" s="24" t="str">
        <f>IFERROR(VLOOKUP(Youts[[#This Row],[Código]],Importação!P:R,3,FALSE),"")</f>
        <v/>
      </c>
      <c r="L132" s="24">
        <f>IFERROR(VLOOKUP(Youts[[#This Row],[Código]],Saldo[],3,FALSE),0)</f>
        <v>0</v>
      </c>
      <c r="M132" s="24">
        <f>SUM(Youts[[#This Row],[Produção]:[Estoque]])</f>
        <v>0</v>
      </c>
      <c r="N132" s="24" t="str">
        <f>IFERROR(Youts[[#This Row],[Estoque+Importação]]/Youts[[#This Row],[Proj. de V. No prox. mes]],"Sem Projeção")</f>
        <v>Sem Projeção</v>
      </c>
      <c r="O132" s="24" t="str">
        <f>IF(OR(Youts[[#This Row],[Status]]="Em Linha",Youts[[#This Row],[Status]]="Componente",Youts[[#This Row],[Status]]="Materia Prima"),Youts[[#This Row],[Proj. de V. No prox. mes]]*10,"-")</f>
        <v>-</v>
      </c>
      <c r="P13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2" s="75">
        <f>VLOOKUP(Youts[[#This Row],[Código]],Projeção[#All],15,FALSE)</f>
        <v>0</v>
      </c>
      <c r="R132" s="39">
        <f>VLOOKUP(Youts[[#This Row],[Código]],Projeção[#All],14,FALSE)</f>
        <v>0</v>
      </c>
      <c r="S132" s="39">
        <f>IFERROR(VLOOKUP(Youts[[#This Row],[Código]],Venda_mes[],2,FALSE),0)</f>
        <v>0</v>
      </c>
      <c r="T132" s="44" t="str">
        <f>IFERROR(Youts[[#This Row],[V. No mes]]/Youts[[#This Row],[Proj. de V. No mes]],"")</f>
        <v/>
      </c>
      <c r="U132" s="43">
        <f>VLOOKUP(Youts[[#This Row],[Código]],Projeção[#All],14,FALSE)+VLOOKUP(Youts[[#This Row],[Código]],Projeção[#All],13,FALSE)+VLOOKUP(Youts[[#This Row],[Código]],Projeção[#All],12,FALSE)</f>
        <v>0</v>
      </c>
      <c r="V132" s="39">
        <f>IFERROR(VLOOKUP(Youts[[#This Row],[Código]],Venda_3meses[],2,FALSE),0)</f>
        <v>0</v>
      </c>
      <c r="W132" s="44" t="str">
        <f>IFERROR(Youts[[#This Row],[V. 3 meses]]/Youts[[#This Row],[Proj. de V. 3 meses]],"")</f>
        <v/>
      </c>
      <c r="X13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2" s="39">
        <f>IFERROR(VLOOKUP(Youts[[#This Row],[Código]],Venda_12meses[],2,FALSE),0)</f>
        <v>0</v>
      </c>
      <c r="Z132" s="44" t="str">
        <f>IFERROR(Youts[[#This Row],[V. 12 meses]]/Youts[[#This Row],[Proj. de V. 12 meses]],"")</f>
        <v/>
      </c>
      <c r="AA132" s="22" t="s">
        <v>1705</v>
      </c>
    </row>
    <row r="133" spans="1:27" x14ac:dyDescent="0.25">
      <c r="A133" s="22" t="str">
        <f>VLOOKUP(Youts[[#This Row],[Código]],BD_Produto[#All],7,FALSE)</f>
        <v>Fora de linha</v>
      </c>
      <c r="B13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3" s="23">
        <v>30101061424</v>
      </c>
      <c r="D133" s="22" t="s">
        <v>1204</v>
      </c>
      <c r="E133" s="22" t="str">
        <f>VLOOKUP(Youts[[#This Row],[Código]],BD_Produto[],3,FALSE)</f>
        <v>Mídia Packing</v>
      </c>
      <c r="F133" s="22" t="str">
        <f>VLOOKUP(Youts[[#This Row],[Código]],BD_Produto[],4,FALSE)</f>
        <v>Embalagem</v>
      </c>
      <c r="G133" s="24"/>
      <c r="H133" s="25"/>
      <c r="I133" s="22"/>
      <c r="J133" s="24"/>
      <c r="K133" s="24" t="str">
        <f>IFERROR(VLOOKUP(Youts[[#This Row],[Código]],Importação!P:R,3,FALSE),"")</f>
        <v/>
      </c>
      <c r="L133" s="24">
        <f>IFERROR(VLOOKUP(Youts[[#This Row],[Código]],Saldo[],3,FALSE),0)</f>
        <v>0</v>
      </c>
      <c r="M133" s="24">
        <f>SUM(Youts[[#This Row],[Produção]:[Estoque]])</f>
        <v>0</v>
      </c>
      <c r="N133" s="24" t="str">
        <f>IFERROR(Youts[[#This Row],[Estoque+Importação]]/Youts[[#This Row],[Proj. de V. No prox. mes]],"Sem Projeção")</f>
        <v>Sem Projeção</v>
      </c>
      <c r="O133" s="24" t="str">
        <f>IF(OR(Youts[[#This Row],[Status]]="Em Linha",Youts[[#This Row],[Status]]="Componente",Youts[[#This Row],[Status]]="Materia Prima"),Youts[[#This Row],[Proj. de V. No prox. mes]]*10,"-")</f>
        <v>-</v>
      </c>
      <c r="P13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3" s="34">
        <f>VLOOKUP(Youts[[#This Row],[Código]],Projeção[#All],15,FALSE)</f>
        <v>0</v>
      </c>
      <c r="R133" s="43">
        <f>VLOOKUP(Youts[[#This Row],[Código]],Projeção[#All],14,FALSE)</f>
        <v>0</v>
      </c>
      <c r="S133" s="39">
        <f>IFERROR(VLOOKUP(Youts[[#This Row],[Código]],Venda_mes[],2,FALSE),0)</f>
        <v>0</v>
      </c>
      <c r="T133" s="44" t="str">
        <f>IFERROR(Youts[[#This Row],[V. No mes]]/Youts[[#This Row],[Proj. de V. No mes]],"")</f>
        <v/>
      </c>
      <c r="U133" s="43">
        <f>VLOOKUP(Youts[[#This Row],[Código]],Projeção[#All],14,FALSE)+VLOOKUP(Youts[[#This Row],[Código]],Projeção[#All],13,FALSE)+VLOOKUP(Youts[[#This Row],[Código]],Projeção[#All],12,FALSE)</f>
        <v>0</v>
      </c>
      <c r="V133" s="39">
        <f>IFERROR(VLOOKUP(Youts[[#This Row],[Código]],Venda_3meses[],2,FALSE),0)</f>
        <v>0</v>
      </c>
      <c r="W133" s="44" t="str">
        <f>IFERROR(Youts[[#This Row],[V. 3 meses]]/Youts[[#This Row],[Proj. de V. 3 meses]],"")</f>
        <v/>
      </c>
      <c r="X13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3" s="39">
        <f>IFERROR(VLOOKUP(Youts[[#This Row],[Código]],Venda_12meses[],2,FALSE),0)</f>
        <v>0</v>
      </c>
      <c r="Z133" s="44" t="str">
        <f>IFERROR(Youts[[#This Row],[V. 12 meses]]/Youts[[#This Row],[Proj. de V. 12 meses]],"")</f>
        <v/>
      </c>
      <c r="AA133" s="22"/>
    </row>
    <row r="134" spans="1:27" x14ac:dyDescent="0.25">
      <c r="A134" s="22" t="str">
        <f>VLOOKUP(Youts[[#This Row],[Código]],BD_Produto[#All],7,FALSE)</f>
        <v>Fora de linha</v>
      </c>
      <c r="B13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4" s="23">
        <v>30101061421</v>
      </c>
      <c r="D134" s="22" t="s">
        <v>1237</v>
      </c>
      <c r="E134" s="22" t="str">
        <f>VLOOKUP(Youts[[#This Row],[Código]],BD_Produto[],3,FALSE)</f>
        <v>Mídia Packing</v>
      </c>
      <c r="F134" s="22" t="str">
        <f>VLOOKUP(Youts[[#This Row],[Código]],BD_Produto[],4,FALSE)</f>
        <v>Embalagem</v>
      </c>
      <c r="G134" s="24"/>
      <c r="H134" s="25"/>
      <c r="I134" s="22"/>
      <c r="J134" s="24"/>
      <c r="K134" s="24" t="str">
        <f>IFERROR(VLOOKUP(Youts[[#This Row],[Código]],Importação!P:R,3,FALSE),"")</f>
        <v/>
      </c>
      <c r="L134" s="24">
        <f>IFERROR(VLOOKUP(Youts[[#This Row],[Código]],Saldo[],3,FALSE),0)</f>
        <v>0</v>
      </c>
      <c r="M134" s="24">
        <f>SUM(Youts[[#This Row],[Produção]:[Estoque]])</f>
        <v>0</v>
      </c>
      <c r="N134" s="24" t="str">
        <f>IFERROR(Youts[[#This Row],[Estoque+Importação]]/Youts[[#This Row],[Proj. de V. No prox. mes]],"Sem Projeção")</f>
        <v>Sem Projeção</v>
      </c>
      <c r="O134" s="24" t="str">
        <f>IF(OR(Youts[[#This Row],[Status]]="Em Linha",Youts[[#This Row],[Status]]="Componente",Youts[[#This Row],[Status]]="Materia Prima"),Youts[[#This Row],[Proj. de V. No prox. mes]]*10,"-")</f>
        <v>-</v>
      </c>
      <c r="P13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4" s="75">
        <f>VLOOKUP(Youts[[#This Row],[Código]],Projeção[#All],15,FALSE)</f>
        <v>0</v>
      </c>
      <c r="R134" s="39">
        <f>VLOOKUP(Youts[[#This Row],[Código]],Projeção[#All],14,FALSE)</f>
        <v>0</v>
      </c>
      <c r="S134" s="39">
        <f>IFERROR(VLOOKUP(Youts[[#This Row],[Código]],Venda_mes[],2,FALSE),0)</f>
        <v>0</v>
      </c>
      <c r="T134" s="44" t="str">
        <f>IFERROR(Youts[[#This Row],[V. No mes]]/Youts[[#This Row],[Proj. de V. No mes]],"")</f>
        <v/>
      </c>
      <c r="U134" s="43">
        <f>VLOOKUP(Youts[[#This Row],[Código]],Projeção[#All],14,FALSE)+VLOOKUP(Youts[[#This Row],[Código]],Projeção[#All],13,FALSE)+VLOOKUP(Youts[[#This Row],[Código]],Projeção[#All],12,FALSE)</f>
        <v>0</v>
      </c>
      <c r="V134" s="39">
        <f>IFERROR(VLOOKUP(Youts[[#This Row],[Código]],Venda_3meses[],2,FALSE),0)</f>
        <v>0</v>
      </c>
      <c r="W134" s="44" t="str">
        <f>IFERROR(Youts[[#This Row],[V. 3 meses]]/Youts[[#This Row],[Proj. de V. 3 meses]],"")</f>
        <v/>
      </c>
      <c r="X13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199.1</v>
      </c>
      <c r="Y134" s="39">
        <f>IFERROR(VLOOKUP(Youts[[#This Row],[Código]],Venda_12meses[],2,FALSE),0)</f>
        <v>0</v>
      </c>
      <c r="Z134" s="44">
        <f>IFERROR(Youts[[#This Row],[V. 12 meses]]/Youts[[#This Row],[Proj. de V. 12 meses]],"")</f>
        <v>0</v>
      </c>
      <c r="AA134" s="22"/>
    </row>
    <row r="135" spans="1:27" x14ac:dyDescent="0.25">
      <c r="A135" s="22" t="str">
        <f>VLOOKUP(Youts[[#This Row],[Código]],BD_Produto[#All],7,FALSE)</f>
        <v>Fora de linha</v>
      </c>
      <c r="B13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5" s="23">
        <v>30101061425</v>
      </c>
      <c r="D135" s="22" t="s">
        <v>1222</v>
      </c>
      <c r="E135" s="22" t="str">
        <f>VLOOKUP(Youts[[#This Row],[Código]],BD_Produto[],3,FALSE)</f>
        <v>Mídia Packing</v>
      </c>
      <c r="F135" s="22" t="str">
        <f>VLOOKUP(Youts[[#This Row],[Código]],BD_Produto[],4,FALSE)</f>
        <v>Embalagem</v>
      </c>
      <c r="G135" s="24"/>
      <c r="H135" s="25"/>
      <c r="I135" s="22"/>
      <c r="J135" s="24"/>
      <c r="K135" s="24" t="str">
        <f>IFERROR(VLOOKUP(Youts[[#This Row],[Código]],Importação!P:R,3,FALSE),"")</f>
        <v/>
      </c>
      <c r="L135" s="24">
        <f>IFERROR(VLOOKUP(Youts[[#This Row],[Código]],Saldo[],3,FALSE),0)</f>
        <v>0</v>
      </c>
      <c r="M135" s="24">
        <f>SUM(Youts[[#This Row],[Produção]:[Estoque]])</f>
        <v>0</v>
      </c>
      <c r="N135" s="24" t="str">
        <f>IFERROR(Youts[[#This Row],[Estoque+Importação]]/Youts[[#This Row],[Proj. de V. No prox. mes]],"Sem Projeção")</f>
        <v>Sem Projeção</v>
      </c>
      <c r="O135" s="24" t="str">
        <f>IF(OR(Youts[[#This Row],[Status]]="Em Linha",Youts[[#This Row],[Status]]="Componente",Youts[[#This Row],[Status]]="Materia Prima"),Youts[[#This Row],[Proj. de V. No prox. mes]]*10,"-")</f>
        <v>-</v>
      </c>
      <c r="P13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5" s="34">
        <f>VLOOKUP(Youts[[#This Row],[Código]],Projeção[#All],15,FALSE)</f>
        <v>0</v>
      </c>
      <c r="R135" s="43">
        <f>VLOOKUP(Youts[[#This Row],[Código]],Projeção[#All],14,FALSE)</f>
        <v>0</v>
      </c>
      <c r="S135" s="39">
        <f>IFERROR(VLOOKUP(Youts[[#This Row],[Código]],Venda_mes[],2,FALSE),0)</f>
        <v>0</v>
      </c>
      <c r="T135" s="44" t="str">
        <f>IFERROR(Youts[[#This Row],[V. No mes]]/Youts[[#This Row],[Proj. de V. No mes]],"")</f>
        <v/>
      </c>
      <c r="U135" s="43">
        <f>VLOOKUP(Youts[[#This Row],[Código]],Projeção[#All],14,FALSE)+VLOOKUP(Youts[[#This Row],[Código]],Projeção[#All],13,FALSE)+VLOOKUP(Youts[[#This Row],[Código]],Projeção[#All],12,FALSE)</f>
        <v>0</v>
      </c>
      <c r="V135" s="39">
        <f>IFERROR(VLOOKUP(Youts[[#This Row],[Código]],Venda_3meses[],2,FALSE),0)</f>
        <v>0</v>
      </c>
      <c r="W135" s="44" t="str">
        <f>IFERROR(Youts[[#This Row],[V. 3 meses]]/Youts[[#This Row],[Proj. de V. 3 meses]],"")</f>
        <v/>
      </c>
      <c r="X13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33.033333333333331</v>
      </c>
      <c r="Y135" s="39">
        <f>IFERROR(VLOOKUP(Youts[[#This Row],[Código]],Venda_12meses[],2,FALSE),0)</f>
        <v>0</v>
      </c>
      <c r="Z135" s="44">
        <f>IFERROR(Youts[[#This Row],[V. 12 meses]]/Youts[[#This Row],[Proj. de V. 12 meses]],"")</f>
        <v>0</v>
      </c>
      <c r="AA135" s="22"/>
    </row>
    <row r="136" spans="1:27" x14ac:dyDescent="0.25">
      <c r="A136" s="22" t="str">
        <f>VLOOKUP(Youts[[#This Row],[Código]],BD_Produto[#All],7,FALSE)</f>
        <v>Fora de linha</v>
      </c>
      <c r="B13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6" s="23">
        <v>30101061420</v>
      </c>
      <c r="D136" s="22" t="s">
        <v>1199</v>
      </c>
      <c r="E136" s="22" t="str">
        <f>VLOOKUP(Youts[[#This Row],[Código]],BD_Produto[],3,FALSE)</f>
        <v>Mídia Packing</v>
      </c>
      <c r="F136" s="22" t="str">
        <f>VLOOKUP(Youts[[#This Row],[Código]],BD_Produto[],4,FALSE)</f>
        <v>Embalagem</v>
      </c>
      <c r="G136" s="24"/>
      <c r="H136" s="25"/>
      <c r="I136" s="22"/>
      <c r="J136" s="24"/>
      <c r="K136" s="24" t="str">
        <f>IFERROR(VLOOKUP(Youts[[#This Row],[Código]],Importação!P:R,3,FALSE),"")</f>
        <v/>
      </c>
      <c r="L136" s="24">
        <f>IFERROR(VLOOKUP(Youts[[#This Row],[Código]],Saldo[],3,FALSE),0)</f>
        <v>0</v>
      </c>
      <c r="M136" s="24">
        <f>SUM(Youts[[#This Row],[Produção]:[Estoque]])</f>
        <v>0</v>
      </c>
      <c r="N136" s="24" t="str">
        <f>IFERROR(Youts[[#This Row],[Estoque+Importação]]/Youts[[#This Row],[Proj. de V. No prox. mes]],"Sem Projeção")</f>
        <v>Sem Projeção</v>
      </c>
      <c r="O136" s="24" t="str">
        <f>IF(OR(Youts[[#This Row],[Status]]="Em Linha",Youts[[#This Row],[Status]]="Componente",Youts[[#This Row],[Status]]="Materia Prima"),Youts[[#This Row],[Proj. de V. No prox. mes]]*10,"-")</f>
        <v>-</v>
      </c>
      <c r="P13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6" s="34">
        <f>VLOOKUP(Youts[[#This Row],[Código]],Projeção[#All],15,FALSE)</f>
        <v>0</v>
      </c>
      <c r="R136" s="43">
        <f>VLOOKUP(Youts[[#This Row],[Código]],Projeção[#All],14,FALSE)</f>
        <v>0</v>
      </c>
      <c r="S136" s="39">
        <f>IFERROR(VLOOKUP(Youts[[#This Row],[Código]],Venda_mes[],2,FALSE),0)</f>
        <v>0</v>
      </c>
      <c r="T136" s="44" t="str">
        <f>IFERROR(Youts[[#This Row],[V. No mes]]/Youts[[#This Row],[Proj. de V. No mes]],"")</f>
        <v/>
      </c>
      <c r="U136" s="43">
        <f>VLOOKUP(Youts[[#This Row],[Código]],Projeção[#All],14,FALSE)+VLOOKUP(Youts[[#This Row],[Código]],Projeção[#All],13,FALSE)+VLOOKUP(Youts[[#This Row],[Código]],Projeção[#All],12,FALSE)</f>
        <v>0</v>
      </c>
      <c r="V136" s="39">
        <f>IFERROR(VLOOKUP(Youts[[#This Row],[Código]],Venda_3meses[],2,FALSE),0)</f>
        <v>0</v>
      </c>
      <c r="W136" s="44" t="str">
        <f>IFERROR(Youts[[#This Row],[V. 3 meses]]/Youts[[#This Row],[Proj. de V. 3 meses]],"")</f>
        <v/>
      </c>
      <c r="X13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6" s="39">
        <f>IFERROR(VLOOKUP(Youts[[#This Row],[Código]],Venda_12meses[],2,FALSE),0)</f>
        <v>0</v>
      </c>
      <c r="Z136" s="44" t="str">
        <f>IFERROR(Youts[[#This Row],[V. 12 meses]]/Youts[[#This Row],[Proj. de V. 12 meses]],"")</f>
        <v/>
      </c>
      <c r="AA136" s="22"/>
    </row>
    <row r="137" spans="1:27" x14ac:dyDescent="0.25">
      <c r="A137" s="22" t="str">
        <f>VLOOKUP(Youts[[#This Row],[Código]],BD_Produto[#All],7,FALSE)</f>
        <v>Fora de linha</v>
      </c>
      <c r="B13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7" s="23">
        <v>30101061788</v>
      </c>
      <c r="D137" s="22" t="s">
        <v>1199</v>
      </c>
      <c r="E137" s="22" t="str">
        <f>VLOOKUP(Youts[[#This Row],[Código]],BD_Produto[],3,FALSE)</f>
        <v>Mídia Packing</v>
      </c>
      <c r="F137" s="22" t="str">
        <f>VLOOKUP(Youts[[#This Row],[Código]],BD_Produto[],4,FALSE)</f>
        <v>Embalagem - Lasa</v>
      </c>
      <c r="G137" s="24"/>
      <c r="H137" s="25"/>
      <c r="I137" s="22"/>
      <c r="J137" s="24"/>
      <c r="K137" s="24" t="str">
        <f>IFERROR(VLOOKUP(Youts[[#This Row],[Código]],Importação!P:R,3,FALSE),"")</f>
        <v/>
      </c>
      <c r="L137" s="24">
        <f>IFERROR(VLOOKUP(Youts[[#This Row],[Código]],Saldo[],3,FALSE),0)</f>
        <v>0</v>
      </c>
      <c r="M137" s="24">
        <f>SUM(Youts[[#This Row],[Produção]:[Estoque]])</f>
        <v>0</v>
      </c>
      <c r="N137" s="24" t="str">
        <f>IFERROR(Youts[[#This Row],[Estoque+Importação]]/Youts[[#This Row],[Proj. de V. No prox. mes]],"Sem Projeção")</f>
        <v>Sem Projeção</v>
      </c>
      <c r="O137" s="24" t="str">
        <f>IF(OR(Youts[[#This Row],[Status]]="Em Linha",Youts[[#This Row],[Status]]="Componente",Youts[[#This Row],[Status]]="Materia Prima"),Youts[[#This Row],[Proj. de V. No prox. mes]]*10,"-")</f>
        <v>-</v>
      </c>
      <c r="P13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7" s="83">
        <f>VLOOKUP(Youts[[#This Row],[Código]],Projeção[#All],15,FALSE)</f>
        <v>0</v>
      </c>
      <c r="R137" s="43">
        <f>VLOOKUP(Youts[[#This Row],[Código]],Projeção[#All],14,FALSE)</f>
        <v>0</v>
      </c>
      <c r="S137" s="39">
        <f>IFERROR(VLOOKUP(Youts[[#This Row],[Código]],Venda_mes[],2,FALSE),0)</f>
        <v>0</v>
      </c>
      <c r="T137" s="44" t="str">
        <f>IFERROR(Youts[[#This Row],[V. No mes]]/Youts[[#This Row],[Proj. de V. No mes]],"")</f>
        <v/>
      </c>
      <c r="U137" s="43">
        <f>VLOOKUP(Youts[[#This Row],[Código]],Projeção[#All],14,FALSE)+VLOOKUP(Youts[[#This Row],[Código]],Projeção[#All],13,FALSE)+VLOOKUP(Youts[[#This Row],[Código]],Projeção[#All],12,FALSE)</f>
        <v>0</v>
      </c>
      <c r="V137" s="39">
        <f>IFERROR(VLOOKUP(Youts[[#This Row],[Código]],Venda_3meses[],2,FALSE),0)</f>
        <v>0</v>
      </c>
      <c r="W137" s="44" t="str">
        <f>IFERROR(Youts[[#This Row],[V. 3 meses]]/Youts[[#This Row],[Proj. de V. 3 meses]],"")</f>
        <v/>
      </c>
      <c r="X13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7" s="39">
        <f>IFERROR(VLOOKUP(Youts[[#This Row],[Código]],Venda_12meses[],2,FALSE),0)</f>
        <v>0</v>
      </c>
      <c r="Z137" s="44" t="str">
        <f>IFERROR(Youts[[#This Row],[V. 12 meses]]/Youts[[#This Row],[Proj. de V. 12 meses]],"")</f>
        <v/>
      </c>
      <c r="AA137" s="22" t="s">
        <v>1705</v>
      </c>
    </row>
    <row r="138" spans="1:27" x14ac:dyDescent="0.25">
      <c r="A138" s="22" t="str">
        <f>VLOOKUP(Youts[[#This Row],[Código]],BD_Produto[#All],7,FALSE)</f>
        <v>Fora de linha</v>
      </c>
      <c r="B13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8" s="23">
        <v>30101061789</v>
      </c>
      <c r="D138" s="22" t="s">
        <v>1242</v>
      </c>
      <c r="E138" s="22" t="str">
        <f>VLOOKUP(Youts[[#This Row],[Código]],BD_Produto[],3,FALSE)</f>
        <v>Mídia Packing</v>
      </c>
      <c r="F138" s="22" t="str">
        <f>VLOOKUP(Youts[[#This Row],[Código]],BD_Produto[],4,FALSE)</f>
        <v>Embalagem - Lasa</v>
      </c>
      <c r="G138" s="24"/>
      <c r="H138" s="25"/>
      <c r="I138" s="22"/>
      <c r="J138" s="24"/>
      <c r="K138" s="24" t="str">
        <f>IFERROR(VLOOKUP(Youts[[#This Row],[Código]],Importação!P:R,3,FALSE),"")</f>
        <v/>
      </c>
      <c r="L138" s="24">
        <f>IFERROR(VLOOKUP(Youts[[#This Row],[Código]],Saldo[],3,FALSE),0)</f>
        <v>0</v>
      </c>
      <c r="M138" s="24">
        <f>SUM(Youts[[#This Row],[Produção]:[Estoque]])</f>
        <v>0</v>
      </c>
      <c r="N138" s="24" t="str">
        <f>IFERROR(Youts[[#This Row],[Estoque+Importação]]/Youts[[#This Row],[Proj. de V. No prox. mes]],"Sem Projeção")</f>
        <v>Sem Projeção</v>
      </c>
      <c r="O138" s="24" t="str">
        <f>IF(OR(Youts[[#This Row],[Status]]="Em Linha",Youts[[#This Row],[Status]]="Componente",Youts[[#This Row],[Status]]="Materia Prima"),Youts[[#This Row],[Proj. de V. No prox. mes]]*10,"-")</f>
        <v>-</v>
      </c>
      <c r="P13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8" s="83">
        <f>VLOOKUP(Youts[[#This Row],[Código]],Projeção[#All],15,FALSE)</f>
        <v>0</v>
      </c>
      <c r="R138" s="43">
        <f>VLOOKUP(Youts[[#This Row],[Código]],Projeção[#All],14,FALSE)</f>
        <v>0</v>
      </c>
      <c r="S138" s="39">
        <f>IFERROR(VLOOKUP(Youts[[#This Row],[Código]],Venda_mes[],2,FALSE),0)</f>
        <v>0</v>
      </c>
      <c r="T138" s="44" t="str">
        <f>IFERROR(Youts[[#This Row],[V. No mes]]/Youts[[#This Row],[Proj. de V. No mes]],"")</f>
        <v/>
      </c>
      <c r="U138" s="43">
        <f>VLOOKUP(Youts[[#This Row],[Código]],Projeção[#All],14,FALSE)+VLOOKUP(Youts[[#This Row],[Código]],Projeção[#All],13,FALSE)+VLOOKUP(Youts[[#This Row],[Código]],Projeção[#All],12,FALSE)</f>
        <v>0</v>
      </c>
      <c r="V138" s="39">
        <f>IFERROR(VLOOKUP(Youts[[#This Row],[Código]],Venda_3meses[],2,FALSE),0)</f>
        <v>0</v>
      </c>
      <c r="W138" s="44" t="str">
        <f>IFERROR(Youts[[#This Row],[V. 3 meses]]/Youts[[#This Row],[Proj. de V. 3 meses]],"")</f>
        <v/>
      </c>
      <c r="X13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205.1</v>
      </c>
      <c r="Y138" s="39">
        <f>IFERROR(VLOOKUP(Youts[[#This Row],[Código]],Venda_12meses[],2,FALSE),0)</f>
        <v>0</v>
      </c>
      <c r="Z138" s="44">
        <f>IFERROR(Youts[[#This Row],[V. 12 meses]]/Youts[[#This Row],[Proj. de V. 12 meses]],"")</f>
        <v>0</v>
      </c>
      <c r="AA138" s="22"/>
    </row>
    <row r="139" spans="1:27" x14ac:dyDescent="0.25">
      <c r="A139" s="22" t="str">
        <f>VLOOKUP(Youts[[#This Row],[Código]],BD_Produto[#All],7,FALSE)</f>
        <v>Fora de linha</v>
      </c>
      <c r="B13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39" s="23">
        <v>30101061790</v>
      </c>
      <c r="D139" s="22" t="s">
        <v>1406</v>
      </c>
      <c r="E139" s="22" t="str">
        <f>VLOOKUP(Youts[[#This Row],[Código]],BD_Produto[],3,FALSE)</f>
        <v>Mídia Packing</v>
      </c>
      <c r="F139" s="22" t="str">
        <f>VLOOKUP(Youts[[#This Row],[Código]],BD_Produto[],4,FALSE)</f>
        <v>Embalagem - Lasa</v>
      </c>
      <c r="G139" s="24"/>
      <c r="H139" s="25"/>
      <c r="I139" s="22"/>
      <c r="J139" s="24"/>
      <c r="K139" s="24" t="str">
        <f>IFERROR(VLOOKUP(Youts[[#This Row],[Código]],Importação!P:R,3,FALSE),"")</f>
        <v/>
      </c>
      <c r="L139" s="24">
        <f>IFERROR(VLOOKUP(Youts[[#This Row],[Código]],Saldo[],3,FALSE),0)</f>
        <v>0</v>
      </c>
      <c r="M139" s="24">
        <f>SUM(Youts[[#This Row],[Produção]:[Estoque]])</f>
        <v>0</v>
      </c>
      <c r="N139" s="24" t="str">
        <f>IFERROR(Youts[[#This Row],[Estoque+Importação]]/Youts[[#This Row],[Proj. de V. No prox. mes]],"Sem Projeção")</f>
        <v>Sem Projeção</v>
      </c>
      <c r="O139" s="24" t="str">
        <f>IF(OR(Youts[[#This Row],[Status]]="Em Linha",Youts[[#This Row],[Status]]="Componente",Youts[[#This Row],[Status]]="Materia Prima"),Youts[[#This Row],[Proj. de V. No prox. mes]]*10,"-")</f>
        <v>-</v>
      </c>
      <c r="P13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39" s="83">
        <f>VLOOKUP(Youts[[#This Row],[Código]],Projeção[#All],15,FALSE)</f>
        <v>0</v>
      </c>
      <c r="R139" s="43">
        <f>VLOOKUP(Youts[[#This Row],[Código]],Projeção[#All],14,FALSE)</f>
        <v>0</v>
      </c>
      <c r="S139" s="39">
        <f>IFERROR(VLOOKUP(Youts[[#This Row],[Código]],Venda_mes[],2,FALSE),0)</f>
        <v>0</v>
      </c>
      <c r="T139" s="44" t="str">
        <f>IFERROR(Youts[[#This Row],[V. No mes]]/Youts[[#This Row],[Proj. de V. No mes]],"")</f>
        <v/>
      </c>
      <c r="U139" s="43">
        <f>VLOOKUP(Youts[[#This Row],[Código]],Projeção[#All],14,FALSE)+VLOOKUP(Youts[[#This Row],[Código]],Projeção[#All],13,FALSE)+VLOOKUP(Youts[[#This Row],[Código]],Projeção[#All],12,FALSE)</f>
        <v>0</v>
      </c>
      <c r="V139" s="39">
        <f>IFERROR(VLOOKUP(Youts[[#This Row],[Código]],Venda_3meses[],2,FALSE),0)</f>
        <v>0</v>
      </c>
      <c r="W139" s="44" t="str">
        <f>IFERROR(Youts[[#This Row],[V. 3 meses]]/Youts[[#This Row],[Proj. de V. 3 meses]],"")</f>
        <v/>
      </c>
      <c r="X13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39" s="39">
        <f>IFERROR(VLOOKUP(Youts[[#This Row],[Código]],Venda_12meses[],2,FALSE),0)</f>
        <v>0</v>
      </c>
      <c r="Z139" s="44" t="str">
        <f>IFERROR(Youts[[#This Row],[V. 12 meses]]/Youts[[#This Row],[Proj. de V. 12 meses]],"")</f>
        <v/>
      </c>
      <c r="AA139" s="22" t="s">
        <v>1705</v>
      </c>
    </row>
    <row r="140" spans="1:27" x14ac:dyDescent="0.25">
      <c r="A140" s="22" t="str">
        <f>VLOOKUP(Youts[[#This Row],[Código]],BD_Produto[#All],7,FALSE)</f>
        <v>Fora de linha</v>
      </c>
      <c r="B14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0" s="23">
        <v>30101061791</v>
      </c>
      <c r="D140" s="22" t="s">
        <v>1410</v>
      </c>
      <c r="E140" s="22" t="str">
        <f>VLOOKUP(Youts[[#This Row],[Código]],BD_Produto[],3,FALSE)</f>
        <v>Storage Mídia</v>
      </c>
      <c r="F140" s="22" t="str">
        <f>VLOOKUP(Youts[[#This Row],[Código]],BD_Produto[],4,FALSE)</f>
        <v>Colorful - Embalagem Lasa</v>
      </c>
      <c r="G140" s="24"/>
      <c r="H140" s="25"/>
      <c r="I140" s="22"/>
      <c r="J140" s="24"/>
      <c r="K140" s="24" t="str">
        <f>IFERROR(VLOOKUP(Youts[[#This Row],[Código]],Importação!P:R,3,FALSE),"")</f>
        <v/>
      </c>
      <c r="L140" s="24">
        <f>IFERROR(VLOOKUP(Youts[[#This Row],[Código]],Saldo[],3,FALSE),0)</f>
        <v>0</v>
      </c>
      <c r="M140" s="24">
        <f>SUM(Youts[[#This Row],[Produção]:[Estoque]])</f>
        <v>0</v>
      </c>
      <c r="N140" s="24" t="str">
        <f>IFERROR(Youts[[#This Row],[Estoque+Importação]]/Youts[[#This Row],[Proj. de V. No prox. mes]],"Sem Projeção")</f>
        <v>Sem Projeção</v>
      </c>
      <c r="O140" s="24" t="str">
        <f>IF(OR(Youts[[#This Row],[Status]]="Em Linha",Youts[[#This Row],[Status]]="Componente",Youts[[#This Row],[Status]]="Materia Prima"),Youts[[#This Row],[Proj. de V. No prox. mes]]*10,"-")</f>
        <v>-</v>
      </c>
      <c r="P14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0" s="34">
        <f>VLOOKUP(Youts[[#This Row],[Código]],Projeção[#All],15,FALSE)</f>
        <v>0</v>
      </c>
      <c r="R140" s="43">
        <f>VLOOKUP(Youts[[#This Row],[Código]],Projeção[#All],14,FALSE)</f>
        <v>0</v>
      </c>
      <c r="S140" s="39">
        <f>IFERROR(VLOOKUP(Youts[[#This Row],[Código]],Venda_mes[],2,FALSE),0)</f>
        <v>0</v>
      </c>
      <c r="T140" s="44" t="str">
        <f>IFERROR(Youts[[#This Row],[V. No mes]]/Youts[[#This Row],[Proj. de V. No mes]],"")</f>
        <v/>
      </c>
      <c r="U140" s="43">
        <f>VLOOKUP(Youts[[#This Row],[Código]],Projeção[#All],14,FALSE)+VLOOKUP(Youts[[#This Row],[Código]],Projeção[#All],13,FALSE)+VLOOKUP(Youts[[#This Row],[Código]],Projeção[#All],12,FALSE)</f>
        <v>0</v>
      </c>
      <c r="V140" s="39">
        <f>IFERROR(VLOOKUP(Youts[[#This Row],[Código]],Venda_3meses[],2,FALSE),0)</f>
        <v>0</v>
      </c>
      <c r="W140" s="44" t="str">
        <f>IFERROR(Youts[[#This Row],[V. 3 meses]]/Youts[[#This Row],[Proj. de V. 3 meses]],"")</f>
        <v/>
      </c>
      <c r="X14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0" s="39">
        <f>IFERROR(VLOOKUP(Youts[[#This Row],[Código]],Venda_12meses[],2,FALSE),0)</f>
        <v>0</v>
      </c>
      <c r="Z140" s="44" t="str">
        <f>IFERROR(Youts[[#This Row],[V. 12 meses]]/Youts[[#This Row],[Proj. de V. 12 meses]],"")</f>
        <v/>
      </c>
      <c r="AA140" s="22" t="s">
        <v>1705</v>
      </c>
    </row>
    <row r="141" spans="1:27" x14ac:dyDescent="0.25">
      <c r="A141" s="22" t="str">
        <f>VLOOKUP(Youts[[#This Row],[Código]],BD_Produto[#All],7,FALSE)</f>
        <v>Fora de linha</v>
      </c>
      <c r="B14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1" s="23">
        <v>30103063141</v>
      </c>
      <c r="D141" s="22" t="s">
        <v>1405</v>
      </c>
      <c r="E141" s="22" t="str">
        <f>VLOOKUP(Youts[[#This Row],[Código]],BD_Produto[],3,FALSE)</f>
        <v>Innovation e Design</v>
      </c>
      <c r="F141" s="22" t="str">
        <f>VLOOKUP(Youts[[#This Row],[Código]],BD_Produto[],4,FALSE)</f>
        <v>Auto Loader</v>
      </c>
      <c r="G141" s="24"/>
      <c r="H141" s="25"/>
      <c r="I141" s="22"/>
      <c r="J141" s="24"/>
      <c r="K141" s="24" t="str">
        <f>IFERROR(VLOOKUP(Youts[[#This Row],[Código]],Importação!P:R,3,FALSE),"")</f>
        <v/>
      </c>
      <c r="L141" s="24">
        <f>IFERROR(VLOOKUP(Youts[[#This Row],[Código]],Saldo[],3,FALSE),0)</f>
        <v>0</v>
      </c>
      <c r="M141" s="24">
        <f>SUM(Youts[[#This Row],[Produção]:[Estoque]])</f>
        <v>0</v>
      </c>
      <c r="N141" s="24" t="str">
        <f>IFERROR(Youts[[#This Row],[Estoque+Importação]]/Youts[[#This Row],[Proj. de V. No prox. mes]],"Sem Projeção")</f>
        <v>Sem Projeção</v>
      </c>
      <c r="O141" s="24" t="str">
        <f>IF(OR(Youts[[#This Row],[Status]]="Em Linha",Youts[[#This Row],[Status]]="Componente",Youts[[#This Row],[Status]]="Materia Prima"),Youts[[#This Row],[Proj. de V. No prox. mes]]*10,"-")</f>
        <v>-</v>
      </c>
      <c r="P14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1" s="34">
        <f>VLOOKUP(Youts[[#This Row],[Código]],Projeção[#All],15,FALSE)</f>
        <v>0</v>
      </c>
      <c r="R141" s="43">
        <f>VLOOKUP(Youts[[#This Row],[Código]],Projeção[#All],14,FALSE)</f>
        <v>0</v>
      </c>
      <c r="S141" s="39">
        <f>IFERROR(VLOOKUP(Youts[[#This Row],[Código]],Venda_mes[],2,FALSE),0)</f>
        <v>0</v>
      </c>
      <c r="T141" s="44" t="str">
        <f>IFERROR(Youts[[#This Row],[V. No mes]]/Youts[[#This Row],[Proj. de V. No mes]],"")</f>
        <v/>
      </c>
      <c r="U141" s="43">
        <f>VLOOKUP(Youts[[#This Row],[Código]],Projeção[#All],14,FALSE)+VLOOKUP(Youts[[#This Row],[Código]],Projeção[#All],13,FALSE)+VLOOKUP(Youts[[#This Row],[Código]],Projeção[#All],12,FALSE)</f>
        <v>0</v>
      </c>
      <c r="V141" s="39">
        <f>IFERROR(VLOOKUP(Youts[[#This Row],[Código]],Venda_3meses[],2,FALSE),0)</f>
        <v>0</v>
      </c>
      <c r="W141" s="44" t="str">
        <f>IFERROR(Youts[[#This Row],[V. 3 meses]]/Youts[[#This Row],[Proj. de V. 3 meses]],"")</f>
        <v/>
      </c>
      <c r="X14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1" s="39">
        <f>IFERROR(VLOOKUP(Youts[[#This Row],[Código]],Venda_12meses[],2,FALSE),0)</f>
        <v>0</v>
      </c>
      <c r="Z141" s="44" t="str">
        <f>IFERROR(Youts[[#This Row],[V. 12 meses]]/Youts[[#This Row],[Proj. de V. 12 meses]],"")</f>
        <v/>
      </c>
      <c r="AA141" s="22"/>
    </row>
    <row r="142" spans="1:27" x14ac:dyDescent="0.25">
      <c r="A142" s="22" t="str">
        <f>VLOOKUP(Youts[[#This Row],[Código]],BD_Produto[#All],7,FALSE)</f>
        <v>Fora de linha</v>
      </c>
      <c r="B14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2" s="23">
        <v>30100062080</v>
      </c>
      <c r="D142" s="22" t="s">
        <v>1226</v>
      </c>
      <c r="E142" s="22" t="str">
        <f>VLOOKUP(Youts[[#This Row],[Código]],BD_Produto[],3,FALSE)</f>
        <v>Storage Mídia</v>
      </c>
      <c r="F142" s="22" t="str">
        <f>VLOOKUP(Youts[[#This Row],[Código]],BD_Produto[],4,FALSE)</f>
        <v>Printable - DVD-R</v>
      </c>
      <c r="G142" s="24"/>
      <c r="H142" s="25"/>
      <c r="I142" s="22"/>
      <c r="J142" s="24"/>
      <c r="K142" s="24" t="str">
        <f>IFERROR(VLOOKUP(Youts[[#This Row],[Código]],Importação!P:R,3,FALSE),"")</f>
        <v/>
      </c>
      <c r="L142" s="24">
        <f>IFERROR(VLOOKUP(Youts[[#This Row],[Código]],Saldo[],3,FALSE),0)</f>
        <v>0</v>
      </c>
      <c r="M142" s="24">
        <f>SUM(Youts[[#This Row],[Produção]:[Estoque]])</f>
        <v>0</v>
      </c>
      <c r="N142" s="24" t="str">
        <f>IFERROR(Youts[[#This Row],[Estoque+Importação]]/Youts[[#This Row],[Proj. de V. No prox. mes]],"Sem Projeção")</f>
        <v>Sem Projeção</v>
      </c>
      <c r="O142" s="24" t="str">
        <f>IF(OR(Youts[[#This Row],[Status]]="Em Linha",Youts[[#This Row],[Status]]="Componente",Youts[[#This Row],[Status]]="Materia Prima"),Youts[[#This Row],[Proj. de V. No prox. mes]]*10,"-")</f>
        <v>-</v>
      </c>
      <c r="P14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2" s="34">
        <f>VLOOKUP(Youts[[#This Row],[Código]],Projeção[#All],15,FALSE)</f>
        <v>0</v>
      </c>
      <c r="R142" s="43">
        <f>VLOOKUP(Youts[[#This Row],[Código]],Projeção[#All],14,FALSE)</f>
        <v>0</v>
      </c>
      <c r="S142" s="39">
        <f>IFERROR(VLOOKUP(Youts[[#This Row],[Código]],Venda_mes[],2,FALSE),0)</f>
        <v>0</v>
      </c>
      <c r="T142" s="44" t="str">
        <f>IFERROR(Youts[[#This Row],[V. No mes]]/Youts[[#This Row],[Proj. de V. No mes]],"")</f>
        <v/>
      </c>
      <c r="U142" s="43">
        <f>VLOOKUP(Youts[[#This Row],[Código]],Projeção[#All],14,FALSE)+VLOOKUP(Youts[[#This Row],[Código]],Projeção[#All],13,FALSE)+VLOOKUP(Youts[[#This Row],[Código]],Projeção[#All],12,FALSE)</f>
        <v>0</v>
      </c>
      <c r="V142" s="39">
        <f>IFERROR(VLOOKUP(Youts[[#This Row],[Código]],Venda_3meses[],2,FALSE),0)</f>
        <v>0</v>
      </c>
      <c r="W142" s="44" t="str">
        <f>IFERROR(Youts[[#This Row],[V. 3 meses]]/Youts[[#This Row],[Proj. de V. 3 meses]],"")</f>
        <v/>
      </c>
      <c r="X14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2" s="39">
        <f>IFERROR(VLOOKUP(Youts[[#This Row],[Código]],Venda_12meses[],2,FALSE),0)</f>
        <v>0</v>
      </c>
      <c r="Z142" s="44" t="str">
        <f>IFERROR(Youts[[#This Row],[V. 12 meses]]/Youts[[#This Row],[Proj. de V. 12 meses]],"")</f>
        <v/>
      </c>
      <c r="AA142" s="22"/>
    </row>
    <row r="143" spans="1:27" x14ac:dyDescent="0.25">
      <c r="A143" s="22" t="str">
        <f>VLOOKUP(Youts[[#This Row],[Código]],BD_Produto[#All],7,FALSE)</f>
        <v>Fora de linha</v>
      </c>
      <c r="B14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3" s="23">
        <v>30100061446</v>
      </c>
      <c r="D143" s="22" t="s">
        <v>1243</v>
      </c>
      <c r="E143" s="22" t="str">
        <f>VLOOKUP(Youts[[#This Row],[Código]],BD_Produto[],3,FALSE)</f>
        <v>Storage Mídia</v>
      </c>
      <c r="F143" s="22" t="str">
        <f>VLOOKUP(Youts[[#This Row],[Código]],BD_Produto[],4,FALSE)</f>
        <v>Standard - DVD-R</v>
      </c>
      <c r="G143" s="24"/>
      <c r="H143" s="25"/>
      <c r="I143" s="22"/>
      <c r="J143" s="24"/>
      <c r="K143" s="24" t="str">
        <f>IFERROR(VLOOKUP(Youts[[#This Row],[Código]],Importação!P:R,3,FALSE),"")</f>
        <v/>
      </c>
      <c r="L143" s="24">
        <f>IFERROR(VLOOKUP(Youts[[#This Row],[Código]],Saldo[],3,FALSE),0)</f>
        <v>0</v>
      </c>
      <c r="M143" s="24">
        <f>SUM(Youts[[#This Row],[Produção]:[Estoque]])</f>
        <v>0</v>
      </c>
      <c r="N143" s="24" t="str">
        <f>IFERROR(Youts[[#This Row],[Estoque+Importação]]/Youts[[#This Row],[Proj. de V. No prox. mes]],"Sem Projeção")</f>
        <v>Sem Projeção</v>
      </c>
      <c r="O143" s="24" t="str">
        <f>IF(OR(Youts[[#This Row],[Status]]="Em Linha",Youts[[#This Row],[Status]]="Componente",Youts[[#This Row],[Status]]="Materia Prima"),Youts[[#This Row],[Proj. de V. No prox. mes]]*10,"-")</f>
        <v>-</v>
      </c>
      <c r="P14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3" s="83">
        <f>VLOOKUP(Youts[[#This Row],[Código]],Projeção[#All],15,FALSE)</f>
        <v>0</v>
      </c>
      <c r="R143" s="43">
        <f>VLOOKUP(Youts[[#This Row],[Código]],Projeção[#All],14,FALSE)</f>
        <v>0</v>
      </c>
      <c r="S143" s="39">
        <f>IFERROR(VLOOKUP(Youts[[#This Row],[Código]],Venda_mes[],2,FALSE),0)</f>
        <v>0</v>
      </c>
      <c r="T143" s="44" t="str">
        <f>IFERROR(Youts[[#This Row],[V. No mes]]/Youts[[#This Row],[Proj. de V. No mes]],"")</f>
        <v/>
      </c>
      <c r="U143" s="43">
        <f>VLOOKUP(Youts[[#This Row],[Código]],Projeção[#All],14,FALSE)+VLOOKUP(Youts[[#This Row],[Código]],Projeção[#All],13,FALSE)+VLOOKUP(Youts[[#This Row],[Código]],Projeção[#All],12,FALSE)</f>
        <v>0</v>
      </c>
      <c r="V143" s="39">
        <f>IFERROR(VLOOKUP(Youts[[#This Row],[Código]],Venda_3meses[],2,FALSE),0)</f>
        <v>0</v>
      </c>
      <c r="W143" s="44" t="str">
        <f>IFERROR(Youts[[#This Row],[V. 3 meses]]/Youts[[#This Row],[Proj. de V. 3 meses]],"")</f>
        <v/>
      </c>
      <c r="X14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3" s="39">
        <f>IFERROR(VLOOKUP(Youts[[#This Row],[Código]],Venda_12meses[],2,FALSE),0)</f>
        <v>0</v>
      </c>
      <c r="Z143" s="44" t="str">
        <f>IFERROR(Youts[[#This Row],[V. 12 meses]]/Youts[[#This Row],[Proj. de V. 12 meses]],"")</f>
        <v/>
      </c>
      <c r="AA143" s="22"/>
    </row>
    <row r="144" spans="1:27" x14ac:dyDescent="0.25">
      <c r="A144" s="22" t="str">
        <f>VLOOKUP(Youts[[#This Row],[Código]],BD_Produto[#All],7,FALSE)</f>
        <v>Fora de linha</v>
      </c>
      <c r="B14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4" s="23">
        <v>30100062081</v>
      </c>
      <c r="D144" s="22" t="s">
        <v>1225</v>
      </c>
      <c r="E144" s="22" t="str">
        <f>VLOOKUP(Youts[[#This Row],[Código]],BD_Produto[],3,FALSE)</f>
        <v>Storage Mídia</v>
      </c>
      <c r="F144" s="22" t="str">
        <f>VLOOKUP(Youts[[#This Row],[Código]],BD_Produto[],4,FALSE)</f>
        <v>Printable - Cake - DVD-R</v>
      </c>
      <c r="G144" s="24"/>
      <c r="H144" s="25"/>
      <c r="I144" s="22"/>
      <c r="J144" s="24"/>
      <c r="K144" s="24" t="str">
        <f>IFERROR(VLOOKUP(Youts[[#This Row],[Código]],Importação!P:R,3,FALSE),"")</f>
        <v/>
      </c>
      <c r="L144" s="24">
        <f>IFERROR(VLOOKUP(Youts[[#This Row],[Código]],Saldo[],3,FALSE),0)</f>
        <v>0</v>
      </c>
      <c r="M144" s="24">
        <f>SUM(Youts[[#This Row],[Produção]:[Estoque]])</f>
        <v>0</v>
      </c>
      <c r="N144" s="24" t="str">
        <f>IFERROR(Youts[[#This Row],[Estoque+Importação]]/Youts[[#This Row],[Proj. de V. No prox. mes]],"Sem Projeção")</f>
        <v>Sem Projeção</v>
      </c>
      <c r="O144" s="24" t="str">
        <f>IF(OR(Youts[[#This Row],[Status]]="Em Linha",Youts[[#This Row],[Status]]="Componente",Youts[[#This Row],[Status]]="Materia Prima"),Youts[[#This Row],[Proj. de V. No prox. mes]]*10,"-")</f>
        <v>-</v>
      </c>
      <c r="P14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4" s="34">
        <f>VLOOKUP(Youts[[#This Row],[Código]],Projeção[#All],15,FALSE)</f>
        <v>0</v>
      </c>
      <c r="R144" s="43">
        <f>VLOOKUP(Youts[[#This Row],[Código]],Projeção[#All],14,FALSE)</f>
        <v>0</v>
      </c>
      <c r="S144" s="39">
        <f>IFERROR(VLOOKUP(Youts[[#This Row],[Código]],Venda_mes[],2,FALSE),0)</f>
        <v>0</v>
      </c>
      <c r="T144" s="44" t="str">
        <f>IFERROR(Youts[[#This Row],[V. No mes]]/Youts[[#This Row],[Proj. de V. No mes]],"")</f>
        <v/>
      </c>
      <c r="U144" s="43">
        <f>VLOOKUP(Youts[[#This Row],[Código]],Projeção[#All],14,FALSE)+VLOOKUP(Youts[[#This Row],[Código]],Projeção[#All],13,FALSE)+VLOOKUP(Youts[[#This Row],[Código]],Projeção[#All],12,FALSE)</f>
        <v>0</v>
      </c>
      <c r="V144" s="39">
        <f>IFERROR(VLOOKUP(Youts[[#This Row],[Código]],Venda_3meses[],2,FALSE),0)</f>
        <v>0</v>
      </c>
      <c r="W144" s="44" t="str">
        <f>IFERROR(Youts[[#This Row],[V. 3 meses]]/Youts[[#This Row],[Proj. de V. 3 meses]],"")</f>
        <v/>
      </c>
      <c r="X14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4" s="39">
        <f>IFERROR(VLOOKUP(Youts[[#This Row],[Código]],Venda_12meses[],2,FALSE),0)</f>
        <v>0</v>
      </c>
      <c r="Z144" s="44" t="str">
        <f>IFERROR(Youts[[#This Row],[V. 12 meses]]/Youts[[#This Row],[Proj. de V. 12 meses]],"")</f>
        <v/>
      </c>
      <c r="AA144" s="22"/>
    </row>
    <row r="145" spans="1:27" x14ac:dyDescent="0.25">
      <c r="A145" s="22" t="str">
        <f>VLOOKUP(Youts[[#This Row],[Código]],BD_Produto[#All],7,FALSE)</f>
        <v>Fora de linha</v>
      </c>
      <c r="B14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5" s="23">
        <v>30100062082</v>
      </c>
      <c r="D145" s="22" t="s">
        <v>1232</v>
      </c>
      <c r="E145" s="22" t="str">
        <f>VLOOKUP(Youts[[#This Row],[Código]],BD_Produto[],3,FALSE)</f>
        <v>Storage Mídia</v>
      </c>
      <c r="F145" s="22" t="str">
        <f>VLOOKUP(Youts[[#This Row],[Código]],BD_Produto[],4,FALSE)</f>
        <v>Printable - Cake - DVD-R</v>
      </c>
      <c r="G145" s="24"/>
      <c r="H145" s="25"/>
      <c r="I145" s="22"/>
      <c r="J145" s="24"/>
      <c r="K145" s="24" t="str">
        <f>IFERROR(VLOOKUP(Youts[[#This Row],[Código]],Importação!P:R,3,FALSE),"")</f>
        <v/>
      </c>
      <c r="L145" s="24">
        <f>IFERROR(VLOOKUP(Youts[[#This Row],[Código]],Saldo[],3,FALSE),0)</f>
        <v>0</v>
      </c>
      <c r="M145" s="24">
        <f>SUM(Youts[[#This Row],[Produção]:[Estoque]])</f>
        <v>0</v>
      </c>
      <c r="N145" s="24" t="str">
        <f>IFERROR(Youts[[#This Row],[Estoque+Importação]]/Youts[[#This Row],[Proj. de V. No prox. mes]],"Sem Projeção")</f>
        <v>Sem Projeção</v>
      </c>
      <c r="O145" s="24" t="str">
        <f>IF(OR(Youts[[#This Row],[Status]]="Em Linha",Youts[[#This Row],[Status]]="Componente",Youts[[#This Row],[Status]]="Materia Prima"),Youts[[#This Row],[Proj. de V. No prox. mes]]*10,"-")</f>
        <v>-</v>
      </c>
      <c r="P14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5" s="83">
        <f>VLOOKUP(Youts[[#This Row],[Código]],Projeção[#All],15,FALSE)</f>
        <v>0</v>
      </c>
      <c r="R145" s="43">
        <f>VLOOKUP(Youts[[#This Row],[Código]],Projeção[#All],14,FALSE)</f>
        <v>0</v>
      </c>
      <c r="S145" s="39">
        <f>IFERROR(VLOOKUP(Youts[[#This Row],[Código]],Venda_mes[],2,FALSE),0)</f>
        <v>0</v>
      </c>
      <c r="T145" s="44" t="str">
        <f>IFERROR(Youts[[#This Row],[V. No mes]]/Youts[[#This Row],[Proj. de V. No mes]],"")</f>
        <v/>
      </c>
      <c r="U145" s="43">
        <f>VLOOKUP(Youts[[#This Row],[Código]],Projeção[#All],14,FALSE)+VLOOKUP(Youts[[#This Row],[Código]],Projeção[#All],13,FALSE)+VLOOKUP(Youts[[#This Row],[Código]],Projeção[#All],12,FALSE)</f>
        <v>0</v>
      </c>
      <c r="V145" s="39">
        <f>IFERROR(VLOOKUP(Youts[[#This Row],[Código]],Venda_3meses[],2,FALSE),0)</f>
        <v>0</v>
      </c>
      <c r="W145" s="44" t="str">
        <f>IFERROR(Youts[[#This Row],[V. 3 meses]]/Youts[[#This Row],[Proj. de V. 3 meses]],"")</f>
        <v/>
      </c>
      <c r="X14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5" s="39">
        <f>IFERROR(VLOOKUP(Youts[[#This Row],[Código]],Venda_12meses[],2,FALSE),0)</f>
        <v>0</v>
      </c>
      <c r="Z145" s="44" t="str">
        <f>IFERROR(Youts[[#This Row],[V. 12 meses]]/Youts[[#This Row],[Proj. de V. 12 meses]],"")</f>
        <v/>
      </c>
      <c r="AA145" s="22"/>
    </row>
    <row r="146" spans="1:27" x14ac:dyDescent="0.25">
      <c r="A146" s="22" t="str">
        <f>VLOOKUP(Youts[[#This Row],[Código]],BD_Produto[#All],7,FALSE)</f>
        <v>Fora de linha</v>
      </c>
      <c r="B14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6" s="23">
        <v>30100061460</v>
      </c>
      <c r="D146" s="22" t="s">
        <v>1207</v>
      </c>
      <c r="E146" s="22" t="str">
        <f>VLOOKUP(Youts[[#This Row],[Código]],BD_Produto[],3,FALSE)</f>
        <v>Storage Mídia</v>
      </c>
      <c r="F146" s="22" t="str">
        <f>VLOOKUP(Youts[[#This Row],[Código]],BD_Produto[],4,FALSE)</f>
        <v>Color Label - DVD-R</v>
      </c>
      <c r="G146" s="24"/>
      <c r="H146" s="25"/>
      <c r="I146" s="22"/>
      <c r="J146" s="24"/>
      <c r="K146" s="24" t="str">
        <f>IFERROR(VLOOKUP(Youts[[#This Row],[Código]],Importação!P:R,3,FALSE),"")</f>
        <v/>
      </c>
      <c r="L146" s="24">
        <f>IFERROR(VLOOKUP(Youts[[#This Row],[Código]],Saldo[],3,FALSE),0)</f>
        <v>0</v>
      </c>
      <c r="M146" s="24">
        <f>SUM(Youts[[#This Row],[Produção]:[Estoque]])</f>
        <v>0</v>
      </c>
      <c r="N146" s="24" t="str">
        <f>IFERROR(Youts[[#This Row],[Estoque+Importação]]/Youts[[#This Row],[Proj. de V. No prox. mes]],"Sem Projeção")</f>
        <v>Sem Projeção</v>
      </c>
      <c r="O146" s="24" t="str">
        <f>IF(OR(Youts[[#This Row],[Status]]="Em Linha",Youts[[#This Row],[Status]]="Componente",Youts[[#This Row],[Status]]="Materia Prima"),Youts[[#This Row],[Proj. de V. No prox. mes]]*10,"-")</f>
        <v>-</v>
      </c>
      <c r="P14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6" s="75">
        <f>VLOOKUP(Youts[[#This Row],[Código]],Projeção[#All],15,FALSE)</f>
        <v>0</v>
      </c>
      <c r="R146" s="39">
        <f>VLOOKUP(Youts[[#This Row],[Código]],Projeção[#All],14,FALSE)</f>
        <v>0</v>
      </c>
      <c r="S146" s="39">
        <f>IFERROR(VLOOKUP(Youts[[#This Row],[Código]],Venda_mes[],2,FALSE),0)</f>
        <v>0</v>
      </c>
      <c r="T146" s="44" t="str">
        <f>IFERROR(Youts[[#This Row],[V. No mes]]/Youts[[#This Row],[Proj. de V. No mes]],"")</f>
        <v/>
      </c>
      <c r="U146" s="43">
        <f>VLOOKUP(Youts[[#This Row],[Código]],Projeção[#All],14,FALSE)+VLOOKUP(Youts[[#This Row],[Código]],Projeção[#All],13,FALSE)+VLOOKUP(Youts[[#This Row],[Código]],Projeção[#All],12,FALSE)</f>
        <v>0</v>
      </c>
      <c r="V146" s="39">
        <f>IFERROR(VLOOKUP(Youts[[#This Row],[Código]],Venda_3meses[],2,FALSE),0)</f>
        <v>0</v>
      </c>
      <c r="W146" s="44" t="str">
        <f>IFERROR(Youts[[#This Row],[V. 3 meses]]/Youts[[#This Row],[Proj. de V. 3 meses]],"")</f>
        <v/>
      </c>
      <c r="X14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13.033333333333335</v>
      </c>
      <c r="Y146" s="39">
        <f>IFERROR(VLOOKUP(Youts[[#This Row],[Código]],Venda_12meses[],2,FALSE),0)</f>
        <v>0</v>
      </c>
      <c r="Z146" s="44">
        <f>IFERROR(Youts[[#This Row],[V. 12 meses]]/Youts[[#This Row],[Proj. de V. 12 meses]],"")</f>
        <v>0</v>
      </c>
      <c r="AA146" s="22"/>
    </row>
    <row r="147" spans="1:27" x14ac:dyDescent="0.25">
      <c r="A147" s="22" t="str">
        <f>VLOOKUP(Youts[[#This Row],[Código]],BD_Produto[#All],7,FALSE)</f>
        <v>Fora de linha</v>
      </c>
      <c r="B14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7" s="23">
        <v>30100062077</v>
      </c>
      <c r="D147" s="22" t="s">
        <v>1432</v>
      </c>
      <c r="E147" s="22" t="str">
        <f>VLOOKUP(Youts[[#This Row],[Código]],BD_Produto[],3,FALSE)</f>
        <v>Storage Mídia</v>
      </c>
      <c r="F147" s="22" t="str">
        <f>VLOOKUP(Youts[[#This Row],[Código]],BD_Produto[],4,FALSE)</f>
        <v>Colorful - DVD-R</v>
      </c>
      <c r="G147" s="24"/>
      <c r="H147" s="25"/>
      <c r="I147" s="22"/>
      <c r="J147" s="24"/>
      <c r="K147" s="24" t="str">
        <f>IFERROR(VLOOKUP(Youts[[#This Row],[Código]],Importação!P:R,3,FALSE),"")</f>
        <v/>
      </c>
      <c r="L147" s="24">
        <f>IFERROR(VLOOKUP(Youts[[#This Row],[Código]],Saldo[],3,FALSE),0)</f>
        <v>0</v>
      </c>
      <c r="M147" s="24">
        <f>SUM(Youts[[#This Row],[Produção]:[Estoque]])</f>
        <v>0</v>
      </c>
      <c r="N147" s="24" t="str">
        <f>IFERROR(Youts[[#This Row],[Estoque+Importação]]/Youts[[#This Row],[Proj. de V. No prox. mes]],"Sem Projeção")</f>
        <v>Sem Projeção</v>
      </c>
      <c r="O147" s="24" t="str">
        <f>IF(OR(Youts[[#This Row],[Status]]="Em Linha",Youts[[#This Row],[Status]]="Componente",Youts[[#This Row],[Status]]="Materia Prima"),Youts[[#This Row],[Proj. de V. No prox. mes]]*10,"-")</f>
        <v>-</v>
      </c>
      <c r="P14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7" s="83">
        <f>VLOOKUP(Youts[[#This Row],[Código]],Projeção[#All],15,FALSE)</f>
        <v>0</v>
      </c>
      <c r="R147" s="43">
        <f>VLOOKUP(Youts[[#This Row],[Código]],Projeção[#All],14,FALSE)</f>
        <v>0</v>
      </c>
      <c r="S147" s="39">
        <f>IFERROR(VLOOKUP(Youts[[#This Row],[Código]],Venda_mes[],2,FALSE),0)</f>
        <v>0</v>
      </c>
      <c r="T147" s="44" t="str">
        <f>IFERROR(Youts[[#This Row],[V. No mes]]/Youts[[#This Row],[Proj. de V. No mes]],"")</f>
        <v/>
      </c>
      <c r="U147" s="43">
        <f>VLOOKUP(Youts[[#This Row],[Código]],Projeção[#All],14,FALSE)+VLOOKUP(Youts[[#This Row],[Código]],Projeção[#All],13,FALSE)+VLOOKUP(Youts[[#This Row],[Código]],Projeção[#All],12,FALSE)</f>
        <v>0</v>
      </c>
      <c r="V147" s="39">
        <f>IFERROR(VLOOKUP(Youts[[#This Row],[Código]],Venda_3meses[],2,FALSE),0)</f>
        <v>0</v>
      </c>
      <c r="W147" s="44" t="str">
        <f>IFERROR(Youts[[#This Row],[V. 3 meses]]/Youts[[#This Row],[Proj. de V. 3 meses]],"")</f>
        <v/>
      </c>
      <c r="X14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7" s="39">
        <f>IFERROR(VLOOKUP(Youts[[#This Row],[Código]],Venda_12meses[],2,FALSE),0)</f>
        <v>0</v>
      </c>
      <c r="Z147" s="44" t="str">
        <f>IFERROR(Youts[[#This Row],[V. 12 meses]]/Youts[[#This Row],[Proj. de V. 12 meses]],"")</f>
        <v/>
      </c>
      <c r="AA147" s="22"/>
    </row>
    <row r="148" spans="1:27" x14ac:dyDescent="0.25">
      <c r="A148" s="22" t="str">
        <f>VLOOKUP(Youts[[#This Row],[Código]],BD_Produto[#All],7,FALSE)</f>
        <v>Fora de linha</v>
      </c>
      <c r="B14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8" s="23">
        <v>30100062078</v>
      </c>
      <c r="D148" s="22" t="s">
        <v>1433</v>
      </c>
      <c r="E148" s="22" t="str">
        <f>VLOOKUP(Youts[[#This Row],[Código]],BD_Produto[],3,FALSE)</f>
        <v>Storage Mídia</v>
      </c>
      <c r="F148" s="22" t="str">
        <f>VLOOKUP(Youts[[#This Row],[Código]],BD_Produto[],4,FALSE)</f>
        <v>Colorful - DVD-R</v>
      </c>
      <c r="G148" s="24"/>
      <c r="H148" s="25"/>
      <c r="I148" s="22"/>
      <c r="J148" s="24"/>
      <c r="K148" s="24" t="str">
        <f>IFERROR(VLOOKUP(Youts[[#This Row],[Código]],Importação!P:R,3,FALSE),"")</f>
        <v/>
      </c>
      <c r="L148" s="24">
        <f>IFERROR(VLOOKUP(Youts[[#This Row],[Código]],Saldo[],3,FALSE),0)</f>
        <v>0</v>
      </c>
      <c r="M148" s="24">
        <f>SUM(Youts[[#This Row],[Produção]:[Estoque]])</f>
        <v>0</v>
      </c>
      <c r="N148" s="24" t="str">
        <f>IFERROR(Youts[[#This Row],[Estoque+Importação]]/Youts[[#This Row],[Proj. de V. No prox. mes]],"Sem Projeção")</f>
        <v>Sem Projeção</v>
      </c>
      <c r="O148" s="24" t="str">
        <f>IF(OR(Youts[[#This Row],[Status]]="Em Linha",Youts[[#This Row],[Status]]="Componente",Youts[[#This Row],[Status]]="Materia Prima"),Youts[[#This Row],[Proj. de V. No prox. mes]]*10,"-")</f>
        <v>-</v>
      </c>
      <c r="P14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8" s="34">
        <f>VLOOKUP(Youts[[#This Row],[Código]],Projeção[#All],15,FALSE)</f>
        <v>0</v>
      </c>
      <c r="R148" s="43">
        <f>VLOOKUP(Youts[[#This Row],[Código]],Projeção[#All],14,FALSE)</f>
        <v>0</v>
      </c>
      <c r="S148" s="39">
        <f>IFERROR(VLOOKUP(Youts[[#This Row],[Código]],Venda_mes[],2,FALSE),0)</f>
        <v>0</v>
      </c>
      <c r="T148" s="44" t="str">
        <f>IFERROR(Youts[[#This Row],[V. No mes]]/Youts[[#This Row],[Proj. de V. No mes]],"")</f>
        <v/>
      </c>
      <c r="U148" s="43">
        <f>VLOOKUP(Youts[[#This Row],[Código]],Projeção[#All],14,FALSE)+VLOOKUP(Youts[[#This Row],[Código]],Projeção[#All],13,FALSE)+VLOOKUP(Youts[[#This Row],[Código]],Projeção[#All],12,FALSE)</f>
        <v>0</v>
      </c>
      <c r="V148" s="39">
        <f>IFERROR(VLOOKUP(Youts[[#This Row],[Código]],Venda_3meses[],2,FALSE),0)</f>
        <v>0</v>
      </c>
      <c r="W148" s="44" t="str">
        <f>IFERROR(Youts[[#This Row],[V. 3 meses]]/Youts[[#This Row],[Proj. de V. 3 meses]],"")</f>
        <v/>
      </c>
      <c r="X14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8" s="39">
        <f>IFERROR(VLOOKUP(Youts[[#This Row],[Código]],Venda_12meses[],2,FALSE),0)</f>
        <v>0</v>
      </c>
      <c r="Z148" s="44" t="str">
        <f>IFERROR(Youts[[#This Row],[V. 12 meses]]/Youts[[#This Row],[Proj. de V. 12 meses]],"")</f>
        <v/>
      </c>
      <c r="AA148" s="22"/>
    </row>
    <row r="149" spans="1:27" x14ac:dyDescent="0.25">
      <c r="A149" s="22" t="str">
        <f>VLOOKUP(Youts[[#This Row],[Código]],BD_Produto[#All],7,FALSE)</f>
        <v>Fora de linha</v>
      </c>
      <c r="B14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49" s="23">
        <v>30100062079</v>
      </c>
      <c r="D149" s="22" t="s">
        <v>1434</v>
      </c>
      <c r="E149" s="22" t="str">
        <f>VLOOKUP(Youts[[#This Row],[Código]],BD_Produto[],3,FALSE)</f>
        <v>Storage Mídia</v>
      </c>
      <c r="F149" s="22" t="str">
        <f>VLOOKUP(Youts[[#This Row],[Código]],BD_Produto[],4,FALSE)</f>
        <v>Colorful - DVD-R</v>
      </c>
      <c r="G149" s="24"/>
      <c r="H149" s="25"/>
      <c r="I149" s="22"/>
      <c r="J149" s="24"/>
      <c r="K149" s="24" t="str">
        <f>IFERROR(VLOOKUP(Youts[[#This Row],[Código]],Importação!P:R,3,FALSE),"")</f>
        <v/>
      </c>
      <c r="L149" s="24">
        <f>IFERROR(VLOOKUP(Youts[[#This Row],[Código]],Saldo[],3,FALSE),0)</f>
        <v>0</v>
      </c>
      <c r="M149" s="24">
        <f>SUM(Youts[[#This Row],[Produção]:[Estoque]])</f>
        <v>0</v>
      </c>
      <c r="N149" s="24" t="str">
        <f>IFERROR(Youts[[#This Row],[Estoque+Importação]]/Youts[[#This Row],[Proj. de V. No prox. mes]],"Sem Projeção")</f>
        <v>Sem Projeção</v>
      </c>
      <c r="O149" s="24" t="str">
        <f>IF(OR(Youts[[#This Row],[Status]]="Em Linha",Youts[[#This Row],[Status]]="Componente",Youts[[#This Row],[Status]]="Materia Prima"),Youts[[#This Row],[Proj. de V. No prox. mes]]*10,"-")</f>
        <v>-</v>
      </c>
      <c r="P14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49" s="34">
        <f>VLOOKUP(Youts[[#This Row],[Código]],Projeção[#All],15,FALSE)</f>
        <v>0</v>
      </c>
      <c r="R149" s="43">
        <f>VLOOKUP(Youts[[#This Row],[Código]],Projeção[#All],14,FALSE)</f>
        <v>0</v>
      </c>
      <c r="S149" s="39">
        <f>IFERROR(VLOOKUP(Youts[[#This Row],[Código]],Venda_mes[],2,FALSE),0)</f>
        <v>0</v>
      </c>
      <c r="T149" s="44" t="str">
        <f>IFERROR(Youts[[#This Row],[V. No mes]]/Youts[[#This Row],[Proj. de V. No mes]],"")</f>
        <v/>
      </c>
      <c r="U149" s="43">
        <f>VLOOKUP(Youts[[#This Row],[Código]],Projeção[#All],14,FALSE)+VLOOKUP(Youts[[#This Row],[Código]],Projeção[#All],13,FALSE)+VLOOKUP(Youts[[#This Row],[Código]],Projeção[#All],12,FALSE)</f>
        <v>0</v>
      </c>
      <c r="V149" s="39">
        <f>IFERROR(VLOOKUP(Youts[[#This Row],[Código]],Venda_3meses[],2,FALSE),0)</f>
        <v>0</v>
      </c>
      <c r="W149" s="44" t="str">
        <f>IFERROR(Youts[[#This Row],[V. 3 meses]]/Youts[[#This Row],[Proj. de V. 3 meses]],"")</f>
        <v/>
      </c>
      <c r="X14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49" s="39">
        <f>IFERROR(VLOOKUP(Youts[[#This Row],[Código]],Venda_12meses[],2,FALSE),0)</f>
        <v>0</v>
      </c>
      <c r="Z149" s="44" t="str">
        <f>IFERROR(Youts[[#This Row],[V. 12 meses]]/Youts[[#This Row],[Proj. de V. 12 meses]],"")</f>
        <v/>
      </c>
      <c r="AA149" s="22"/>
    </row>
    <row r="150" spans="1:27" x14ac:dyDescent="0.25">
      <c r="A150" s="22" t="str">
        <f>VLOOKUP(Youts[[#This Row],[Código]],BD_Produto[#All],7,FALSE)</f>
        <v>Fora de linha</v>
      </c>
      <c r="B15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0" s="23">
        <v>30100062076</v>
      </c>
      <c r="D150" s="22" t="s">
        <v>1431</v>
      </c>
      <c r="E150" s="22" t="str">
        <f>VLOOKUP(Youts[[#This Row],[Código]],BD_Produto[],3,FALSE)</f>
        <v>Storage Mídia</v>
      </c>
      <c r="F150" s="22" t="str">
        <f>VLOOKUP(Youts[[#This Row],[Código]],BD_Produto[],4,FALSE)</f>
        <v>Colorful - DVD-R</v>
      </c>
      <c r="G150" s="24"/>
      <c r="H150" s="25"/>
      <c r="I150" s="22"/>
      <c r="J150" s="24"/>
      <c r="K150" s="24" t="str">
        <f>IFERROR(VLOOKUP(Youts[[#This Row],[Código]],Importação!P:R,3,FALSE),"")</f>
        <v/>
      </c>
      <c r="L150" s="24">
        <f>IFERROR(VLOOKUP(Youts[[#This Row],[Código]],Saldo[],3,FALSE),0)</f>
        <v>0</v>
      </c>
      <c r="M150" s="24">
        <f>SUM(Youts[[#This Row],[Produção]:[Estoque]])</f>
        <v>0</v>
      </c>
      <c r="N150" s="24" t="str">
        <f>IFERROR(Youts[[#This Row],[Estoque+Importação]]/Youts[[#This Row],[Proj. de V. No prox. mes]],"Sem Projeção")</f>
        <v>Sem Projeção</v>
      </c>
      <c r="O150" s="24" t="str">
        <f>IF(OR(Youts[[#This Row],[Status]]="Em Linha",Youts[[#This Row],[Status]]="Componente",Youts[[#This Row],[Status]]="Materia Prima"),Youts[[#This Row],[Proj. de V. No prox. mes]]*10,"-")</f>
        <v>-</v>
      </c>
      <c r="P15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0" s="34">
        <f>VLOOKUP(Youts[[#This Row],[Código]],Projeção[#All],15,FALSE)</f>
        <v>0</v>
      </c>
      <c r="R150" s="43">
        <f>VLOOKUP(Youts[[#This Row],[Código]],Projeção[#All],14,FALSE)</f>
        <v>0</v>
      </c>
      <c r="S150" s="39">
        <f>IFERROR(VLOOKUP(Youts[[#This Row],[Código]],Venda_mes[],2,FALSE),0)</f>
        <v>0</v>
      </c>
      <c r="T150" s="44" t="str">
        <f>IFERROR(Youts[[#This Row],[V. No mes]]/Youts[[#This Row],[Proj. de V. No mes]],"")</f>
        <v/>
      </c>
      <c r="U150" s="43">
        <f>VLOOKUP(Youts[[#This Row],[Código]],Projeção[#All],14,FALSE)+VLOOKUP(Youts[[#This Row],[Código]],Projeção[#All],13,FALSE)+VLOOKUP(Youts[[#This Row],[Código]],Projeção[#All],12,FALSE)</f>
        <v>0</v>
      </c>
      <c r="V150" s="39">
        <f>IFERROR(VLOOKUP(Youts[[#This Row],[Código]],Venda_3meses[],2,FALSE),0)</f>
        <v>0</v>
      </c>
      <c r="W150" s="44" t="str">
        <f>IFERROR(Youts[[#This Row],[V. 3 meses]]/Youts[[#This Row],[Proj. de V. 3 meses]],"")</f>
        <v/>
      </c>
      <c r="X15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0" s="39">
        <f>IFERROR(VLOOKUP(Youts[[#This Row],[Código]],Venda_12meses[],2,FALSE),0)</f>
        <v>0</v>
      </c>
      <c r="Z150" s="44" t="str">
        <f>IFERROR(Youts[[#This Row],[V. 12 meses]]/Youts[[#This Row],[Proj. de V. 12 meses]],"")</f>
        <v/>
      </c>
      <c r="AA150" s="22"/>
    </row>
    <row r="151" spans="1:27" x14ac:dyDescent="0.25">
      <c r="A151" s="22" t="str">
        <f>VLOOKUP(Youts[[#This Row],[Código]],BD_Produto[#All],7,FALSE)</f>
        <v>Fora de linha</v>
      </c>
      <c r="B15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1" s="23">
        <v>30100062075</v>
      </c>
      <c r="D151" s="22" t="s">
        <v>1430</v>
      </c>
      <c r="E151" s="22" t="str">
        <f>VLOOKUP(Youts[[#This Row],[Código]],BD_Produto[],3,FALSE)</f>
        <v>Storage Mídia</v>
      </c>
      <c r="F151" s="22" t="str">
        <f>VLOOKUP(Youts[[#This Row],[Código]],BD_Produto[],4,FALSE)</f>
        <v>Colorful - DVD-R</v>
      </c>
      <c r="G151" s="24"/>
      <c r="H151" s="25"/>
      <c r="I151" s="22"/>
      <c r="J151" s="24"/>
      <c r="K151" s="24" t="str">
        <f>IFERROR(VLOOKUP(Youts[[#This Row],[Código]],Importação!P:R,3,FALSE),"")</f>
        <v/>
      </c>
      <c r="L151" s="24">
        <f>IFERROR(VLOOKUP(Youts[[#This Row],[Código]],Saldo[],3,FALSE),0)</f>
        <v>0</v>
      </c>
      <c r="M151" s="24">
        <f>SUM(Youts[[#This Row],[Produção]:[Estoque]])</f>
        <v>0</v>
      </c>
      <c r="N151" s="24" t="str">
        <f>IFERROR(Youts[[#This Row],[Estoque+Importação]]/Youts[[#This Row],[Proj. de V. No prox. mes]],"Sem Projeção")</f>
        <v>Sem Projeção</v>
      </c>
      <c r="O151" s="24" t="str">
        <f>IF(OR(Youts[[#This Row],[Status]]="Em Linha",Youts[[#This Row],[Status]]="Componente",Youts[[#This Row],[Status]]="Materia Prima"),Youts[[#This Row],[Proj. de V. No prox. mes]]*10,"-")</f>
        <v>-</v>
      </c>
      <c r="P15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1" s="34">
        <f>VLOOKUP(Youts[[#This Row],[Código]],Projeção[#All],15,FALSE)</f>
        <v>0</v>
      </c>
      <c r="R151" s="43">
        <f>VLOOKUP(Youts[[#This Row],[Código]],Projeção[#All],14,FALSE)</f>
        <v>0</v>
      </c>
      <c r="S151" s="39">
        <f>IFERROR(VLOOKUP(Youts[[#This Row],[Código]],Venda_mes[],2,FALSE),0)</f>
        <v>0</v>
      </c>
      <c r="T151" s="44" t="str">
        <f>IFERROR(Youts[[#This Row],[V. No mes]]/Youts[[#This Row],[Proj. de V. No mes]],"")</f>
        <v/>
      </c>
      <c r="U151" s="43">
        <f>VLOOKUP(Youts[[#This Row],[Código]],Projeção[#All],14,FALSE)+VLOOKUP(Youts[[#This Row],[Código]],Projeção[#All],13,FALSE)+VLOOKUP(Youts[[#This Row],[Código]],Projeção[#All],12,FALSE)</f>
        <v>0</v>
      </c>
      <c r="V151" s="39">
        <f>IFERROR(VLOOKUP(Youts[[#This Row],[Código]],Venda_3meses[],2,FALSE),0)</f>
        <v>0</v>
      </c>
      <c r="W151" s="44" t="str">
        <f>IFERROR(Youts[[#This Row],[V. 3 meses]]/Youts[[#This Row],[Proj. de V. 3 meses]],"")</f>
        <v/>
      </c>
      <c r="X15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1" s="39">
        <f>IFERROR(VLOOKUP(Youts[[#This Row],[Código]],Venda_12meses[],2,FALSE),0)</f>
        <v>0</v>
      </c>
      <c r="Z151" s="44" t="str">
        <f>IFERROR(Youts[[#This Row],[V. 12 meses]]/Youts[[#This Row],[Proj. de V. 12 meses]],"")</f>
        <v/>
      </c>
      <c r="AA151" s="22"/>
    </row>
    <row r="152" spans="1:27" x14ac:dyDescent="0.25">
      <c r="A152" s="22" t="str">
        <f>VLOOKUP(Youts[[#This Row],[Código]],BD_Produto[#All],7,FALSE)</f>
        <v>Fora de linha</v>
      </c>
      <c r="B15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2" s="23">
        <v>30100061458</v>
      </c>
      <c r="D152" s="22" t="s">
        <v>1427</v>
      </c>
      <c r="E152" s="22" t="str">
        <f>VLOOKUP(Youts[[#This Row],[Código]],BD_Produto[],3,FALSE)</f>
        <v>Storage Mídia</v>
      </c>
      <c r="F152" s="22" t="str">
        <f>VLOOKUP(Youts[[#This Row],[Código]],BD_Produto[],4,FALSE)</f>
        <v>Standard - Cake - DVD-R</v>
      </c>
      <c r="G152" s="24"/>
      <c r="H152" s="25"/>
      <c r="I152" s="22"/>
      <c r="J152" s="24"/>
      <c r="K152" s="24" t="str">
        <f>IFERROR(VLOOKUP(Youts[[#This Row],[Código]],Importação!P:R,3,FALSE),"")</f>
        <v/>
      </c>
      <c r="L152" s="24">
        <f>IFERROR(VLOOKUP(Youts[[#This Row],[Código]],Saldo[],3,FALSE),0)</f>
        <v>0</v>
      </c>
      <c r="M152" s="24">
        <f>SUM(Youts[[#This Row],[Produção]:[Estoque]])</f>
        <v>0</v>
      </c>
      <c r="N152" s="24" t="str">
        <f>IFERROR(Youts[[#This Row],[Estoque+Importação]]/Youts[[#This Row],[Proj. de V. No prox. mes]],"Sem Projeção")</f>
        <v>Sem Projeção</v>
      </c>
      <c r="O152" s="24" t="str">
        <f>IF(OR(Youts[[#This Row],[Status]]="Em Linha",Youts[[#This Row],[Status]]="Componente",Youts[[#This Row],[Status]]="Materia Prima"),Youts[[#This Row],[Proj. de V. No prox. mes]]*10,"-")</f>
        <v>-</v>
      </c>
      <c r="P15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2" s="34">
        <f>VLOOKUP(Youts[[#This Row],[Código]],Projeção[#All],15,FALSE)</f>
        <v>0</v>
      </c>
      <c r="R152" s="43">
        <f>VLOOKUP(Youts[[#This Row],[Código]],Projeção[#All],14,FALSE)</f>
        <v>0</v>
      </c>
      <c r="S152" s="39">
        <f>IFERROR(VLOOKUP(Youts[[#This Row],[Código]],Venda_mes[],2,FALSE),0)</f>
        <v>0</v>
      </c>
      <c r="T152" s="44" t="str">
        <f>IFERROR(Youts[[#This Row],[V. No mes]]/Youts[[#This Row],[Proj. de V. No mes]],"")</f>
        <v/>
      </c>
      <c r="U152" s="43">
        <f>VLOOKUP(Youts[[#This Row],[Código]],Projeção[#All],14,FALSE)+VLOOKUP(Youts[[#This Row],[Código]],Projeção[#All],13,FALSE)+VLOOKUP(Youts[[#This Row],[Código]],Projeção[#All],12,FALSE)</f>
        <v>0</v>
      </c>
      <c r="V152" s="39">
        <f>IFERROR(VLOOKUP(Youts[[#This Row],[Código]],Venda_3meses[],2,FALSE),0)</f>
        <v>0</v>
      </c>
      <c r="W152" s="44" t="str">
        <f>IFERROR(Youts[[#This Row],[V. 3 meses]]/Youts[[#This Row],[Proj. de V. 3 meses]],"")</f>
        <v/>
      </c>
      <c r="X15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2" s="39">
        <f>IFERROR(VLOOKUP(Youts[[#This Row],[Código]],Venda_12meses[],2,FALSE),0)</f>
        <v>0</v>
      </c>
      <c r="Z152" s="44" t="str">
        <f>IFERROR(Youts[[#This Row],[V. 12 meses]]/Youts[[#This Row],[Proj. de V. 12 meses]],"")</f>
        <v/>
      </c>
      <c r="AA152" s="22"/>
    </row>
    <row r="153" spans="1:27" x14ac:dyDescent="0.25">
      <c r="A153" s="22" t="str">
        <f>VLOOKUP(Youts[[#This Row],[Código]],BD_Produto[#All],7,FALSE)</f>
        <v>Fora de linha</v>
      </c>
      <c r="B15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3" s="23">
        <v>30100061453</v>
      </c>
      <c r="D153" s="22" t="s">
        <v>1426</v>
      </c>
      <c r="E153" s="22" t="str">
        <f>VLOOKUP(Youts[[#This Row],[Código]],BD_Produto[],3,FALSE)</f>
        <v>Storage Mídia</v>
      </c>
      <c r="F153" s="22" t="str">
        <f>VLOOKUP(Youts[[#This Row],[Código]],BD_Produto[],4,FALSE)</f>
        <v>Color Label - DVD-R</v>
      </c>
      <c r="G153" s="24"/>
      <c r="H153" s="25"/>
      <c r="I153" s="22"/>
      <c r="J153" s="24"/>
      <c r="K153" s="24" t="str">
        <f>IFERROR(VLOOKUP(Youts[[#This Row],[Código]],Importação!P:R,3,FALSE),"")</f>
        <v/>
      </c>
      <c r="L153" s="24">
        <f>IFERROR(VLOOKUP(Youts[[#This Row],[Código]],Saldo[],3,FALSE),0)</f>
        <v>0</v>
      </c>
      <c r="M153" s="24">
        <f>SUM(Youts[[#This Row],[Produção]:[Estoque]])</f>
        <v>0</v>
      </c>
      <c r="N153" s="24" t="str">
        <f>IFERROR(Youts[[#This Row],[Estoque+Importação]]/Youts[[#This Row],[Proj. de V. No prox. mes]],"Sem Projeção")</f>
        <v>Sem Projeção</v>
      </c>
      <c r="O153" s="24" t="str">
        <f>IF(OR(Youts[[#This Row],[Status]]="Em Linha",Youts[[#This Row],[Status]]="Componente",Youts[[#This Row],[Status]]="Materia Prima"),Youts[[#This Row],[Proj. de V. No prox. mes]]*10,"-")</f>
        <v>-</v>
      </c>
      <c r="P15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3" s="34">
        <f>VLOOKUP(Youts[[#This Row],[Código]],Projeção[#All],15,FALSE)</f>
        <v>0</v>
      </c>
      <c r="R153" s="43">
        <f>VLOOKUP(Youts[[#This Row],[Código]],Projeção[#All],14,FALSE)</f>
        <v>0</v>
      </c>
      <c r="S153" s="39">
        <f>IFERROR(VLOOKUP(Youts[[#This Row],[Código]],Venda_mes[],2,FALSE),0)</f>
        <v>0</v>
      </c>
      <c r="T153" s="44" t="str">
        <f>IFERROR(Youts[[#This Row],[V. No mes]]/Youts[[#This Row],[Proj. de V. No mes]],"")</f>
        <v/>
      </c>
      <c r="U153" s="43">
        <f>VLOOKUP(Youts[[#This Row],[Código]],Projeção[#All],14,FALSE)+VLOOKUP(Youts[[#This Row],[Código]],Projeção[#All],13,FALSE)+VLOOKUP(Youts[[#This Row],[Código]],Projeção[#All],12,FALSE)</f>
        <v>0</v>
      </c>
      <c r="V153" s="39">
        <f>IFERROR(VLOOKUP(Youts[[#This Row],[Código]],Venda_3meses[],2,FALSE),0)</f>
        <v>0</v>
      </c>
      <c r="W153" s="44" t="str">
        <f>IFERROR(Youts[[#This Row],[V. 3 meses]]/Youts[[#This Row],[Proj. de V. 3 meses]],"")</f>
        <v/>
      </c>
      <c r="X15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3" s="39">
        <f>IFERROR(VLOOKUP(Youts[[#This Row],[Código]],Venda_12meses[],2,FALSE),0)</f>
        <v>0</v>
      </c>
      <c r="Z153" s="44" t="str">
        <f>IFERROR(Youts[[#This Row],[V. 12 meses]]/Youts[[#This Row],[Proj. de V. 12 meses]],"")</f>
        <v/>
      </c>
      <c r="AA153" s="22"/>
    </row>
    <row r="154" spans="1:27" x14ac:dyDescent="0.25">
      <c r="A154" s="22" t="str">
        <f>VLOOKUP(Youts[[#This Row],[Código]],BD_Produto[#All],7,FALSE)</f>
        <v>Fora de linha</v>
      </c>
      <c r="B15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4" s="23">
        <v>30100061452</v>
      </c>
      <c r="D154" s="22" t="s">
        <v>1239</v>
      </c>
      <c r="E154" s="22" t="str">
        <f>VLOOKUP(Youts[[#This Row],[Código]],BD_Produto[],3,FALSE)</f>
        <v>Storage Mídia</v>
      </c>
      <c r="F154" s="22" t="str">
        <f>VLOOKUP(Youts[[#This Row],[Código]],BD_Produto[],4,FALSE)</f>
        <v>Color Label - DVD-R</v>
      </c>
      <c r="G154" s="24"/>
      <c r="H154" s="25"/>
      <c r="I154" s="22"/>
      <c r="J154" s="24"/>
      <c r="K154" s="24" t="str">
        <f>IFERROR(VLOOKUP(Youts[[#This Row],[Código]],Importação!P:R,3,FALSE),"")</f>
        <v/>
      </c>
      <c r="L154" s="24">
        <f>IFERROR(VLOOKUP(Youts[[#This Row],[Código]],Saldo[],3,FALSE),0)</f>
        <v>0</v>
      </c>
      <c r="M154" s="24">
        <f>SUM(Youts[[#This Row],[Produção]:[Estoque]])</f>
        <v>0</v>
      </c>
      <c r="N154" s="24" t="str">
        <f>IFERROR(Youts[[#This Row],[Estoque+Importação]]/Youts[[#This Row],[Proj. de V. No prox. mes]],"Sem Projeção")</f>
        <v>Sem Projeção</v>
      </c>
      <c r="O154" s="24" t="str">
        <f>IF(OR(Youts[[#This Row],[Status]]="Em Linha",Youts[[#This Row],[Status]]="Componente",Youts[[#This Row],[Status]]="Materia Prima"),Youts[[#This Row],[Proj. de V. No prox. mes]]*10,"-")</f>
        <v>-</v>
      </c>
      <c r="P15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4" s="34">
        <f>VLOOKUP(Youts[[#This Row],[Código]],Projeção[#All],15,FALSE)</f>
        <v>0</v>
      </c>
      <c r="R154" s="43">
        <f>VLOOKUP(Youts[[#This Row],[Código]],Projeção[#All],14,FALSE)</f>
        <v>0</v>
      </c>
      <c r="S154" s="39">
        <f>IFERROR(VLOOKUP(Youts[[#This Row],[Código]],Venda_mes[],2,FALSE),0)</f>
        <v>0</v>
      </c>
      <c r="T154" s="44" t="str">
        <f>IFERROR(Youts[[#This Row],[V. No mes]]/Youts[[#This Row],[Proj. de V. No mes]],"")</f>
        <v/>
      </c>
      <c r="U154" s="43">
        <f>VLOOKUP(Youts[[#This Row],[Código]],Projeção[#All],14,FALSE)+VLOOKUP(Youts[[#This Row],[Código]],Projeção[#All],13,FALSE)+VLOOKUP(Youts[[#This Row],[Código]],Projeção[#All],12,FALSE)</f>
        <v>0</v>
      </c>
      <c r="V154" s="39">
        <f>IFERROR(VLOOKUP(Youts[[#This Row],[Código]],Venda_3meses[],2,FALSE),0)</f>
        <v>0</v>
      </c>
      <c r="W154" s="44" t="str">
        <f>IFERROR(Youts[[#This Row],[V. 3 meses]]/Youts[[#This Row],[Proj. de V. 3 meses]],"")</f>
        <v/>
      </c>
      <c r="X15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83</v>
      </c>
      <c r="Y154" s="39">
        <f>IFERROR(VLOOKUP(Youts[[#This Row],[Código]],Venda_12meses[],2,FALSE),0)</f>
        <v>0</v>
      </c>
      <c r="Z154" s="44">
        <f>IFERROR(Youts[[#This Row],[V. 12 meses]]/Youts[[#This Row],[Proj. de V. 12 meses]],"")</f>
        <v>0</v>
      </c>
      <c r="AA154" s="22"/>
    </row>
    <row r="155" spans="1:27" x14ac:dyDescent="0.25">
      <c r="A155" s="22" t="str">
        <f>VLOOKUP(Youts[[#This Row],[Código]],BD_Produto[#All],7,FALSE)</f>
        <v>Fora de linha</v>
      </c>
      <c r="B15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5" s="23">
        <v>30100062072</v>
      </c>
      <c r="D155" s="22" t="s">
        <v>1428</v>
      </c>
      <c r="E155" s="22" t="str">
        <f>VLOOKUP(Youts[[#This Row],[Código]],BD_Produto[],3,FALSE)</f>
        <v>Storage Mídia</v>
      </c>
      <c r="F155" s="22" t="str">
        <f>VLOOKUP(Youts[[#This Row],[Código]],BD_Produto[],4,FALSE)</f>
        <v>Printable - CD-R</v>
      </c>
      <c r="G155" s="24"/>
      <c r="H155" s="25"/>
      <c r="I155" s="22"/>
      <c r="J155" s="24"/>
      <c r="K155" s="24" t="str">
        <f>IFERROR(VLOOKUP(Youts[[#This Row],[Código]],Importação!P:R,3,FALSE),"")</f>
        <v/>
      </c>
      <c r="L155" s="24">
        <f>IFERROR(VLOOKUP(Youts[[#This Row],[Código]],Saldo[],3,FALSE),0)</f>
        <v>0</v>
      </c>
      <c r="M155" s="24">
        <f>SUM(Youts[[#This Row],[Produção]:[Estoque]])</f>
        <v>0</v>
      </c>
      <c r="N155" s="24" t="str">
        <f>IFERROR(Youts[[#This Row],[Estoque+Importação]]/Youts[[#This Row],[Proj. de V. No prox. mes]],"Sem Projeção")</f>
        <v>Sem Projeção</v>
      </c>
      <c r="O155" s="24" t="str">
        <f>IF(OR(Youts[[#This Row],[Status]]="Em Linha",Youts[[#This Row],[Status]]="Componente",Youts[[#This Row],[Status]]="Materia Prima"),Youts[[#This Row],[Proj. de V. No prox. mes]]*10,"-")</f>
        <v>-</v>
      </c>
      <c r="P15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5" s="34">
        <f>VLOOKUP(Youts[[#This Row],[Código]],Projeção[#All],15,FALSE)</f>
        <v>0</v>
      </c>
      <c r="R155" s="43">
        <f>VLOOKUP(Youts[[#This Row],[Código]],Projeção[#All],14,FALSE)</f>
        <v>0</v>
      </c>
      <c r="S155" s="39">
        <f>IFERROR(VLOOKUP(Youts[[#This Row],[Código]],Venda_mes[],2,FALSE),0)</f>
        <v>0</v>
      </c>
      <c r="T155" s="44" t="str">
        <f>IFERROR(Youts[[#This Row],[V. No mes]]/Youts[[#This Row],[Proj. de V. No mes]],"")</f>
        <v/>
      </c>
      <c r="U155" s="43">
        <f>VLOOKUP(Youts[[#This Row],[Código]],Projeção[#All],14,FALSE)+VLOOKUP(Youts[[#This Row],[Código]],Projeção[#All],13,FALSE)+VLOOKUP(Youts[[#This Row],[Código]],Projeção[#All],12,FALSE)</f>
        <v>0</v>
      </c>
      <c r="V155" s="39">
        <f>IFERROR(VLOOKUP(Youts[[#This Row],[Código]],Venda_3meses[],2,FALSE),0)</f>
        <v>0</v>
      </c>
      <c r="W155" s="44" t="str">
        <f>IFERROR(Youts[[#This Row],[V. 3 meses]]/Youts[[#This Row],[Proj. de V. 3 meses]],"")</f>
        <v/>
      </c>
      <c r="X15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5" s="39">
        <f>IFERROR(VLOOKUP(Youts[[#This Row],[Código]],Venda_12meses[],2,FALSE),0)</f>
        <v>0</v>
      </c>
      <c r="Z155" s="44" t="str">
        <f>IFERROR(Youts[[#This Row],[V. 12 meses]]/Youts[[#This Row],[Proj. de V. 12 meses]],"")</f>
        <v/>
      </c>
      <c r="AA155" s="22"/>
    </row>
    <row r="156" spans="1:27" x14ac:dyDescent="0.25">
      <c r="A156" s="22" t="str">
        <f>VLOOKUP(Youts[[#This Row],[Código]],BD_Produto[#All],7,FALSE)</f>
        <v>Fora de linha</v>
      </c>
      <c r="B15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6" s="23">
        <v>30100061437</v>
      </c>
      <c r="D156" s="22" t="s">
        <v>1213</v>
      </c>
      <c r="E156" s="22" t="str">
        <f>VLOOKUP(Youts[[#This Row],[Código]],BD_Produto[],3,FALSE)</f>
        <v>Storage Mídia</v>
      </c>
      <c r="F156" s="22" t="str">
        <f>VLOOKUP(Youts[[#This Row],[Código]],BD_Produto[],4,FALSE)</f>
        <v>Colorful - CD-R</v>
      </c>
      <c r="G156" s="24"/>
      <c r="H156" s="25"/>
      <c r="I156" s="22"/>
      <c r="J156" s="24"/>
      <c r="K156" s="24" t="str">
        <f>IFERROR(VLOOKUP(Youts[[#This Row],[Código]],Importação!P:R,3,FALSE),"")</f>
        <v/>
      </c>
      <c r="L156" s="24">
        <f>IFERROR(VLOOKUP(Youts[[#This Row],[Código]],Saldo[],3,FALSE),0)</f>
        <v>0</v>
      </c>
      <c r="M156" s="24">
        <f>SUM(Youts[[#This Row],[Produção]:[Estoque]])</f>
        <v>0</v>
      </c>
      <c r="N156" s="24" t="str">
        <f>IFERROR(Youts[[#This Row],[Estoque+Importação]]/Youts[[#This Row],[Proj. de V. No prox. mes]],"Sem Projeção")</f>
        <v>Sem Projeção</v>
      </c>
      <c r="O156" s="24" t="str">
        <f>IF(OR(Youts[[#This Row],[Status]]="Em Linha",Youts[[#This Row],[Status]]="Componente",Youts[[#This Row],[Status]]="Materia Prima"),Youts[[#This Row],[Proj. de V. No prox. mes]]*10,"-")</f>
        <v>-</v>
      </c>
      <c r="P15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6" s="83">
        <f>VLOOKUP(Youts[[#This Row],[Código]],Projeção[#All],15,FALSE)</f>
        <v>0</v>
      </c>
      <c r="R156" s="43">
        <f>VLOOKUP(Youts[[#This Row],[Código]],Projeção[#All],14,FALSE)</f>
        <v>0</v>
      </c>
      <c r="S156" s="39">
        <f>IFERROR(VLOOKUP(Youts[[#This Row],[Código]],Venda_mes[],2,FALSE),0)</f>
        <v>0</v>
      </c>
      <c r="T156" s="44" t="str">
        <f>IFERROR(Youts[[#This Row],[V. No mes]]/Youts[[#This Row],[Proj. de V. No mes]],"")</f>
        <v/>
      </c>
      <c r="U156" s="43">
        <f>VLOOKUP(Youts[[#This Row],[Código]],Projeção[#All],14,FALSE)+VLOOKUP(Youts[[#This Row],[Código]],Projeção[#All],13,FALSE)+VLOOKUP(Youts[[#This Row],[Código]],Projeção[#All],12,FALSE)</f>
        <v>0</v>
      </c>
      <c r="V156" s="39">
        <f>IFERROR(VLOOKUP(Youts[[#This Row],[Código]],Venda_3meses[],2,FALSE),0)</f>
        <v>0</v>
      </c>
      <c r="W156" s="44" t="str">
        <f>IFERROR(Youts[[#This Row],[V. 3 meses]]/Youts[[#This Row],[Proj. de V. 3 meses]],"")</f>
        <v/>
      </c>
      <c r="X15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6" s="39">
        <f>IFERROR(VLOOKUP(Youts[[#This Row],[Código]],Venda_12meses[],2,FALSE),0)</f>
        <v>0</v>
      </c>
      <c r="Z156" s="44" t="str">
        <f>IFERROR(Youts[[#This Row],[V. 12 meses]]/Youts[[#This Row],[Proj. de V. 12 meses]],"")</f>
        <v/>
      </c>
      <c r="AA156" s="22"/>
    </row>
    <row r="157" spans="1:27" x14ac:dyDescent="0.25">
      <c r="A157" s="22" t="str">
        <f>VLOOKUP(Youts[[#This Row],[Código]],BD_Produto[#All],7,FALSE)</f>
        <v>Fora de linha</v>
      </c>
      <c r="B15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7" s="23">
        <v>30100061440</v>
      </c>
      <c r="D157" s="22" t="s">
        <v>1202</v>
      </c>
      <c r="E157" s="22" t="str">
        <f>VLOOKUP(Youts[[#This Row],[Código]],BD_Produto[],3,FALSE)</f>
        <v>Storage Mídia</v>
      </c>
      <c r="F157" s="22" t="str">
        <f>VLOOKUP(Youts[[#This Row],[Código]],BD_Produto[],4,FALSE)</f>
        <v>Colorful - CD-R</v>
      </c>
      <c r="G157" s="24"/>
      <c r="H157" s="25"/>
      <c r="I157" s="22"/>
      <c r="J157" s="24"/>
      <c r="K157" s="24" t="str">
        <f>IFERROR(VLOOKUP(Youts[[#This Row],[Código]],Importação!P:R,3,FALSE),"")</f>
        <v/>
      </c>
      <c r="L157" s="24">
        <f>IFERROR(VLOOKUP(Youts[[#This Row],[Código]],Saldo[],3,FALSE),0)</f>
        <v>0</v>
      </c>
      <c r="M157" s="24">
        <f>SUM(Youts[[#This Row],[Produção]:[Estoque]])</f>
        <v>0</v>
      </c>
      <c r="N157" s="24" t="str">
        <f>IFERROR(Youts[[#This Row],[Estoque+Importação]]/Youts[[#This Row],[Proj. de V. No prox. mes]],"Sem Projeção")</f>
        <v>Sem Projeção</v>
      </c>
      <c r="O157" s="24" t="str">
        <f>IF(OR(Youts[[#This Row],[Status]]="Em Linha",Youts[[#This Row],[Status]]="Componente",Youts[[#This Row],[Status]]="Materia Prima"),Youts[[#This Row],[Proj. de V. No prox. mes]]*10,"-")</f>
        <v>-</v>
      </c>
      <c r="P15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7" s="83">
        <f>VLOOKUP(Youts[[#This Row],[Código]],Projeção[#All],15,FALSE)</f>
        <v>0</v>
      </c>
      <c r="R157" s="43">
        <f>VLOOKUP(Youts[[#This Row],[Código]],Projeção[#All],14,FALSE)</f>
        <v>0</v>
      </c>
      <c r="S157" s="39">
        <f>IFERROR(VLOOKUP(Youts[[#This Row],[Código]],Venda_mes[],2,FALSE),0)</f>
        <v>0</v>
      </c>
      <c r="T157" s="44" t="str">
        <f>IFERROR(Youts[[#This Row],[V. No mes]]/Youts[[#This Row],[Proj. de V. No mes]],"")</f>
        <v/>
      </c>
      <c r="U157" s="43">
        <f>VLOOKUP(Youts[[#This Row],[Código]],Projeção[#All],14,FALSE)+VLOOKUP(Youts[[#This Row],[Código]],Projeção[#All],13,FALSE)+VLOOKUP(Youts[[#This Row],[Código]],Projeção[#All],12,FALSE)</f>
        <v>0</v>
      </c>
      <c r="V157" s="39">
        <f>IFERROR(VLOOKUP(Youts[[#This Row],[Código]],Venda_3meses[],2,FALSE),0)</f>
        <v>0</v>
      </c>
      <c r="W157" s="44" t="str">
        <f>IFERROR(Youts[[#This Row],[V. 3 meses]]/Youts[[#This Row],[Proj. de V. 3 meses]],"")</f>
        <v/>
      </c>
      <c r="X15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7" s="39">
        <f>IFERROR(VLOOKUP(Youts[[#This Row],[Código]],Venda_12meses[],2,FALSE),0)</f>
        <v>0</v>
      </c>
      <c r="Z157" s="44" t="str">
        <f>IFERROR(Youts[[#This Row],[V. 12 meses]]/Youts[[#This Row],[Proj. de V. 12 meses]],"")</f>
        <v/>
      </c>
      <c r="AA157" s="22"/>
    </row>
    <row r="158" spans="1:27" x14ac:dyDescent="0.25">
      <c r="A158" s="22" t="str">
        <f>VLOOKUP(Youts[[#This Row],[Código]],BD_Produto[#All],7,FALSE)</f>
        <v>Fora de linha</v>
      </c>
      <c r="B15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8" s="23">
        <v>30100061439</v>
      </c>
      <c r="D158" s="22" t="s">
        <v>1182</v>
      </c>
      <c r="E158" s="22" t="str">
        <f>VLOOKUP(Youts[[#This Row],[Código]],BD_Produto[],3,FALSE)</f>
        <v>Storage Mídia</v>
      </c>
      <c r="F158" s="22" t="str">
        <f>VLOOKUP(Youts[[#This Row],[Código]],BD_Produto[],4,FALSE)</f>
        <v>Colorful - CD-R</v>
      </c>
      <c r="G158" s="24"/>
      <c r="H158" s="25"/>
      <c r="I158" s="22"/>
      <c r="J158" s="24"/>
      <c r="K158" s="24" t="str">
        <f>IFERROR(VLOOKUP(Youts[[#This Row],[Código]],Importação!P:R,3,FALSE),"")</f>
        <v/>
      </c>
      <c r="L158" s="24">
        <f>IFERROR(VLOOKUP(Youts[[#This Row],[Código]],Saldo[],3,FALSE),0)</f>
        <v>0</v>
      </c>
      <c r="M158" s="24">
        <f>SUM(Youts[[#This Row],[Produção]:[Estoque]])</f>
        <v>0</v>
      </c>
      <c r="N158" s="24" t="str">
        <f>IFERROR(Youts[[#This Row],[Estoque+Importação]]/Youts[[#This Row],[Proj. de V. No prox. mes]],"Sem Projeção")</f>
        <v>Sem Projeção</v>
      </c>
      <c r="O158" s="24" t="str">
        <f>IF(OR(Youts[[#This Row],[Status]]="Em Linha",Youts[[#This Row],[Status]]="Componente",Youts[[#This Row],[Status]]="Materia Prima"),Youts[[#This Row],[Proj. de V. No prox. mes]]*10,"-")</f>
        <v>-</v>
      </c>
      <c r="P15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8" s="34">
        <f>VLOOKUP(Youts[[#This Row],[Código]],Projeção[#All],15,FALSE)</f>
        <v>0</v>
      </c>
      <c r="R158" s="43">
        <f>VLOOKUP(Youts[[#This Row],[Código]],Projeção[#All],14,FALSE)</f>
        <v>0</v>
      </c>
      <c r="S158" s="39">
        <f>IFERROR(VLOOKUP(Youts[[#This Row],[Código]],Venda_mes[],2,FALSE),0)</f>
        <v>0</v>
      </c>
      <c r="T158" s="44" t="str">
        <f>IFERROR(Youts[[#This Row],[V. No mes]]/Youts[[#This Row],[Proj. de V. No mes]],"")</f>
        <v/>
      </c>
      <c r="U158" s="43">
        <f>VLOOKUP(Youts[[#This Row],[Código]],Projeção[#All],14,FALSE)+VLOOKUP(Youts[[#This Row],[Código]],Projeção[#All],13,FALSE)+VLOOKUP(Youts[[#This Row],[Código]],Projeção[#All],12,FALSE)</f>
        <v>0</v>
      </c>
      <c r="V158" s="39">
        <f>IFERROR(VLOOKUP(Youts[[#This Row],[Código]],Venda_3meses[],2,FALSE),0)</f>
        <v>0</v>
      </c>
      <c r="W158" s="44" t="str">
        <f>IFERROR(Youts[[#This Row],[V. 3 meses]]/Youts[[#This Row],[Proj. de V. 3 meses]],"")</f>
        <v/>
      </c>
      <c r="X15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8" s="39">
        <f>IFERROR(VLOOKUP(Youts[[#This Row],[Código]],Venda_12meses[],2,FALSE),0)</f>
        <v>0</v>
      </c>
      <c r="Z158" s="44" t="str">
        <f>IFERROR(Youts[[#This Row],[V. 12 meses]]/Youts[[#This Row],[Proj. de V. 12 meses]],"")</f>
        <v/>
      </c>
      <c r="AA158" s="22"/>
    </row>
    <row r="159" spans="1:27" x14ac:dyDescent="0.25">
      <c r="A159" s="22" t="str">
        <f>VLOOKUP(Youts[[#This Row],[Código]],BD_Produto[#All],7,FALSE)</f>
        <v>Fora de linha</v>
      </c>
      <c r="B15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59" s="23">
        <v>30100061438</v>
      </c>
      <c r="D159" s="22" t="s">
        <v>1174</v>
      </c>
      <c r="E159" s="22" t="str">
        <f>VLOOKUP(Youts[[#This Row],[Código]],BD_Produto[],3,FALSE)</f>
        <v>Storage Mídia</v>
      </c>
      <c r="F159" s="22" t="str">
        <f>VLOOKUP(Youts[[#This Row],[Código]],BD_Produto[],4,FALSE)</f>
        <v>Colorful - CD-R</v>
      </c>
      <c r="G159" s="24"/>
      <c r="H159" s="25"/>
      <c r="I159" s="22"/>
      <c r="J159" s="24"/>
      <c r="K159" s="24" t="str">
        <f>IFERROR(VLOOKUP(Youts[[#This Row],[Código]],Importação!P:R,3,FALSE),"")</f>
        <v/>
      </c>
      <c r="L159" s="24">
        <f>IFERROR(VLOOKUP(Youts[[#This Row],[Código]],Saldo[],3,FALSE),0)</f>
        <v>0</v>
      </c>
      <c r="M159" s="24">
        <f>SUM(Youts[[#This Row],[Produção]:[Estoque]])</f>
        <v>0</v>
      </c>
      <c r="N159" s="24" t="str">
        <f>IFERROR(Youts[[#This Row],[Estoque+Importação]]/Youts[[#This Row],[Proj. de V. No prox. mes]],"Sem Projeção")</f>
        <v>Sem Projeção</v>
      </c>
      <c r="O159" s="24" t="str">
        <f>IF(OR(Youts[[#This Row],[Status]]="Em Linha",Youts[[#This Row],[Status]]="Componente",Youts[[#This Row],[Status]]="Materia Prima"),Youts[[#This Row],[Proj. de V. No prox. mes]]*10,"-")</f>
        <v>-</v>
      </c>
      <c r="P15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59" s="34">
        <f>VLOOKUP(Youts[[#This Row],[Código]],Projeção[#All],15,FALSE)</f>
        <v>0</v>
      </c>
      <c r="R159" s="43">
        <f>VLOOKUP(Youts[[#This Row],[Código]],Projeção[#All],14,FALSE)</f>
        <v>0</v>
      </c>
      <c r="S159" s="39">
        <f>IFERROR(VLOOKUP(Youts[[#This Row],[Código]],Venda_mes[],2,FALSE),0)</f>
        <v>0</v>
      </c>
      <c r="T159" s="44" t="str">
        <f>IFERROR(Youts[[#This Row],[V. No mes]]/Youts[[#This Row],[Proj. de V. No mes]],"")</f>
        <v/>
      </c>
      <c r="U159" s="43">
        <f>VLOOKUP(Youts[[#This Row],[Código]],Projeção[#All],14,FALSE)+VLOOKUP(Youts[[#This Row],[Código]],Projeção[#All],13,FALSE)+VLOOKUP(Youts[[#This Row],[Código]],Projeção[#All],12,FALSE)</f>
        <v>0</v>
      </c>
      <c r="V159" s="39">
        <f>IFERROR(VLOOKUP(Youts[[#This Row],[Código]],Venda_3meses[],2,FALSE),0)</f>
        <v>0</v>
      </c>
      <c r="W159" s="44" t="str">
        <f>IFERROR(Youts[[#This Row],[V. 3 meses]]/Youts[[#This Row],[Proj. de V. 3 meses]],"")</f>
        <v/>
      </c>
      <c r="X15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59" s="39">
        <f>IFERROR(VLOOKUP(Youts[[#This Row],[Código]],Venda_12meses[],2,FALSE),0)</f>
        <v>0</v>
      </c>
      <c r="Z159" s="44" t="str">
        <f>IFERROR(Youts[[#This Row],[V. 12 meses]]/Youts[[#This Row],[Proj. de V. 12 meses]],"")</f>
        <v/>
      </c>
      <c r="AA159" s="22"/>
    </row>
    <row r="160" spans="1:27" x14ac:dyDescent="0.25">
      <c r="A160" s="22" t="str">
        <f>VLOOKUP(Youts[[#This Row],[Código]],BD_Produto[#All],7,FALSE)</f>
        <v>Fora de linha</v>
      </c>
      <c r="B16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0" s="23">
        <v>30100061436</v>
      </c>
      <c r="D160" s="22" t="s">
        <v>1175</v>
      </c>
      <c r="E160" s="22" t="str">
        <f>VLOOKUP(Youts[[#This Row],[Código]],BD_Produto[],3,FALSE)</f>
        <v>Storage Mídia</v>
      </c>
      <c r="F160" s="22" t="str">
        <f>VLOOKUP(Youts[[#This Row],[Código]],BD_Produto[],4,FALSE)</f>
        <v>Colorful - CD-R</v>
      </c>
      <c r="G160" s="24"/>
      <c r="H160" s="25"/>
      <c r="I160" s="22"/>
      <c r="J160" s="24"/>
      <c r="K160" s="24" t="str">
        <f>IFERROR(VLOOKUP(Youts[[#This Row],[Código]],Importação!P:R,3,FALSE),"")</f>
        <v/>
      </c>
      <c r="L160" s="24">
        <f>IFERROR(VLOOKUP(Youts[[#This Row],[Código]],Saldo[],3,FALSE),0)</f>
        <v>0</v>
      </c>
      <c r="M160" s="24">
        <f>SUM(Youts[[#This Row],[Produção]:[Estoque]])</f>
        <v>0</v>
      </c>
      <c r="N160" s="24" t="str">
        <f>IFERROR(Youts[[#This Row],[Estoque+Importação]]/Youts[[#This Row],[Proj. de V. No prox. mes]],"Sem Projeção")</f>
        <v>Sem Projeção</v>
      </c>
      <c r="O160" s="24" t="str">
        <f>IF(OR(Youts[[#This Row],[Status]]="Em Linha",Youts[[#This Row],[Status]]="Componente",Youts[[#This Row],[Status]]="Materia Prima"),Youts[[#This Row],[Proj. de V. No prox. mes]]*10,"-")</f>
        <v>-</v>
      </c>
      <c r="P16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0" s="83">
        <f>VLOOKUP(Youts[[#This Row],[Código]],Projeção[#All],15,FALSE)</f>
        <v>0</v>
      </c>
      <c r="R160" s="43">
        <f>VLOOKUP(Youts[[#This Row],[Código]],Projeção[#All],14,FALSE)</f>
        <v>0</v>
      </c>
      <c r="S160" s="39">
        <f>IFERROR(VLOOKUP(Youts[[#This Row],[Código]],Venda_mes[],2,FALSE),0)</f>
        <v>0</v>
      </c>
      <c r="T160" s="44" t="str">
        <f>IFERROR(Youts[[#This Row],[V. No mes]]/Youts[[#This Row],[Proj. de V. No mes]],"")</f>
        <v/>
      </c>
      <c r="U160" s="43">
        <f>VLOOKUP(Youts[[#This Row],[Código]],Projeção[#All],14,FALSE)+VLOOKUP(Youts[[#This Row],[Código]],Projeção[#All],13,FALSE)+VLOOKUP(Youts[[#This Row],[Código]],Projeção[#All],12,FALSE)</f>
        <v>0</v>
      </c>
      <c r="V160" s="39">
        <f>IFERROR(VLOOKUP(Youts[[#This Row],[Código]],Venda_3meses[],2,FALSE),0)</f>
        <v>0</v>
      </c>
      <c r="W160" s="44" t="str">
        <f>IFERROR(Youts[[#This Row],[V. 3 meses]]/Youts[[#This Row],[Proj. de V. 3 meses]],"")</f>
        <v/>
      </c>
      <c r="X16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0" s="39">
        <f>IFERROR(VLOOKUP(Youts[[#This Row],[Código]],Venda_12meses[],2,FALSE),0)</f>
        <v>0</v>
      </c>
      <c r="Z160" s="44" t="str">
        <f>IFERROR(Youts[[#This Row],[V. 12 meses]]/Youts[[#This Row],[Proj. de V. 12 meses]],"")</f>
        <v/>
      </c>
      <c r="AA160" s="22"/>
    </row>
    <row r="161" spans="1:27" x14ac:dyDescent="0.25">
      <c r="A161" s="22" t="str">
        <f>VLOOKUP(Youts[[#This Row],[Código]],BD_Produto[#All],7,FALSE)</f>
        <v>Fora de linha</v>
      </c>
      <c r="B16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1" s="23">
        <v>30100061444</v>
      </c>
      <c r="D161" s="22" t="s">
        <v>1425</v>
      </c>
      <c r="E161" s="22" t="str">
        <f>VLOOKUP(Youts[[#This Row],[Código]],BD_Produto[],3,FALSE)</f>
        <v>Storage Mídia</v>
      </c>
      <c r="F161" s="22" t="str">
        <f>VLOOKUP(Youts[[#This Row],[Código]],BD_Produto[],4,FALSE)</f>
        <v>Standard - CD-R</v>
      </c>
      <c r="G161" s="24"/>
      <c r="H161" s="25"/>
      <c r="I161" s="22"/>
      <c r="J161" s="24"/>
      <c r="K161" s="24" t="str">
        <f>IFERROR(VLOOKUP(Youts[[#This Row],[Código]],Importação!P:R,3,FALSE),"")</f>
        <v/>
      </c>
      <c r="L161" s="24">
        <f>IFERROR(VLOOKUP(Youts[[#This Row],[Código]],Saldo[],3,FALSE),0)</f>
        <v>0</v>
      </c>
      <c r="M161" s="24">
        <f>SUM(Youts[[#This Row],[Produção]:[Estoque]])</f>
        <v>0</v>
      </c>
      <c r="N161" s="24" t="str">
        <f>IFERROR(Youts[[#This Row],[Estoque+Importação]]/Youts[[#This Row],[Proj. de V. No prox. mes]],"Sem Projeção")</f>
        <v>Sem Projeção</v>
      </c>
      <c r="O161" s="24" t="str">
        <f>IF(OR(Youts[[#This Row],[Status]]="Em Linha",Youts[[#This Row],[Status]]="Componente",Youts[[#This Row],[Status]]="Materia Prima"),Youts[[#This Row],[Proj. de V. No prox. mes]]*10,"-")</f>
        <v>-</v>
      </c>
      <c r="P16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1" s="75">
        <f>VLOOKUP(Youts[[#This Row],[Código]],Projeção[#All],15,FALSE)</f>
        <v>0</v>
      </c>
      <c r="R161" s="39">
        <f>VLOOKUP(Youts[[#This Row],[Código]],Projeção[#All],14,FALSE)</f>
        <v>0</v>
      </c>
      <c r="S161" s="39">
        <f>IFERROR(VLOOKUP(Youts[[#This Row],[Código]],Venda_mes[],2,FALSE),0)</f>
        <v>0</v>
      </c>
      <c r="T161" s="44" t="str">
        <f>IFERROR(Youts[[#This Row],[V. No mes]]/Youts[[#This Row],[Proj. de V. No mes]],"")</f>
        <v/>
      </c>
      <c r="U161" s="43">
        <f>VLOOKUP(Youts[[#This Row],[Código]],Projeção[#All],14,FALSE)+VLOOKUP(Youts[[#This Row],[Código]],Projeção[#All],13,FALSE)+VLOOKUP(Youts[[#This Row],[Código]],Projeção[#All],12,FALSE)</f>
        <v>0</v>
      </c>
      <c r="V161" s="39">
        <f>IFERROR(VLOOKUP(Youts[[#This Row],[Código]],Venda_3meses[],2,FALSE),0)</f>
        <v>0</v>
      </c>
      <c r="W161" s="44" t="str">
        <f>IFERROR(Youts[[#This Row],[V. 3 meses]]/Youts[[#This Row],[Proj. de V. 3 meses]],"")</f>
        <v/>
      </c>
      <c r="X16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1" s="39">
        <f>IFERROR(VLOOKUP(Youts[[#This Row],[Código]],Venda_12meses[],2,FALSE),0)</f>
        <v>0</v>
      </c>
      <c r="Z161" s="44" t="str">
        <f>IFERROR(Youts[[#This Row],[V. 12 meses]]/Youts[[#This Row],[Proj. de V. 12 meses]],"")</f>
        <v/>
      </c>
      <c r="AA161" s="22"/>
    </row>
    <row r="162" spans="1:27" x14ac:dyDescent="0.25">
      <c r="A162" s="22" t="str">
        <f>VLOOKUP(Youts[[#This Row],[Código]],BD_Produto[#All],7,FALSE)</f>
        <v>Fora de linha</v>
      </c>
      <c r="B16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2" s="23">
        <v>30100062071</v>
      </c>
      <c r="D162" s="22" t="s">
        <v>1224</v>
      </c>
      <c r="E162" s="22" t="str">
        <f>VLOOKUP(Youts[[#This Row],[Código]],BD_Produto[],3,FALSE)</f>
        <v>Storage Mídia</v>
      </c>
      <c r="F162" s="22" t="str">
        <f>VLOOKUP(Youts[[#This Row],[Código]],BD_Produto[],4,FALSE)</f>
        <v>Printable - Cake - CD-R</v>
      </c>
      <c r="G162" s="24"/>
      <c r="H162" s="25"/>
      <c r="I162" s="22"/>
      <c r="J162" s="24"/>
      <c r="K162" s="24" t="str">
        <f>IFERROR(VLOOKUP(Youts[[#This Row],[Código]],Importação!P:R,3,FALSE),"")</f>
        <v/>
      </c>
      <c r="L162" s="24">
        <f>IFERROR(VLOOKUP(Youts[[#This Row],[Código]],Saldo[],3,FALSE),0)</f>
        <v>0</v>
      </c>
      <c r="M162" s="24">
        <f>SUM(Youts[[#This Row],[Produção]:[Estoque]])</f>
        <v>0</v>
      </c>
      <c r="N162" s="24" t="str">
        <f>IFERROR(Youts[[#This Row],[Estoque+Importação]]/Youts[[#This Row],[Proj. de V. No prox. mes]],"Sem Projeção")</f>
        <v>Sem Projeção</v>
      </c>
      <c r="O162" s="24" t="str">
        <f>IF(OR(Youts[[#This Row],[Status]]="Em Linha",Youts[[#This Row],[Status]]="Componente",Youts[[#This Row],[Status]]="Materia Prima"),Youts[[#This Row],[Proj. de V. No prox. mes]]*10,"-")</f>
        <v>-</v>
      </c>
      <c r="P16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2" s="34">
        <f>VLOOKUP(Youts[[#This Row],[Código]],Projeção[#All],15,FALSE)</f>
        <v>0</v>
      </c>
      <c r="R162" s="43">
        <f>VLOOKUP(Youts[[#This Row],[Código]],Projeção[#All],14,FALSE)</f>
        <v>0</v>
      </c>
      <c r="S162" s="39">
        <f>IFERROR(VLOOKUP(Youts[[#This Row],[Código]],Venda_mes[],2,FALSE),0)</f>
        <v>0</v>
      </c>
      <c r="T162" s="44" t="str">
        <f>IFERROR(Youts[[#This Row],[V. No mes]]/Youts[[#This Row],[Proj. de V. No mes]],"")</f>
        <v/>
      </c>
      <c r="U162" s="43">
        <f>VLOOKUP(Youts[[#This Row],[Código]],Projeção[#All],14,FALSE)+VLOOKUP(Youts[[#This Row],[Código]],Projeção[#All],13,FALSE)+VLOOKUP(Youts[[#This Row],[Código]],Projeção[#All],12,FALSE)</f>
        <v>0</v>
      </c>
      <c r="V162" s="39">
        <f>IFERROR(VLOOKUP(Youts[[#This Row],[Código]],Venda_3meses[],2,FALSE),0)</f>
        <v>0</v>
      </c>
      <c r="W162" s="44" t="str">
        <f>IFERROR(Youts[[#This Row],[V. 3 meses]]/Youts[[#This Row],[Proj. de V. 3 meses]],"")</f>
        <v/>
      </c>
      <c r="X16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2" s="39">
        <f>IFERROR(VLOOKUP(Youts[[#This Row],[Código]],Venda_12meses[],2,FALSE),0)</f>
        <v>0</v>
      </c>
      <c r="Z162" s="44" t="str">
        <f>IFERROR(Youts[[#This Row],[V. 12 meses]]/Youts[[#This Row],[Proj. de V. 12 meses]],"")</f>
        <v/>
      </c>
      <c r="AA162" s="22"/>
    </row>
    <row r="163" spans="1:27" x14ac:dyDescent="0.25">
      <c r="A163" s="22" t="str">
        <f>VLOOKUP(Youts[[#This Row],[Código]],BD_Produto[#All],7,FALSE)</f>
        <v>Fora de linha</v>
      </c>
      <c r="B16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3" s="23">
        <v>30100062070</v>
      </c>
      <c r="D163" s="22" t="s">
        <v>1227</v>
      </c>
      <c r="E163" s="22" t="str">
        <f>VLOOKUP(Youts[[#This Row],[Código]],BD_Produto[],3,FALSE)</f>
        <v>Storage Mídia</v>
      </c>
      <c r="F163" s="22" t="str">
        <f>VLOOKUP(Youts[[#This Row],[Código]],BD_Produto[],4,FALSE)</f>
        <v>Printable - Cake - CD-R</v>
      </c>
      <c r="G163" s="24"/>
      <c r="H163" s="25"/>
      <c r="I163" s="22"/>
      <c r="J163" s="24"/>
      <c r="K163" s="24" t="str">
        <f>IFERROR(VLOOKUP(Youts[[#This Row],[Código]],Importação!P:R,3,FALSE),"")</f>
        <v/>
      </c>
      <c r="L163" s="24">
        <f>IFERROR(VLOOKUP(Youts[[#This Row],[Código]],Saldo[],3,FALSE),0)</f>
        <v>0</v>
      </c>
      <c r="M163" s="24">
        <f>SUM(Youts[[#This Row],[Produção]:[Estoque]])</f>
        <v>0</v>
      </c>
      <c r="N163" s="24" t="str">
        <f>IFERROR(Youts[[#This Row],[Estoque+Importação]]/Youts[[#This Row],[Proj. de V. No prox. mes]],"Sem Projeção")</f>
        <v>Sem Projeção</v>
      </c>
      <c r="O163" s="24" t="str">
        <f>IF(OR(Youts[[#This Row],[Status]]="Em Linha",Youts[[#This Row],[Status]]="Componente",Youts[[#This Row],[Status]]="Materia Prima"),Youts[[#This Row],[Proj. de V. No prox. mes]]*10,"-")</f>
        <v>-</v>
      </c>
      <c r="P16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3" s="83">
        <f>VLOOKUP(Youts[[#This Row],[Código]],Projeção[#All],15,FALSE)</f>
        <v>0</v>
      </c>
      <c r="R163" s="43">
        <f>VLOOKUP(Youts[[#This Row],[Código]],Projeção[#All],14,FALSE)</f>
        <v>0</v>
      </c>
      <c r="S163" s="39">
        <f>IFERROR(VLOOKUP(Youts[[#This Row],[Código]],Venda_mes[],2,FALSE),0)</f>
        <v>0</v>
      </c>
      <c r="T163" s="44" t="str">
        <f>IFERROR(Youts[[#This Row],[V. No mes]]/Youts[[#This Row],[Proj. de V. No mes]],"")</f>
        <v/>
      </c>
      <c r="U163" s="43">
        <f>VLOOKUP(Youts[[#This Row],[Código]],Projeção[#All],14,FALSE)+VLOOKUP(Youts[[#This Row],[Código]],Projeção[#All],13,FALSE)+VLOOKUP(Youts[[#This Row],[Código]],Projeção[#All],12,FALSE)</f>
        <v>0</v>
      </c>
      <c r="V163" s="39">
        <f>IFERROR(VLOOKUP(Youts[[#This Row],[Código]],Venda_3meses[],2,FALSE),0)</f>
        <v>0</v>
      </c>
      <c r="W163" s="44" t="str">
        <f>IFERROR(Youts[[#This Row],[V. 3 meses]]/Youts[[#This Row],[Proj. de V. 3 meses]],"")</f>
        <v/>
      </c>
      <c r="X16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3" s="39">
        <f>IFERROR(VLOOKUP(Youts[[#This Row],[Código]],Venda_12meses[],2,FALSE),0)</f>
        <v>0</v>
      </c>
      <c r="Z163" s="44" t="str">
        <f>IFERROR(Youts[[#This Row],[V. 12 meses]]/Youts[[#This Row],[Proj. de V. 12 meses]],"")</f>
        <v/>
      </c>
      <c r="AA163" s="22"/>
    </row>
    <row r="164" spans="1:27" x14ac:dyDescent="0.25">
      <c r="A164" s="22" t="str">
        <f>VLOOKUP(Youts[[#This Row],[Código]],BD_Produto[#All],7,FALSE)</f>
        <v>Fora de linha</v>
      </c>
      <c r="B16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4" s="23">
        <v>30100062073</v>
      </c>
      <c r="D164" s="22" t="s">
        <v>1429</v>
      </c>
      <c r="E164" s="22" t="str">
        <f>VLOOKUP(Youts[[#This Row],[Código]],BD_Produto[],3,FALSE)</f>
        <v>Storage Mídia</v>
      </c>
      <c r="F164" s="22" t="str">
        <f>VLOOKUP(Youts[[#This Row],[Código]],BD_Produto[],4,FALSE)</f>
        <v>Standard - CD-R</v>
      </c>
      <c r="G164" s="24"/>
      <c r="H164" s="25"/>
      <c r="I164" s="22"/>
      <c r="J164" s="24"/>
      <c r="K164" s="24" t="str">
        <f>IFERROR(VLOOKUP(Youts[[#This Row],[Código]],Importação!P:R,3,FALSE),"")</f>
        <v/>
      </c>
      <c r="L164" s="24">
        <f>IFERROR(VLOOKUP(Youts[[#This Row],[Código]],Saldo[],3,FALSE),0)</f>
        <v>0</v>
      </c>
      <c r="M164" s="24">
        <f>SUM(Youts[[#This Row],[Produção]:[Estoque]])</f>
        <v>0</v>
      </c>
      <c r="N164" s="24" t="str">
        <f>IFERROR(Youts[[#This Row],[Estoque+Importação]]/Youts[[#This Row],[Proj. de V. No prox. mes]],"Sem Projeção")</f>
        <v>Sem Projeção</v>
      </c>
      <c r="O164" s="24" t="str">
        <f>IF(OR(Youts[[#This Row],[Status]]="Em Linha",Youts[[#This Row],[Status]]="Componente",Youts[[#This Row],[Status]]="Materia Prima"),Youts[[#This Row],[Proj. de V. No prox. mes]]*10,"-")</f>
        <v>-</v>
      </c>
      <c r="P16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4" s="34">
        <f>VLOOKUP(Youts[[#This Row],[Código]],Projeção[#All],15,FALSE)</f>
        <v>0</v>
      </c>
      <c r="R164" s="43">
        <f>VLOOKUP(Youts[[#This Row],[Código]],Projeção[#All],14,FALSE)</f>
        <v>0</v>
      </c>
      <c r="S164" s="39">
        <f>IFERROR(VLOOKUP(Youts[[#This Row],[Código]],Venda_mes[],2,FALSE),0)</f>
        <v>0</v>
      </c>
      <c r="T164" s="44" t="str">
        <f>IFERROR(Youts[[#This Row],[V. No mes]]/Youts[[#This Row],[Proj. de V. No mes]],"")</f>
        <v/>
      </c>
      <c r="U164" s="43">
        <f>VLOOKUP(Youts[[#This Row],[Código]],Projeção[#All],14,FALSE)+VLOOKUP(Youts[[#This Row],[Código]],Projeção[#All],13,FALSE)+VLOOKUP(Youts[[#This Row],[Código]],Projeção[#All],12,FALSE)</f>
        <v>0</v>
      </c>
      <c r="V164" s="39">
        <f>IFERROR(VLOOKUP(Youts[[#This Row],[Código]],Venda_3meses[],2,FALSE),0)</f>
        <v>0</v>
      </c>
      <c r="W164" s="44" t="str">
        <f>IFERROR(Youts[[#This Row],[V. 3 meses]]/Youts[[#This Row],[Proj. de V. 3 meses]],"")</f>
        <v/>
      </c>
      <c r="X16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4" s="39">
        <f>IFERROR(VLOOKUP(Youts[[#This Row],[Código]],Venda_12meses[],2,FALSE),0)</f>
        <v>0</v>
      </c>
      <c r="Z164" s="44" t="str">
        <f>IFERROR(Youts[[#This Row],[V. 12 meses]]/Youts[[#This Row],[Proj. de V. 12 meses]],"")</f>
        <v/>
      </c>
      <c r="AA164" s="22"/>
    </row>
    <row r="165" spans="1:27" x14ac:dyDescent="0.25">
      <c r="A165" s="22" t="str">
        <f>VLOOKUP(Youts[[#This Row],[Código]],BD_Produto[#All],7,FALSE)</f>
        <v>Fora de linha</v>
      </c>
      <c r="B16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5" s="23">
        <v>30100061427</v>
      </c>
      <c r="D165" s="22" t="s">
        <v>1413</v>
      </c>
      <c r="E165" s="22" t="str">
        <f>VLOOKUP(Youts[[#This Row],[Código]],BD_Produto[],3,FALSE)</f>
        <v>Storage Mídia</v>
      </c>
      <c r="F165" s="22" t="str">
        <f>VLOOKUP(Youts[[#This Row],[Código]],BD_Produto[],4,FALSE)</f>
        <v>Colorful - CD-R</v>
      </c>
      <c r="G165" s="24"/>
      <c r="H165" s="25"/>
      <c r="I165" s="22"/>
      <c r="J165" s="24"/>
      <c r="K165" s="24" t="str">
        <f>IFERROR(VLOOKUP(Youts[[#This Row],[Código]],Importação!P:R,3,FALSE),"")</f>
        <v/>
      </c>
      <c r="L165" s="24">
        <f>IFERROR(VLOOKUP(Youts[[#This Row],[Código]],Saldo[],3,FALSE),0)</f>
        <v>0</v>
      </c>
      <c r="M165" s="24">
        <f>SUM(Youts[[#This Row],[Produção]:[Estoque]])</f>
        <v>0</v>
      </c>
      <c r="N165" s="24" t="str">
        <f>IFERROR(Youts[[#This Row],[Estoque+Importação]]/Youts[[#This Row],[Proj. de V. No prox. mes]],"Sem Projeção")</f>
        <v>Sem Projeção</v>
      </c>
      <c r="O165" s="24" t="str">
        <f>IF(OR(Youts[[#This Row],[Status]]="Em Linha",Youts[[#This Row],[Status]]="Componente",Youts[[#This Row],[Status]]="Materia Prima"),Youts[[#This Row],[Proj. de V. No prox. mes]]*10,"-")</f>
        <v>-</v>
      </c>
      <c r="P16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5" s="83">
        <f>VLOOKUP(Youts[[#This Row],[Código]],Projeção[#All],15,FALSE)</f>
        <v>0</v>
      </c>
      <c r="R165" s="43">
        <f>VLOOKUP(Youts[[#This Row],[Código]],Projeção[#All],14,FALSE)</f>
        <v>0</v>
      </c>
      <c r="S165" s="39">
        <f>IFERROR(VLOOKUP(Youts[[#This Row],[Código]],Venda_mes[],2,FALSE),0)</f>
        <v>0</v>
      </c>
      <c r="T165" s="44" t="str">
        <f>IFERROR(Youts[[#This Row],[V. No mes]]/Youts[[#This Row],[Proj. de V. No mes]],"")</f>
        <v/>
      </c>
      <c r="U165" s="43">
        <f>VLOOKUP(Youts[[#This Row],[Código]],Projeção[#All],14,FALSE)+VLOOKUP(Youts[[#This Row],[Código]],Projeção[#All],13,FALSE)+VLOOKUP(Youts[[#This Row],[Código]],Projeção[#All],12,FALSE)</f>
        <v>0</v>
      </c>
      <c r="V165" s="39">
        <f>IFERROR(VLOOKUP(Youts[[#This Row],[Código]],Venda_3meses[],2,FALSE),0)</f>
        <v>0</v>
      </c>
      <c r="W165" s="44" t="str">
        <f>IFERROR(Youts[[#This Row],[V. 3 meses]]/Youts[[#This Row],[Proj. de V. 3 meses]],"")</f>
        <v/>
      </c>
      <c r="X16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5" s="39">
        <f>IFERROR(VLOOKUP(Youts[[#This Row],[Código]],Venda_12meses[],2,FALSE),0)</f>
        <v>0</v>
      </c>
      <c r="Z165" s="44" t="str">
        <f>IFERROR(Youts[[#This Row],[V. 12 meses]]/Youts[[#This Row],[Proj. de V. 12 meses]],"")</f>
        <v/>
      </c>
      <c r="AA165" s="22"/>
    </row>
    <row r="166" spans="1:27" x14ac:dyDescent="0.25">
      <c r="A166" s="22" t="str">
        <f>VLOOKUP(Youts[[#This Row],[Código]],BD_Produto[#All],7,FALSE)</f>
        <v>Fora de linha</v>
      </c>
      <c r="B16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6" s="23">
        <v>30100061430</v>
      </c>
      <c r="D166" s="22" t="s">
        <v>1416</v>
      </c>
      <c r="E166" s="22" t="str">
        <f>VLOOKUP(Youts[[#This Row],[Código]],BD_Produto[],3,FALSE)</f>
        <v>Storage Mídia</v>
      </c>
      <c r="F166" s="22" t="str">
        <f>VLOOKUP(Youts[[#This Row],[Código]],BD_Produto[],4,FALSE)</f>
        <v>Colorful - CD-R</v>
      </c>
      <c r="G166" s="24"/>
      <c r="H166" s="25"/>
      <c r="I166" s="22"/>
      <c r="J166" s="24"/>
      <c r="K166" s="24" t="str">
        <f>IFERROR(VLOOKUP(Youts[[#This Row],[Código]],Importação!P:R,3,FALSE),"")</f>
        <v/>
      </c>
      <c r="L166" s="24">
        <f>IFERROR(VLOOKUP(Youts[[#This Row],[Código]],Saldo[],3,FALSE),0)</f>
        <v>0</v>
      </c>
      <c r="M166" s="24">
        <f>SUM(Youts[[#This Row],[Produção]:[Estoque]])</f>
        <v>0</v>
      </c>
      <c r="N166" s="24" t="str">
        <f>IFERROR(Youts[[#This Row],[Estoque+Importação]]/Youts[[#This Row],[Proj. de V. No prox. mes]],"Sem Projeção")</f>
        <v>Sem Projeção</v>
      </c>
      <c r="O166" s="24" t="str">
        <f>IF(OR(Youts[[#This Row],[Status]]="Em Linha",Youts[[#This Row],[Status]]="Componente",Youts[[#This Row],[Status]]="Materia Prima"),Youts[[#This Row],[Proj. de V. No prox. mes]]*10,"-")</f>
        <v>-</v>
      </c>
      <c r="P16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6" s="83">
        <f>VLOOKUP(Youts[[#This Row],[Código]],Projeção[#All],15,FALSE)</f>
        <v>0</v>
      </c>
      <c r="R166" s="43">
        <f>VLOOKUP(Youts[[#This Row],[Código]],Projeção[#All],14,FALSE)</f>
        <v>0</v>
      </c>
      <c r="S166" s="39">
        <f>IFERROR(VLOOKUP(Youts[[#This Row],[Código]],Venda_mes[],2,FALSE),0)</f>
        <v>0</v>
      </c>
      <c r="T166" s="44" t="str">
        <f>IFERROR(Youts[[#This Row],[V. No mes]]/Youts[[#This Row],[Proj. de V. No mes]],"")</f>
        <v/>
      </c>
      <c r="U166" s="43">
        <f>VLOOKUP(Youts[[#This Row],[Código]],Projeção[#All],14,FALSE)+VLOOKUP(Youts[[#This Row],[Código]],Projeção[#All],13,FALSE)+VLOOKUP(Youts[[#This Row],[Código]],Projeção[#All],12,FALSE)</f>
        <v>0</v>
      </c>
      <c r="V166" s="39">
        <f>IFERROR(VLOOKUP(Youts[[#This Row],[Código]],Venda_3meses[],2,FALSE),0)</f>
        <v>0</v>
      </c>
      <c r="W166" s="44" t="str">
        <f>IFERROR(Youts[[#This Row],[V. 3 meses]]/Youts[[#This Row],[Proj. de V. 3 meses]],"")</f>
        <v/>
      </c>
      <c r="X16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6" s="39">
        <f>IFERROR(VLOOKUP(Youts[[#This Row],[Código]],Venda_12meses[],2,FALSE),0)</f>
        <v>0</v>
      </c>
      <c r="Z166" s="44" t="str">
        <f>IFERROR(Youts[[#This Row],[V. 12 meses]]/Youts[[#This Row],[Proj. de V. 12 meses]],"")</f>
        <v/>
      </c>
      <c r="AA166" s="22"/>
    </row>
    <row r="167" spans="1:27" x14ac:dyDescent="0.25">
      <c r="A167" s="22" t="str">
        <f>VLOOKUP(Youts[[#This Row],[Código]],BD_Produto[#All],7,FALSE)</f>
        <v>Fora de linha</v>
      </c>
      <c r="B16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7" s="23">
        <v>30100061429</v>
      </c>
      <c r="D167" s="22" t="s">
        <v>1415</v>
      </c>
      <c r="E167" s="22" t="str">
        <f>VLOOKUP(Youts[[#This Row],[Código]],BD_Produto[],3,FALSE)</f>
        <v>Storage Mídia</v>
      </c>
      <c r="F167" s="22" t="str">
        <f>VLOOKUP(Youts[[#This Row],[Código]],BD_Produto[],4,FALSE)</f>
        <v>Colorful - CD-R</v>
      </c>
      <c r="G167" s="24"/>
      <c r="H167" s="25"/>
      <c r="I167" s="22"/>
      <c r="J167" s="24"/>
      <c r="K167" s="24" t="str">
        <f>IFERROR(VLOOKUP(Youts[[#This Row],[Código]],Importação!P:R,3,FALSE),"")</f>
        <v/>
      </c>
      <c r="L167" s="24">
        <f>IFERROR(VLOOKUP(Youts[[#This Row],[Código]],Saldo[],3,FALSE),0)</f>
        <v>0</v>
      </c>
      <c r="M167" s="24">
        <f>SUM(Youts[[#This Row],[Produção]:[Estoque]])</f>
        <v>0</v>
      </c>
      <c r="N167" s="24" t="str">
        <f>IFERROR(Youts[[#This Row],[Estoque+Importação]]/Youts[[#This Row],[Proj. de V. No prox. mes]],"Sem Projeção")</f>
        <v>Sem Projeção</v>
      </c>
      <c r="O167" s="24" t="str">
        <f>IF(OR(Youts[[#This Row],[Status]]="Em Linha",Youts[[#This Row],[Status]]="Componente",Youts[[#This Row],[Status]]="Materia Prima"),Youts[[#This Row],[Proj. de V. No prox. mes]]*10,"-")</f>
        <v>-</v>
      </c>
      <c r="P16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7" s="83">
        <f>VLOOKUP(Youts[[#This Row],[Código]],Projeção[#All],15,FALSE)</f>
        <v>0</v>
      </c>
      <c r="R167" s="43">
        <f>VLOOKUP(Youts[[#This Row],[Código]],Projeção[#All],14,FALSE)</f>
        <v>0</v>
      </c>
      <c r="S167" s="39">
        <f>IFERROR(VLOOKUP(Youts[[#This Row],[Código]],Venda_mes[],2,FALSE),0)</f>
        <v>0</v>
      </c>
      <c r="T167" s="44" t="str">
        <f>IFERROR(Youts[[#This Row],[V. No mes]]/Youts[[#This Row],[Proj. de V. No mes]],"")</f>
        <v/>
      </c>
      <c r="U167" s="43">
        <f>VLOOKUP(Youts[[#This Row],[Código]],Projeção[#All],14,FALSE)+VLOOKUP(Youts[[#This Row],[Código]],Projeção[#All],13,FALSE)+VLOOKUP(Youts[[#This Row],[Código]],Projeção[#All],12,FALSE)</f>
        <v>0</v>
      </c>
      <c r="V167" s="39">
        <f>IFERROR(VLOOKUP(Youts[[#This Row],[Código]],Venda_3meses[],2,FALSE),0)</f>
        <v>0</v>
      </c>
      <c r="W167" s="44" t="str">
        <f>IFERROR(Youts[[#This Row],[V. 3 meses]]/Youts[[#This Row],[Proj. de V. 3 meses]],"")</f>
        <v/>
      </c>
      <c r="X16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7" s="39">
        <f>IFERROR(VLOOKUP(Youts[[#This Row],[Código]],Venda_12meses[],2,FALSE),0)</f>
        <v>0</v>
      </c>
      <c r="Z167" s="44" t="str">
        <f>IFERROR(Youts[[#This Row],[V. 12 meses]]/Youts[[#This Row],[Proj. de V. 12 meses]],"")</f>
        <v/>
      </c>
      <c r="AA167" s="22"/>
    </row>
    <row r="168" spans="1:27" x14ac:dyDescent="0.25">
      <c r="A168" s="22" t="str">
        <f>VLOOKUP(Youts[[#This Row],[Código]],BD_Produto[#All],7,FALSE)</f>
        <v>Fora de linha</v>
      </c>
      <c r="B16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8" s="23">
        <v>30100061428</v>
      </c>
      <c r="D168" s="22" t="s">
        <v>1414</v>
      </c>
      <c r="E168" s="22" t="str">
        <f>VLOOKUP(Youts[[#This Row],[Código]],BD_Produto[],3,FALSE)</f>
        <v>Storage Mídia</v>
      </c>
      <c r="F168" s="22" t="str">
        <f>VLOOKUP(Youts[[#This Row],[Código]],BD_Produto[],4,FALSE)</f>
        <v>Colorful - CD-R</v>
      </c>
      <c r="G168" s="24"/>
      <c r="H168" s="25"/>
      <c r="I168" s="22"/>
      <c r="J168" s="24"/>
      <c r="K168" s="24" t="str">
        <f>IFERROR(VLOOKUP(Youts[[#This Row],[Código]],Importação!P:R,3,FALSE),"")</f>
        <v/>
      </c>
      <c r="L168" s="24">
        <f>IFERROR(VLOOKUP(Youts[[#This Row],[Código]],Saldo[],3,FALSE),0)</f>
        <v>0</v>
      </c>
      <c r="M168" s="24">
        <f>SUM(Youts[[#This Row],[Produção]:[Estoque]])</f>
        <v>0</v>
      </c>
      <c r="N168" s="24" t="str">
        <f>IFERROR(Youts[[#This Row],[Estoque+Importação]]/Youts[[#This Row],[Proj. de V. No prox. mes]],"Sem Projeção")</f>
        <v>Sem Projeção</v>
      </c>
      <c r="O168" s="24" t="str">
        <f>IF(OR(Youts[[#This Row],[Status]]="Em Linha",Youts[[#This Row],[Status]]="Componente",Youts[[#This Row],[Status]]="Materia Prima"),Youts[[#This Row],[Proj. de V. No prox. mes]]*10,"-")</f>
        <v>-</v>
      </c>
      <c r="P16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8" s="34">
        <f>VLOOKUP(Youts[[#This Row],[Código]],Projeção[#All],15,FALSE)</f>
        <v>0</v>
      </c>
      <c r="R168" s="43">
        <f>VLOOKUP(Youts[[#This Row],[Código]],Projeção[#All],14,FALSE)</f>
        <v>0</v>
      </c>
      <c r="S168" s="39">
        <f>IFERROR(VLOOKUP(Youts[[#This Row],[Código]],Venda_mes[],2,FALSE),0)</f>
        <v>0</v>
      </c>
      <c r="T168" s="44" t="str">
        <f>IFERROR(Youts[[#This Row],[V. No mes]]/Youts[[#This Row],[Proj. de V. No mes]],"")</f>
        <v/>
      </c>
      <c r="U168" s="43">
        <f>VLOOKUP(Youts[[#This Row],[Código]],Projeção[#All],14,FALSE)+VLOOKUP(Youts[[#This Row],[Código]],Projeção[#All],13,FALSE)+VLOOKUP(Youts[[#This Row],[Código]],Projeção[#All],12,FALSE)</f>
        <v>0</v>
      </c>
      <c r="V168" s="39">
        <f>IFERROR(VLOOKUP(Youts[[#This Row],[Código]],Venda_3meses[],2,FALSE),0)</f>
        <v>0</v>
      </c>
      <c r="W168" s="44" t="str">
        <f>IFERROR(Youts[[#This Row],[V. 3 meses]]/Youts[[#This Row],[Proj. de V. 3 meses]],"")</f>
        <v/>
      </c>
      <c r="X16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8" s="39">
        <f>IFERROR(VLOOKUP(Youts[[#This Row],[Código]],Venda_12meses[],2,FALSE),0)</f>
        <v>0</v>
      </c>
      <c r="Z168" s="44" t="str">
        <f>IFERROR(Youts[[#This Row],[V. 12 meses]]/Youts[[#This Row],[Proj. de V. 12 meses]],"")</f>
        <v/>
      </c>
      <c r="AA168" s="22"/>
    </row>
    <row r="169" spans="1:27" x14ac:dyDescent="0.25">
      <c r="A169" s="22" t="str">
        <f>VLOOKUP(Youts[[#This Row],[Código]],BD_Produto[#All],7,FALSE)</f>
        <v>Fora de linha</v>
      </c>
      <c r="B16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69" s="23">
        <v>30100062760</v>
      </c>
      <c r="D169" s="22" t="s">
        <v>1130</v>
      </c>
      <c r="E169" s="22" t="str">
        <f>VLOOKUP(Youts[[#This Row],[Código]],BD_Produto[],3,FALSE)</f>
        <v>Storage Mídia</v>
      </c>
      <c r="F169" s="22" t="str">
        <f>VLOOKUP(Youts[[#This Row],[Código]],BD_Produto[],4,FALSE)</f>
        <v>Rock in Rio - Colorful - CD-R</v>
      </c>
      <c r="G169" s="24"/>
      <c r="H169" s="25"/>
      <c r="I169" s="22"/>
      <c r="J169" s="24"/>
      <c r="K169" s="24" t="str">
        <f>IFERROR(VLOOKUP(Youts[[#This Row],[Código]],Importação!P:R,3,FALSE),"")</f>
        <v/>
      </c>
      <c r="L169" s="24">
        <f>IFERROR(VLOOKUP(Youts[[#This Row],[Código]],Saldo[],3,FALSE),0)</f>
        <v>0</v>
      </c>
      <c r="M169" s="24">
        <f>SUM(Youts[[#This Row],[Produção]:[Estoque]])</f>
        <v>0</v>
      </c>
      <c r="N169" s="24" t="str">
        <f>IFERROR(Youts[[#This Row],[Estoque+Importação]]/Youts[[#This Row],[Proj. de V. No prox. mes]],"Sem Projeção")</f>
        <v>Sem Projeção</v>
      </c>
      <c r="O169" s="24" t="str">
        <f>IF(OR(Youts[[#This Row],[Status]]="Em Linha",Youts[[#This Row],[Status]]="Componente",Youts[[#This Row],[Status]]="Materia Prima"),Youts[[#This Row],[Proj. de V. No prox. mes]]*10,"-")</f>
        <v>-</v>
      </c>
      <c r="P16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69" s="83">
        <f>VLOOKUP(Youts[[#This Row],[Código]],Projeção[#All],15,FALSE)</f>
        <v>0</v>
      </c>
      <c r="R169" s="43">
        <f>VLOOKUP(Youts[[#This Row],[Código]],Projeção[#All],14,FALSE)</f>
        <v>0</v>
      </c>
      <c r="S169" s="39">
        <f>IFERROR(VLOOKUP(Youts[[#This Row],[Código]],Venda_mes[],2,FALSE),0)</f>
        <v>0</v>
      </c>
      <c r="T169" s="44" t="str">
        <f>IFERROR(Youts[[#This Row],[V. No mes]]/Youts[[#This Row],[Proj. de V. No mes]],"")</f>
        <v/>
      </c>
      <c r="U169" s="43">
        <f>VLOOKUP(Youts[[#This Row],[Código]],Projeção[#All],14,FALSE)+VLOOKUP(Youts[[#This Row],[Código]],Projeção[#All],13,FALSE)+VLOOKUP(Youts[[#This Row],[Código]],Projeção[#All],12,FALSE)</f>
        <v>0</v>
      </c>
      <c r="V169" s="39">
        <f>IFERROR(VLOOKUP(Youts[[#This Row],[Código]],Venda_3meses[],2,FALSE),0)</f>
        <v>0</v>
      </c>
      <c r="W169" s="44" t="str">
        <f>IFERROR(Youts[[#This Row],[V. 3 meses]]/Youts[[#This Row],[Proj. de V. 3 meses]],"")</f>
        <v/>
      </c>
      <c r="X16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69" s="39">
        <f>IFERROR(VLOOKUP(Youts[[#This Row],[Código]],Venda_12meses[],2,FALSE),0)</f>
        <v>0</v>
      </c>
      <c r="Z169" s="44" t="str">
        <f>IFERROR(Youts[[#This Row],[V. 12 meses]]/Youts[[#This Row],[Proj. de V. 12 meses]],"")</f>
        <v/>
      </c>
      <c r="AA169" s="22"/>
    </row>
    <row r="170" spans="1:27" x14ac:dyDescent="0.25">
      <c r="A170" s="22" t="str">
        <f>VLOOKUP(Youts[[#This Row],[Código]],BD_Produto[#All],7,FALSE)</f>
        <v>Fora de linha</v>
      </c>
      <c r="B17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0" s="23">
        <v>30100061426</v>
      </c>
      <c r="D170" s="22" t="s">
        <v>1412</v>
      </c>
      <c r="E170" s="22" t="str">
        <f>VLOOKUP(Youts[[#This Row],[Código]],BD_Produto[],3,FALSE)</f>
        <v>Storage Mídia</v>
      </c>
      <c r="F170" s="22" t="str">
        <f>VLOOKUP(Youts[[#This Row],[Código]],BD_Produto[],4,FALSE)</f>
        <v>Colorful - CD-R</v>
      </c>
      <c r="G170" s="24"/>
      <c r="H170" s="25"/>
      <c r="I170" s="22"/>
      <c r="J170" s="24"/>
      <c r="K170" s="24" t="str">
        <f>IFERROR(VLOOKUP(Youts[[#This Row],[Código]],Importação!P:R,3,FALSE),"")</f>
        <v/>
      </c>
      <c r="L170" s="24">
        <f>IFERROR(VLOOKUP(Youts[[#This Row],[Código]],Saldo[],3,FALSE),0)</f>
        <v>0</v>
      </c>
      <c r="M170" s="24">
        <f>SUM(Youts[[#This Row],[Produção]:[Estoque]])</f>
        <v>0</v>
      </c>
      <c r="N170" s="24" t="str">
        <f>IFERROR(Youts[[#This Row],[Estoque+Importação]]/Youts[[#This Row],[Proj. de V. No prox. mes]],"Sem Projeção")</f>
        <v>Sem Projeção</v>
      </c>
      <c r="O170" s="24" t="str">
        <f>IF(OR(Youts[[#This Row],[Status]]="Em Linha",Youts[[#This Row],[Status]]="Componente",Youts[[#This Row],[Status]]="Materia Prima"),Youts[[#This Row],[Proj. de V. No prox. mes]]*10,"-")</f>
        <v>-</v>
      </c>
      <c r="P17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0" s="75">
        <f>VLOOKUP(Youts[[#This Row],[Código]],Projeção[#All],15,FALSE)</f>
        <v>0</v>
      </c>
      <c r="R170" s="39">
        <f>VLOOKUP(Youts[[#This Row],[Código]],Projeção[#All],14,FALSE)</f>
        <v>0</v>
      </c>
      <c r="S170" s="39">
        <f>IFERROR(VLOOKUP(Youts[[#This Row],[Código]],Venda_mes[],2,FALSE),0)</f>
        <v>0</v>
      </c>
      <c r="T170" s="44" t="str">
        <f>IFERROR(Youts[[#This Row],[V. No mes]]/Youts[[#This Row],[Proj. de V. No mes]],"")</f>
        <v/>
      </c>
      <c r="U170" s="43">
        <f>VLOOKUP(Youts[[#This Row],[Código]],Projeção[#All],14,FALSE)+VLOOKUP(Youts[[#This Row],[Código]],Projeção[#All],13,FALSE)+VLOOKUP(Youts[[#This Row],[Código]],Projeção[#All],12,FALSE)</f>
        <v>0</v>
      </c>
      <c r="V170" s="39">
        <f>IFERROR(VLOOKUP(Youts[[#This Row],[Código]],Venda_3meses[],2,FALSE),0)</f>
        <v>0</v>
      </c>
      <c r="W170" s="44" t="str">
        <f>IFERROR(Youts[[#This Row],[V. 3 meses]]/Youts[[#This Row],[Proj. de V. 3 meses]],"")</f>
        <v/>
      </c>
      <c r="X17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0" s="39">
        <f>IFERROR(VLOOKUP(Youts[[#This Row],[Código]],Venda_12meses[],2,FALSE),0)</f>
        <v>0</v>
      </c>
      <c r="Z170" s="44" t="str">
        <f>IFERROR(Youts[[#This Row],[V. 12 meses]]/Youts[[#This Row],[Proj. de V. 12 meses]],"")</f>
        <v/>
      </c>
      <c r="AA170" s="22"/>
    </row>
    <row r="171" spans="1:27" x14ac:dyDescent="0.25">
      <c r="A171" s="22" t="str">
        <f>VLOOKUP(Youts[[#This Row],[Código]],BD_Produto[#All],7,FALSE)</f>
        <v>Fora de linha</v>
      </c>
      <c r="B17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1" s="23">
        <v>30100061442</v>
      </c>
      <c r="D171" s="22" t="s">
        <v>1423</v>
      </c>
      <c r="E171" s="22" t="str">
        <f>VLOOKUP(Youts[[#This Row],[Código]],BD_Produto[],3,FALSE)</f>
        <v>Storage Mídia</v>
      </c>
      <c r="F171" s="22" t="str">
        <f>VLOOKUP(Youts[[#This Row],[Código]],BD_Produto[],4,FALSE)</f>
        <v>Standard - Cake - CD-R</v>
      </c>
      <c r="G171" s="24"/>
      <c r="H171" s="25"/>
      <c r="I171" s="22"/>
      <c r="J171" s="24"/>
      <c r="K171" s="24" t="str">
        <f>IFERROR(VLOOKUP(Youts[[#This Row],[Código]],Importação!P:R,3,FALSE),"")</f>
        <v/>
      </c>
      <c r="L171" s="24">
        <f>IFERROR(VLOOKUP(Youts[[#This Row],[Código]],Saldo[],3,FALSE),0)</f>
        <v>0</v>
      </c>
      <c r="M171" s="24">
        <f>SUM(Youts[[#This Row],[Produção]:[Estoque]])</f>
        <v>0</v>
      </c>
      <c r="N171" s="24" t="str">
        <f>IFERROR(Youts[[#This Row],[Estoque+Importação]]/Youts[[#This Row],[Proj. de V. No prox. mes]],"Sem Projeção")</f>
        <v>Sem Projeção</v>
      </c>
      <c r="O171" s="24" t="str">
        <f>IF(OR(Youts[[#This Row],[Status]]="Em Linha",Youts[[#This Row],[Status]]="Componente",Youts[[#This Row],[Status]]="Materia Prima"),Youts[[#This Row],[Proj. de V. No prox. mes]]*10,"-")</f>
        <v>-</v>
      </c>
      <c r="P17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1" s="75">
        <f>VLOOKUP(Youts[[#This Row],[Código]],Projeção[#All],15,FALSE)</f>
        <v>0</v>
      </c>
      <c r="R171" s="39">
        <f>VLOOKUP(Youts[[#This Row],[Código]],Projeção[#All],14,FALSE)</f>
        <v>0</v>
      </c>
      <c r="S171" s="39">
        <f>IFERROR(VLOOKUP(Youts[[#This Row],[Código]],Venda_mes[],2,FALSE),0)</f>
        <v>0</v>
      </c>
      <c r="T171" s="44" t="str">
        <f>IFERROR(Youts[[#This Row],[V. No mes]]/Youts[[#This Row],[Proj. de V. No mes]],"")</f>
        <v/>
      </c>
      <c r="U171" s="43">
        <f>VLOOKUP(Youts[[#This Row],[Código]],Projeção[#All],14,FALSE)+VLOOKUP(Youts[[#This Row],[Código]],Projeção[#All],13,FALSE)+VLOOKUP(Youts[[#This Row],[Código]],Projeção[#All],12,FALSE)</f>
        <v>0</v>
      </c>
      <c r="V171" s="39">
        <f>IFERROR(VLOOKUP(Youts[[#This Row],[Código]],Venda_3meses[],2,FALSE),0)</f>
        <v>0</v>
      </c>
      <c r="W171" s="44" t="str">
        <f>IFERROR(Youts[[#This Row],[V. 3 meses]]/Youts[[#This Row],[Proj. de V. 3 meses]],"")</f>
        <v/>
      </c>
      <c r="X17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1" s="39">
        <f>IFERROR(VLOOKUP(Youts[[#This Row],[Código]],Venda_12meses[],2,FALSE),0)</f>
        <v>0</v>
      </c>
      <c r="Z171" s="44" t="str">
        <f>IFERROR(Youts[[#This Row],[V. 12 meses]]/Youts[[#This Row],[Proj. de V. 12 meses]],"")</f>
        <v/>
      </c>
      <c r="AA171" s="22"/>
    </row>
    <row r="172" spans="1:27" x14ac:dyDescent="0.25">
      <c r="A172" s="22" t="str">
        <f>VLOOKUP(Youts[[#This Row],[Código]],BD_Produto[#All],7,FALSE)</f>
        <v>Fora de linha</v>
      </c>
      <c r="B172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2" s="23">
        <v>30100061443</v>
      </c>
      <c r="D172" s="22" t="s">
        <v>1424</v>
      </c>
      <c r="E172" s="22" t="str">
        <f>VLOOKUP(Youts[[#This Row],[Código]],BD_Produto[],3,FALSE)</f>
        <v>Storage Mídia</v>
      </c>
      <c r="F172" s="22" t="str">
        <f>VLOOKUP(Youts[[#This Row],[Código]],BD_Produto[],4,FALSE)</f>
        <v>Standard - Cake - CD-R</v>
      </c>
      <c r="G172" s="24"/>
      <c r="H172" s="25"/>
      <c r="I172" s="22"/>
      <c r="J172" s="24"/>
      <c r="K172" s="24" t="str">
        <f>IFERROR(VLOOKUP(Youts[[#This Row],[Código]],Importação!P:R,3,FALSE),"")</f>
        <v/>
      </c>
      <c r="L172" s="24">
        <f>IFERROR(VLOOKUP(Youts[[#This Row],[Código]],Saldo[],3,FALSE),0)</f>
        <v>0</v>
      </c>
      <c r="M172" s="24">
        <f>SUM(Youts[[#This Row],[Produção]:[Estoque]])</f>
        <v>0</v>
      </c>
      <c r="N172" s="24" t="str">
        <f>IFERROR(Youts[[#This Row],[Estoque+Importação]]/Youts[[#This Row],[Proj. de V. No prox. mes]],"Sem Projeção")</f>
        <v>Sem Projeção</v>
      </c>
      <c r="O172" s="24" t="str">
        <f>IF(OR(Youts[[#This Row],[Status]]="Em Linha",Youts[[#This Row],[Status]]="Componente",Youts[[#This Row],[Status]]="Materia Prima"),Youts[[#This Row],[Proj. de V. No prox. mes]]*10,"-")</f>
        <v>-</v>
      </c>
      <c r="P172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2" s="75">
        <f>VLOOKUP(Youts[[#This Row],[Código]],Projeção[#All],15,FALSE)</f>
        <v>0</v>
      </c>
      <c r="R172" s="39">
        <f>VLOOKUP(Youts[[#This Row],[Código]],Projeção[#All],14,FALSE)</f>
        <v>0</v>
      </c>
      <c r="S172" s="39">
        <f>IFERROR(VLOOKUP(Youts[[#This Row],[Código]],Venda_mes[],2,FALSE),0)</f>
        <v>0</v>
      </c>
      <c r="T172" s="44" t="str">
        <f>IFERROR(Youts[[#This Row],[V. No mes]]/Youts[[#This Row],[Proj. de V. No mes]],"")</f>
        <v/>
      </c>
      <c r="U172" s="43">
        <f>VLOOKUP(Youts[[#This Row],[Código]],Projeção[#All],14,FALSE)+VLOOKUP(Youts[[#This Row],[Código]],Projeção[#All],13,FALSE)+VLOOKUP(Youts[[#This Row],[Código]],Projeção[#All],12,FALSE)</f>
        <v>0</v>
      </c>
      <c r="V172" s="39">
        <f>IFERROR(VLOOKUP(Youts[[#This Row],[Código]],Venda_3meses[],2,FALSE),0)</f>
        <v>0</v>
      </c>
      <c r="W172" s="44" t="str">
        <f>IFERROR(Youts[[#This Row],[V. 3 meses]]/Youts[[#This Row],[Proj. de V. 3 meses]],"")</f>
        <v/>
      </c>
      <c r="X172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2" s="39">
        <f>IFERROR(VLOOKUP(Youts[[#This Row],[Código]],Venda_12meses[],2,FALSE),0)</f>
        <v>0</v>
      </c>
      <c r="Z172" s="44" t="str">
        <f>IFERROR(Youts[[#This Row],[V. 12 meses]]/Youts[[#This Row],[Proj. de V. 12 meses]],"")</f>
        <v/>
      </c>
      <c r="AA172" s="22"/>
    </row>
    <row r="173" spans="1:27" x14ac:dyDescent="0.25">
      <c r="A173" s="22" t="str">
        <f>VLOOKUP(Youts[[#This Row],[Código]],BD_Produto[#All],7,FALSE)</f>
        <v>Fora de linha</v>
      </c>
      <c r="B173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3" s="23">
        <v>30100061441</v>
      </c>
      <c r="D173" s="22" t="s">
        <v>1422</v>
      </c>
      <c r="E173" s="22" t="str">
        <f>VLOOKUP(Youts[[#This Row],[Código]],BD_Produto[],3,FALSE)</f>
        <v>Storage Mídia</v>
      </c>
      <c r="F173" s="22" t="str">
        <f>VLOOKUP(Youts[[#This Row],[Código]],BD_Produto[],4,FALSE)</f>
        <v>Standard - Cake - CD-R</v>
      </c>
      <c r="G173" s="24"/>
      <c r="H173" s="25"/>
      <c r="I173" s="22"/>
      <c r="J173" s="24"/>
      <c r="K173" s="24" t="str">
        <f>IFERROR(VLOOKUP(Youts[[#This Row],[Código]],Importação!P:R,3,FALSE),"")</f>
        <v/>
      </c>
      <c r="L173" s="24">
        <f>IFERROR(VLOOKUP(Youts[[#This Row],[Código]],Saldo[],3,FALSE),0)</f>
        <v>0</v>
      </c>
      <c r="M173" s="24">
        <f>SUM(Youts[[#This Row],[Produção]:[Estoque]])</f>
        <v>0</v>
      </c>
      <c r="N173" s="24" t="str">
        <f>IFERROR(Youts[[#This Row],[Estoque+Importação]]/Youts[[#This Row],[Proj. de V. No prox. mes]],"Sem Projeção")</f>
        <v>Sem Projeção</v>
      </c>
      <c r="O173" s="24" t="str">
        <f>IF(OR(Youts[[#This Row],[Status]]="Em Linha",Youts[[#This Row],[Status]]="Componente",Youts[[#This Row],[Status]]="Materia Prima"),Youts[[#This Row],[Proj. de V. No prox. mes]]*10,"-")</f>
        <v>-</v>
      </c>
      <c r="P173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3" s="75">
        <f>VLOOKUP(Youts[[#This Row],[Código]],Projeção[#All],15,FALSE)</f>
        <v>0</v>
      </c>
      <c r="R173" s="39">
        <f>VLOOKUP(Youts[[#This Row],[Código]],Projeção[#All],14,FALSE)</f>
        <v>0</v>
      </c>
      <c r="S173" s="39">
        <f>IFERROR(VLOOKUP(Youts[[#This Row],[Código]],Venda_mes[],2,FALSE),0)</f>
        <v>0</v>
      </c>
      <c r="T173" s="44" t="str">
        <f>IFERROR(Youts[[#This Row],[V. No mes]]/Youts[[#This Row],[Proj. de V. No mes]],"")</f>
        <v/>
      </c>
      <c r="U173" s="43">
        <f>VLOOKUP(Youts[[#This Row],[Código]],Projeção[#All],14,FALSE)+VLOOKUP(Youts[[#This Row],[Código]],Projeção[#All],13,FALSE)+VLOOKUP(Youts[[#This Row],[Código]],Projeção[#All],12,FALSE)</f>
        <v>0</v>
      </c>
      <c r="V173" s="39">
        <f>IFERROR(VLOOKUP(Youts[[#This Row],[Código]],Venda_3meses[],2,FALSE),0)</f>
        <v>0</v>
      </c>
      <c r="W173" s="44" t="str">
        <f>IFERROR(Youts[[#This Row],[V. 3 meses]]/Youts[[#This Row],[Proj. de V. 3 meses]],"")</f>
        <v/>
      </c>
      <c r="X173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3" s="39">
        <f>IFERROR(VLOOKUP(Youts[[#This Row],[Código]],Venda_12meses[],2,FALSE),0)</f>
        <v>0</v>
      </c>
      <c r="Z173" s="44" t="str">
        <f>IFERROR(Youts[[#This Row],[V. 12 meses]]/Youts[[#This Row],[Proj. de V. 12 meses]],"")</f>
        <v/>
      </c>
      <c r="AA173" s="22"/>
    </row>
    <row r="174" spans="1:27" x14ac:dyDescent="0.25">
      <c r="A174" s="22" t="str">
        <f>VLOOKUP(Youts[[#This Row],[Código]],BD_Produto[#All],7,FALSE)</f>
        <v>Fora de linha</v>
      </c>
      <c r="B174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4" s="23">
        <v>30100061432</v>
      </c>
      <c r="D174" s="22" t="s">
        <v>1418</v>
      </c>
      <c r="E174" s="22" t="str">
        <f>VLOOKUP(Youts[[#This Row],[Código]],BD_Produto[],3,FALSE)</f>
        <v>Storage Mídia</v>
      </c>
      <c r="F174" s="22" t="str">
        <f>VLOOKUP(Youts[[#This Row],[Código]],BD_Produto[],4,FALSE)</f>
        <v>Color Label - CD-R</v>
      </c>
      <c r="G174" s="24"/>
      <c r="H174" s="25"/>
      <c r="I174" s="22"/>
      <c r="J174" s="24"/>
      <c r="K174" s="24" t="str">
        <f>IFERROR(VLOOKUP(Youts[[#This Row],[Código]],Importação!P:R,3,FALSE),"")</f>
        <v/>
      </c>
      <c r="L174" s="24">
        <f>IFERROR(VLOOKUP(Youts[[#This Row],[Código]],Saldo[],3,FALSE),0)</f>
        <v>0</v>
      </c>
      <c r="M174" s="24">
        <f>SUM(Youts[[#This Row],[Produção]:[Estoque]])</f>
        <v>0</v>
      </c>
      <c r="N174" s="24" t="str">
        <f>IFERROR(Youts[[#This Row],[Estoque+Importação]]/Youts[[#This Row],[Proj. de V. No prox. mes]],"Sem Projeção")</f>
        <v>Sem Projeção</v>
      </c>
      <c r="O174" s="24" t="str">
        <f>IF(OR(Youts[[#This Row],[Status]]="Em Linha",Youts[[#This Row],[Status]]="Componente",Youts[[#This Row],[Status]]="Materia Prima"),Youts[[#This Row],[Proj. de V. No prox. mes]]*10,"-")</f>
        <v>-</v>
      </c>
      <c r="P174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4" s="75">
        <f>VLOOKUP(Youts[[#This Row],[Código]],Projeção[#All],15,FALSE)</f>
        <v>0</v>
      </c>
      <c r="R174" s="39">
        <f>VLOOKUP(Youts[[#This Row],[Código]],Projeção[#All],14,FALSE)</f>
        <v>0</v>
      </c>
      <c r="S174" s="39">
        <f>IFERROR(VLOOKUP(Youts[[#This Row],[Código]],Venda_mes[],2,FALSE),0)</f>
        <v>0</v>
      </c>
      <c r="T174" s="44" t="str">
        <f>IFERROR(Youts[[#This Row],[V. No mes]]/Youts[[#This Row],[Proj. de V. No mes]],"")</f>
        <v/>
      </c>
      <c r="U174" s="43">
        <f>VLOOKUP(Youts[[#This Row],[Código]],Projeção[#All],14,FALSE)+VLOOKUP(Youts[[#This Row],[Código]],Projeção[#All],13,FALSE)+VLOOKUP(Youts[[#This Row],[Código]],Projeção[#All],12,FALSE)</f>
        <v>0</v>
      </c>
      <c r="V174" s="39">
        <f>IFERROR(VLOOKUP(Youts[[#This Row],[Código]],Venda_3meses[],2,FALSE),0)</f>
        <v>0</v>
      </c>
      <c r="W174" s="44" t="str">
        <f>IFERROR(Youts[[#This Row],[V. 3 meses]]/Youts[[#This Row],[Proj. de V. 3 meses]],"")</f>
        <v/>
      </c>
      <c r="X174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4" s="39">
        <f>IFERROR(VLOOKUP(Youts[[#This Row],[Código]],Venda_12meses[],2,FALSE),0)</f>
        <v>0</v>
      </c>
      <c r="Z174" s="44" t="str">
        <f>IFERROR(Youts[[#This Row],[V. 12 meses]]/Youts[[#This Row],[Proj. de V. 12 meses]],"")</f>
        <v/>
      </c>
      <c r="AA174" s="22"/>
    </row>
    <row r="175" spans="1:27" x14ac:dyDescent="0.25">
      <c r="A175" s="22" t="str">
        <f>VLOOKUP(Youts[[#This Row],[Código]],BD_Produto[#All],7,FALSE)</f>
        <v>Fora de linha</v>
      </c>
      <c r="B175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5" s="23">
        <v>30100061435</v>
      </c>
      <c r="D175" s="22" t="s">
        <v>1421</v>
      </c>
      <c r="E175" s="22" t="str">
        <f>VLOOKUP(Youts[[#This Row],[Código]],BD_Produto[],3,FALSE)</f>
        <v>Storage Mídia</v>
      </c>
      <c r="F175" s="22" t="str">
        <f>VLOOKUP(Youts[[#This Row],[Código]],BD_Produto[],4,FALSE)</f>
        <v>Color Label - CD-R</v>
      </c>
      <c r="G175" s="24"/>
      <c r="H175" s="25"/>
      <c r="I175" s="22"/>
      <c r="J175" s="24"/>
      <c r="K175" s="24" t="str">
        <f>IFERROR(VLOOKUP(Youts[[#This Row],[Código]],Importação!P:R,3,FALSE),"")</f>
        <v/>
      </c>
      <c r="L175" s="24">
        <f>IFERROR(VLOOKUP(Youts[[#This Row],[Código]],Saldo[],3,FALSE),0)</f>
        <v>0</v>
      </c>
      <c r="M175" s="24">
        <f>SUM(Youts[[#This Row],[Produção]:[Estoque]])</f>
        <v>0</v>
      </c>
      <c r="N175" s="24" t="str">
        <f>IFERROR(Youts[[#This Row],[Estoque+Importação]]/Youts[[#This Row],[Proj. de V. No prox. mes]],"Sem Projeção")</f>
        <v>Sem Projeção</v>
      </c>
      <c r="O175" s="24" t="str">
        <f>IF(OR(Youts[[#This Row],[Status]]="Em Linha",Youts[[#This Row],[Status]]="Componente",Youts[[#This Row],[Status]]="Materia Prima"),Youts[[#This Row],[Proj. de V. No prox. mes]]*10,"-")</f>
        <v>-</v>
      </c>
      <c r="P175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5" s="83">
        <f>VLOOKUP(Youts[[#This Row],[Código]],Projeção[#All],15,FALSE)</f>
        <v>0</v>
      </c>
      <c r="R175" s="43">
        <f>VLOOKUP(Youts[[#This Row],[Código]],Projeção[#All],14,FALSE)</f>
        <v>0</v>
      </c>
      <c r="S175" s="39">
        <f>IFERROR(VLOOKUP(Youts[[#This Row],[Código]],Venda_mes[],2,FALSE),0)</f>
        <v>0</v>
      </c>
      <c r="T175" s="44" t="str">
        <f>IFERROR(Youts[[#This Row],[V. No mes]]/Youts[[#This Row],[Proj. de V. No mes]],"")</f>
        <v/>
      </c>
      <c r="U175" s="43">
        <f>VLOOKUP(Youts[[#This Row],[Código]],Projeção[#All],14,FALSE)+VLOOKUP(Youts[[#This Row],[Código]],Projeção[#All],13,FALSE)+VLOOKUP(Youts[[#This Row],[Código]],Projeção[#All],12,FALSE)</f>
        <v>0</v>
      </c>
      <c r="V175" s="39">
        <f>IFERROR(VLOOKUP(Youts[[#This Row],[Código]],Venda_3meses[],2,FALSE),0)</f>
        <v>0</v>
      </c>
      <c r="W175" s="44" t="str">
        <f>IFERROR(Youts[[#This Row],[V. 3 meses]]/Youts[[#This Row],[Proj. de V. 3 meses]],"")</f>
        <v/>
      </c>
      <c r="X175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5" s="39">
        <f>IFERROR(VLOOKUP(Youts[[#This Row],[Código]],Venda_12meses[],2,FALSE),0)</f>
        <v>0</v>
      </c>
      <c r="Z175" s="44" t="str">
        <f>IFERROR(Youts[[#This Row],[V. 12 meses]]/Youts[[#This Row],[Proj. de V. 12 meses]],"")</f>
        <v/>
      </c>
      <c r="AA175" s="22"/>
    </row>
    <row r="176" spans="1:27" x14ac:dyDescent="0.25">
      <c r="A176" s="22" t="str">
        <f>VLOOKUP(Youts[[#This Row],[Código]],BD_Produto[#All],7,FALSE)</f>
        <v>Fora de linha</v>
      </c>
      <c r="B176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6" s="23">
        <v>30100061434</v>
      </c>
      <c r="D176" s="22" t="s">
        <v>1420</v>
      </c>
      <c r="E176" s="22" t="str">
        <f>VLOOKUP(Youts[[#This Row],[Código]],BD_Produto[],3,FALSE)</f>
        <v>Storage Mídia</v>
      </c>
      <c r="F176" s="22" t="str">
        <f>VLOOKUP(Youts[[#This Row],[Código]],BD_Produto[],4,FALSE)</f>
        <v>Color Label - CD-R</v>
      </c>
      <c r="G176" s="24"/>
      <c r="H176" s="25"/>
      <c r="I176" s="22"/>
      <c r="J176" s="24"/>
      <c r="K176" s="24" t="str">
        <f>IFERROR(VLOOKUP(Youts[[#This Row],[Código]],Importação!P:R,3,FALSE),"")</f>
        <v/>
      </c>
      <c r="L176" s="24">
        <f>IFERROR(VLOOKUP(Youts[[#This Row],[Código]],Saldo[],3,FALSE),0)</f>
        <v>0</v>
      </c>
      <c r="M176" s="24">
        <f>SUM(Youts[[#This Row],[Produção]:[Estoque]])</f>
        <v>0</v>
      </c>
      <c r="N176" s="24" t="str">
        <f>IFERROR(Youts[[#This Row],[Estoque+Importação]]/Youts[[#This Row],[Proj. de V. No prox. mes]],"Sem Projeção")</f>
        <v>Sem Projeção</v>
      </c>
      <c r="O176" s="24" t="str">
        <f>IF(OR(Youts[[#This Row],[Status]]="Em Linha",Youts[[#This Row],[Status]]="Componente",Youts[[#This Row],[Status]]="Materia Prima"),Youts[[#This Row],[Proj. de V. No prox. mes]]*10,"-")</f>
        <v>-</v>
      </c>
      <c r="P176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6" s="83">
        <f>VLOOKUP(Youts[[#This Row],[Código]],Projeção[#All],15,FALSE)</f>
        <v>0</v>
      </c>
      <c r="R176" s="43">
        <f>VLOOKUP(Youts[[#This Row],[Código]],Projeção[#All],14,FALSE)</f>
        <v>0</v>
      </c>
      <c r="S176" s="39">
        <f>IFERROR(VLOOKUP(Youts[[#This Row],[Código]],Venda_mes[],2,FALSE),0)</f>
        <v>0</v>
      </c>
      <c r="T176" s="44" t="str">
        <f>IFERROR(Youts[[#This Row],[V. No mes]]/Youts[[#This Row],[Proj. de V. No mes]],"")</f>
        <v/>
      </c>
      <c r="U176" s="43">
        <f>VLOOKUP(Youts[[#This Row],[Código]],Projeção[#All],14,FALSE)+VLOOKUP(Youts[[#This Row],[Código]],Projeção[#All],13,FALSE)+VLOOKUP(Youts[[#This Row],[Código]],Projeção[#All],12,FALSE)</f>
        <v>0</v>
      </c>
      <c r="V176" s="39">
        <f>IFERROR(VLOOKUP(Youts[[#This Row],[Código]],Venda_3meses[],2,FALSE),0)</f>
        <v>0</v>
      </c>
      <c r="W176" s="44" t="str">
        <f>IFERROR(Youts[[#This Row],[V. 3 meses]]/Youts[[#This Row],[Proj. de V. 3 meses]],"")</f>
        <v/>
      </c>
      <c r="X176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6" s="39">
        <f>IFERROR(VLOOKUP(Youts[[#This Row],[Código]],Venda_12meses[],2,FALSE),0)</f>
        <v>0</v>
      </c>
      <c r="Z176" s="44" t="str">
        <f>IFERROR(Youts[[#This Row],[V. 12 meses]]/Youts[[#This Row],[Proj. de V. 12 meses]],"")</f>
        <v/>
      </c>
      <c r="AA176" s="22"/>
    </row>
    <row r="177" spans="1:27" x14ac:dyDescent="0.25">
      <c r="A177" s="22" t="str">
        <f>VLOOKUP(Youts[[#This Row],[Código]],BD_Produto[#All],7,FALSE)</f>
        <v>Fora de linha</v>
      </c>
      <c r="B177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7" s="23">
        <v>30100061433</v>
      </c>
      <c r="D177" s="22" t="s">
        <v>1419</v>
      </c>
      <c r="E177" s="22" t="str">
        <f>VLOOKUP(Youts[[#This Row],[Código]],BD_Produto[],3,FALSE)</f>
        <v>Storage Mídia</v>
      </c>
      <c r="F177" s="22" t="str">
        <f>VLOOKUP(Youts[[#This Row],[Código]],BD_Produto[],4,FALSE)</f>
        <v>Color Label - CD-R</v>
      </c>
      <c r="G177" s="24"/>
      <c r="H177" s="25"/>
      <c r="I177" s="22"/>
      <c r="J177" s="24"/>
      <c r="K177" s="24" t="str">
        <f>IFERROR(VLOOKUP(Youts[[#This Row],[Código]],Importação!P:R,3,FALSE),"")</f>
        <v/>
      </c>
      <c r="L177" s="24">
        <f>IFERROR(VLOOKUP(Youts[[#This Row],[Código]],Saldo[],3,FALSE),0)</f>
        <v>0</v>
      </c>
      <c r="M177" s="24">
        <f>SUM(Youts[[#This Row],[Produção]:[Estoque]])</f>
        <v>0</v>
      </c>
      <c r="N177" s="24" t="str">
        <f>IFERROR(Youts[[#This Row],[Estoque+Importação]]/Youts[[#This Row],[Proj. de V. No prox. mes]],"Sem Projeção")</f>
        <v>Sem Projeção</v>
      </c>
      <c r="O177" s="24" t="str">
        <f>IF(OR(Youts[[#This Row],[Status]]="Em Linha",Youts[[#This Row],[Status]]="Componente",Youts[[#This Row],[Status]]="Materia Prima"),Youts[[#This Row],[Proj. de V. No prox. mes]]*10,"-")</f>
        <v>-</v>
      </c>
      <c r="P177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7" s="75">
        <f>VLOOKUP(Youts[[#This Row],[Código]],Projeção[#All],15,FALSE)</f>
        <v>0</v>
      </c>
      <c r="R177" s="39">
        <f>VLOOKUP(Youts[[#This Row],[Código]],Projeção[#All],14,FALSE)</f>
        <v>0</v>
      </c>
      <c r="S177" s="39">
        <f>IFERROR(VLOOKUP(Youts[[#This Row],[Código]],Venda_mes[],2,FALSE),0)</f>
        <v>0</v>
      </c>
      <c r="T177" s="44" t="str">
        <f>IFERROR(Youts[[#This Row],[V. No mes]]/Youts[[#This Row],[Proj. de V. No mes]],"")</f>
        <v/>
      </c>
      <c r="U177" s="43">
        <f>VLOOKUP(Youts[[#This Row],[Código]],Projeção[#All],14,FALSE)+VLOOKUP(Youts[[#This Row],[Código]],Projeção[#All],13,FALSE)+VLOOKUP(Youts[[#This Row],[Código]],Projeção[#All],12,FALSE)</f>
        <v>0</v>
      </c>
      <c r="V177" s="39">
        <f>IFERROR(VLOOKUP(Youts[[#This Row],[Código]],Venda_3meses[],2,FALSE),0)</f>
        <v>0</v>
      </c>
      <c r="W177" s="44" t="str">
        <f>IFERROR(Youts[[#This Row],[V. 3 meses]]/Youts[[#This Row],[Proj. de V. 3 meses]],"")</f>
        <v/>
      </c>
      <c r="X177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7" s="39">
        <f>IFERROR(VLOOKUP(Youts[[#This Row],[Código]],Venda_12meses[],2,FALSE),0)</f>
        <v>0</v>
      </c>
      <c r="Z177" s="44" t="str">
        <f>IFERROR(Youts[[#This Row],[V. 12 meses]]/Youts[[#This Row],[Proj. de V. 12 meses]],"")</f>
        <v/>
      </c>
      <c r="AA177" s="22"/>
    </row>
    <row r="178" spans="1:27" x14ac:dyDescent="0.25">
      <c r="A178" s="22" t="str">
        <f>VLOOKUP(Youts[[#This Row],[Código]],BD_Produto[#All],7,FALSE)</f>
        <v>Fora de linha</v>
      </c>
      <c r="B178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8" s="23">
        <v>30100061431</v>
      </c>
      <c r="D178" s="22" t="s">
        <v>1417</v>
      </c>
      <c r="E178" s="22" t="str">
        <f>VLOOKUP(Youts[[#This Row],[Código]],BD_Produto[],3,FALSE)</f>
        <v>Storage Mídia</v>
      </c>
      <c r="F178" s="22" t="str">
        <f>VLOOKUP(Youts[[#This Row],[Código]],BD_Produto[],4,FALSE)</f>
        <v>Color Label - CD-R</v>
      </c>
      <c r="G178" s="24"/>
      <c r="H178" s="25"/>
      <c r="I178" s="22"/>
      <c r="J178" s="24"/>
      <c r="K178" s="24" t="str">
        <f>IFERROR(VLOOKUP(Youts[[#This Row],[Código]],Importação!P:R,3,FALSE),"")</f>
        <v/>
      </c>
      <c r="L178" s="24">
        <f>IFERROR(VLOOKUP(Youts[[#This Row],[Código]],Saldo[],3,FALSE),0)</f>
        <v>0</v>
      </c>
      <c r="M178" s="24">
        <f>SUM(Youts[[#This Row],[Produção]:[Estoque]])</f>
        <v>0</v>
      </c>
      <c r="N178" s="24" t="str">
        <f>IFERROR(Youts[[#This Row],[Estoque+Importação]]/Youts[[#This Row],[Proj. de V. No prox. mes]],"Sem Projeção")</f>
        <v>Sem Projeção</v>
      </c>
      <c r="O178" s="24" t="str">
        <f>IF(OR(Youts[[#This Row],[Status]]="Em Linha",Youts[[#This Row],[Status]]="Componente",Youts[[#This Row],[Status]]="Materia Prima"),Youts[[#This Row],[Proj. de V. No prox. mes]]*10,"-")</f>
        <v>-</v>
      </c>
      <c r="P178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8" s="75">
        <f>VLOOKUP(Youts[[#This Row],[Código]],Projeção[#All],15,FALSE)</f>
        <v>0</v>
      </c>
      <c r="R178" s="39">
        <f>VLOOKUP(Youts[[#This Row],[Código]],Projeção[#All],14,FALSE)</f>
        <v>0</v>
      </c>
      <c r="S178" s="39">
        <f>IFERROR(VLOOKUP(Youts[[#This Row],[Código]],Venda_mes[],2,FALSE),0)</f>
        <v>0</v>
      </c>
      <c r="T178" s="44" t="str">
        <f>IFERROR(Youts[[#This Row],[V. No mes]]/Youts[[#This Row],[Proj. de V. No mes]],"")</f>
        <v/>
      </c>
      <c r="U178" s="43">
        <f>VLOOKUP(Youts[[#This Row],[Código]],Projeção[#All],14,FALSE)+VLOOKUP(Youts[[#This Row],[Código]],Projeção[#All],13,FALSE)+VLOOKUP(Youts[[#This Row],[Código]],Projeção[#All],12,FALSE)</f>
        <v>0</v>
      </c>
      <c r="V178" s="39">
        <f>IFERROR(VLOOKUP(Youts[[#This Row],[Código]],Venda_3meses[],2,FALSE),0)</f>
        <v>0</v>
      </c>
      <c r="W178" s="44" t="str">
        <f>IFERROR(Youts[[#This Row],[V. 3 meses]]/Youts[[#This Row],[Proj. de V. 3 meses]],"")</f>
        <v/>
      </c>
      <c r="X178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8" s="39">
        <f>IFERROR(VLOOKUP(Youts[[#This Row],[Código]],Venda_12meses[],2,FALSE),0)</f>
        <v>0</v>
      </c>
      <c r="Z178" s="44" t="str">
        <f>IFERROR(Youts[[#This Row],[V. 12 meses]]/Youts[[#This Row],[Proj. de V. 12 meses]],"")</f>
        <v/>
      </c>
      <c r="AA178" s="22"/>
    </row>
    <row r="179" spans="1:27" x14ac:dyDescent="0.25">
      <c r="A179" s="22" t="str">
        <f>VLOOKUP(Youts[[#This Row],[Código]],BD_Produto[#All],7,FALSE)</f>
        <v>Fora de linha</v>
      </c>
      <c r="B179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79" s="23">
        <v>33100062759</v>
      </c>
      <c r="D179" s="22" t="s">
        <v>947</v>
      </c>
      <c r="E179" s="22" t="str">
        <f>VLOOKUP(Youts[[#This Row],[Código]],BD_Produto[],3,FALSE)</f>
        <v>Storage Mídia</v>
      </c>
      <c r="F179" s="22" t="str">
        <f>VLOOKUP(Youts[[#This Row],[Código]],BD_Produto[],4,FALSE)</f>
        <v>Rock in Rio - BD</v>
      </c>
      <c r="G179" s="24"/>
      <c r="H179" s="25"/>
      <c r="I179" s="22"/>
      <c r="J179" s="24"/>
      <c r="K179" s="24" t="str">
        <f>IFERROR(VLOOKUP(Youts[[#This Row],[Código]],Importação!P:R,3,FALSE),"")</f>
        <v/>
      </c>
      <c r="L179" s="24">
        <f>IFERROR(VLOOKUP(Youts[[#This Row],[Código]],Saldo[],3,FALSE),0)</f>
        <v>0</v>
      </c>
      <c r="M179" s="24">
        <f>SUM(Youts[[#This Row],[Produção]:[Estoque]])</f>
        <v>0</v>
      </c>
      <c r="N179" s="24" t="str">
        <f>IFERROR(Youts[[#This Row],[Estoque+Importação]]/Youts[[#This Row],[Proj. de V. No prox. mes]],"Sem Projeção")</f>
        <v>Sem Projeção</v>
      </c>
      <c r="O179" s="24" t="str">
        <f>IF(OR(Youts[[#This Row],[Status]]="Em Linha",Youts[[#This Row],[Status]]="Componente",Youts[[#This Row],[Status]]="Materia Prima"),Youts[[#This Row],[Proj. de V. No prox. mes]]*10,"-")</f>
        <v>-</v>
      </c>
      <c r="P179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79" s="83">
        <f>VLOOKUP(Youts[[#This Row],[Código]],Projeção[#All],15,FALSE)</f>
        <v>0</v>
      </c>
      <c r="R179" s="43">
        <f>VLOOKUP(Youts[[#This Row],[Código]],Projeção[#All],14,FALSE)</f>
        <v>0</v>
      </c>
      <c r="S179" s="39">
        <f>IFERROR(VLOOKUP(Youts[[#This Row],[Código]],Venda_mes[],2,FALSE),0)</f>
        <v>0</v>
      </c>
      <c r="T179" s="44" t="str">
        <f>IFERROR(Youts[[#This Row],[V. No mes]]/Youts[[#This Row],[Proj. de V. No mes]],"")</f>
        <v/>
      </c>
      <c r="U179" s="43">
        <f>VLOOKUP(Youts[[#This Row],[Código]],Projeção[#All],14,FALSE)+VLOOKUP(Youts[[#This Row],[Código]],Projeção[#All],13,FALSE)+VLOOKUP(Youts[[#This Row],[Código]],Projeção[#All],12,FALSE)</f>
        <v>0</v>
      </c>
      <c r="V179" s="39">
        <f>IFERROR(VLOOKUP(Youts[[#This Row],[Código]],Venda_3meses[],2,FALSE),0)</f>
        <v>0</v>
      </c>
      <c r="W179" s="44" t="str">
        <f>IFERROR(Youts[[#This Row],[V. 3 meses]]/Youts[[#This Row],[Proj. de V. 3 meses]],"")</f>
        <v/>
      </c>
      <c r="X179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79" s="39">
        <f>IFERROR(VLOOKUP(Youts[[#This Row],[Código]],Venda_12meses[],2,FALSE),0)</f>
        <v>0</v>
      </c>
      <c r="Z179" s="44" t="str">
        <f>IFERROR(Youts[[#This Row],[V. 12 meses]]/Youts[[#This Row],[Proj. de V. 12 meses]],"")</f>
        <v/>
      </c>
      <c r="AA179" s="22"/>
    </row>
    <row r="180" spans="1:27" x14ac:dyDescent="0.25">
      <c r="A180" s="22" t="str">
        <f>VLOOKUP(Youts[[#This Row],[Código]],BD_Produto[#All],7,FALSE)</f>
        <v>Fora de linha</v>
      </c>
      <c r="B180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80" s="23">
        <v>30100062083</v>
      </c>
      <c r="D180" s="22" t="s">
        <v>1435</v>
      </c>
      <c r="E180" s="22" t="str">
        <f>VLOOKUP(Youts[[#This Row],[Código]],BD_Produto[],3,FALSE)</f>
        <v>Storage Mídia</v>
      </c>
      <c r="F180" s="22" t="str">
        <f>VLOOKUP(Youts[[#This Row],[Código]],BD_Produto[],4,FALSE)</f>
        <v>Standard - BD-R</v>
      </c>
      <c r="G180" s="24"/>
      <c r="H180" s="25"/>
      <c r="I180" s="22"/>
      <c r="J180" s="24"/>
      <c r="K180" s="24" t="str">
        <f>IFERROR(VLOOKUP(Youts[[#This Row],[Código]],Importação!P:R,3,FALSE),"")</f>
        <v/>
      </c>
      <c r="L180" s="24">
        <f>IFERROR(VLOOKUP(Youts[[#This Row],[Código]],Saldo[],3,FALSE),0)</f>
        <v>0</v>
      </c>
      <c r="M180" s="24">
        <f>SUM(Youts[[#This Row],[Produção]:[Estoque]])</f>
        <v>0</v>
      </c>
      <c r="N180" s="24" t="str">
        <f>IFERROR(Youts[[#This Row],[Estoque+Importação]]/Youts[[#This Row],[Proj. de V. No prox. mes]],"Sem Projeção")</f>
        <v>Sem Projeção</v>
      </c>
      <c r="O180" s="24" t="str">
        <f>IF(OR(Youts[[#This Row],[Status]]="Em Linha",Youts[[#This Row],[Status]]="Componente",Youts[[#This Row],[Status]]="Materia Prima"),Youts[[#This Row],[Proj. de V. No prox. mes]]*10,"-")</f>
        <v>-</v>
      </c>
      <c r="P180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80" s="75">
        <f>VLOOKUP(Youts[[#This Row],[Código]],Projeção[#All],15,FALSE)</f>
        <v>0</v>
      </c>
      <c r="R180" s="39">
        <f>VLOOKUP(Youts[[#This Row],[Código]],Projeção[#All],14,FALSE)</f>
        <v>0</v>
      </c>
      <c r="S180" s="39">
        <f>IFERROR(VLOOKUP(Youts[[#This Row],[Código]],Venda_mes[],2,FALSE),0)</f>
        <v>0</v>
      </c>
      <c r="T180" s="44" t="str">
        <f>IFERROR(Youts[[#This Row],[V. No mes]]/Youts[[#This Row],[Proj. de V. No mes]],"")</f>
        <v/>
      </c>
      <c r="U180" s="43">
        <f>VLOOKUP(Youts[[#This Row],[Código]],Projeção[#All],14,FALSE)+VLOOKUP(Youts[[#This Row],[Código]],Projeção[#All],13,FALSE)+VLOOKUP(Youts[[#This Row],[Código]],Projeção[#All],12,FALSE)</f>
        <v>0</v>
      </c>
      <c r="V180" s="39">
        <f>IFERROR(VLOOKUP(Youts[[#This Row],[Código]],Venda_3meses[],2,FALSE),0)</f>
        <v>0</v>
      </c>
      <c r="W180" s="44" t="str">
        <f>IFERROR(Youts[[#This Row],[V. 3 meses]]/Youts[[#This Row],[Proj. de V. 3 meses]],"")</f>
        <v/>
      </c>
      <c r="X180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80" s="39">
        <f>IFERROR(VLOOKUP(Youts[[#This Row],[Código]],Venda_12meses[],2,FALSE),0)</f>
        <v>0</v>
      </c>
      <c r="Z180" s="44" t="str">
        <f>IFERROR(Youts[[#This Row],[V. 12 meses]]/Youts[[#This Row],[Proj. de V. 12 meses]],"")</f>
        <v/>
      </c>
      <c r="AA180" s="22"/>
    </row>
    <row r="181" spans="1:27" x14ac:dyDescent="0.25">
      <c r="A181" s="22" t="str">
        <f>VLOOKUP(Youts[[#This Row],[Código]],BD_Produto[#All],7,FALSE)</f>
        <v>Fora de linha</v>
      </c>
      <c r="B181" s="22" t="str">
        <f>IF(OR(Youts[[#This Row],[Status]]="Em linha",Youts[[#This Row],[Status]]="Materia Prima",Youts[[#This Row],[Status]]="Componente"),"ok",IF(Youts[[#This Row],[Estoque+Importação]]&lt;1,"Tirar","ok"))</f>
        <v>Tirar</v>
      </c>
      <c r="C181" s="23">
        <v>30100062818</v>
      </c>
      <c r="D181" s="22" t="s">
        <v>1250</v>
      </c>
      <c r="E181" s="22" t="str">
        <f>VLOOKUP(Youts[[#This Row],[Código]],BD_Produto[],3,FALSE)</f>
        <v>Storage Mídia</v>
      </c>
      <c r="F181" s="22" t="str">
        <f>VLOOKUP(Youts[[#This Row],[Código]],BD_Produto[],4,FALSE)</f>
        <v>Rock in Rio - Colorful - CD-R</v>
      </c>
      <c r="G181" s="24"/>
      <c r="H181" s="25"/>
      <c r="I181" s="22"/>
      <c r="J181" s="24"/>
      <c r="K181" s="24" t="str">
        <f>IFERROR(VLOOKUP(Youts[[#This Row],[Código]],Importação!P:R,3,FALSE),"")</f>
        <v/>
      </c>
      <c r="L181" s="24">
        <f>IFERROR(VLOOKUP(Youts[[#This Row],[Código]],Saldo[],3,FALSE),0)</f>
        <v>0</v>
      </c>
      <c r="M181" s="24">
        <f>SUM(Youts[[#This Row],[Produção]:[Estoque]])</f>
        <v>0</v>
      </c>
      <c r="N181" s="24" t="str">
        <f>IFERROR(Youts[[#This Row],[Estoque+Importação]]/Youts[[#This Row],[Proj. de V. No prox. mes]],"Sem Projeção")</f>
        <v>Sem Projeção</v>
      </c>
      <c r="O181" s="24" t="str">
        <f>IF(OR(Youts[[#This Row],[Status]]="Em Linha",Youts[[#This Row],[Status]]="Componente",Youts[[#This Row],[Status]]="Materia Prima"),Youts[[#This Row],[Proj. de V. No prox. mes]]*10,"-")</f>
        <v>-</v>
      </c>
      <c r="P181" s="34">
        <f>IF(OR(Youts[[#This Row],[Status]]="Em Linha",Youts[[#This Row],[Status]]="Componente",Youts[[#This Row],[Status]]="Materia Prima"),Youts[[#This Row],[estoque 10 meses]]-Youts[[#This Row],[Estoque+Importação]],0)</f>
        <v>0</v>
      </c>
      <c r="Q181" s="75">
        <f>VLOOKUP(Youts[[#This Row],[Código]],Projeção[#All],15,FALSE)</f>
        <v>0</v>
      </c>
      <c r="R181" s="39">
        <f>VLOOKUP(Youts[[#This Row],[Código]],Projeção[#All],14,FALSE)</f>
        <v>0</v>
      </c>
      <c r="S181" s="39">
        <f>IFERROR(VLOOKUP(Youts[[#This Row],[Código]],Venda_mes[],2,FALSE),0)</f>
        <v>0</v>
      </c>
      <c r="T181" s="44" t="str">
        <f>IFERROR(Youts[[#This Row],[V. No mes]]/Youts[[#This Row],[Proj. de V. No mes]],"")</f>
        <v/>
      </c>
      <c r="U181" s="43">
        <f>VLOOKUP(Youts[[#This Row],[Código]],Projeção[#All],14,FALSE)+VLOOKUP(Youts[[#This Row],[Código]],Projeção[#All],13,FALSE)+VLOOKUP(Youts[[#This Row],[Código]],Projeção[#All],12,FALSE)</f>
        <v>0</v>
      </c>
      <c r="V181" s="39">
        <f>IFERROR(VLOOKUP(Youts[[#This Row],[Código]],Venda_3meses[],2,FALSE),0)</f>
        <v>0</v>
      </c>
      <c r="W181" s="44" t="str">
        <f>IFERROR(Youts[[#This Row],[V. 3 meses]]/Youts[[#This Row],[Proj. de V. 3 meses]],"")</f>
        <v/>
      </c>
      <c r="X181" s="43">
        <f>VLOOKUP(Youts[[#This Row],[Código]],Projeção[#All],14,FALSE)+VLOOKUP(Youts[[#This Row],[Código]],Projeção[#All],13,FALSE)+VLOOKUP(Youts[[#This Row],[Código]],Projeção[#All],12,FALSE)+VLOOKUP(Youts[[#This Row],[Código]],Projeção[#All],11,FALSE)+VLOOKUP(Youts[[#This Row],[Código]],Projeção[#All],10,FALSE)+VLOOKUP(Youts[[#This Row],[Código]],Projeção[#All],9,FALSE)+VLOOKUP(Youts[[#This Row],[Código]],Projeção[#All],8,FALSE)+VLOOKUP(Youts[[#This Row],[Código]],Projeção[#All],7,FALSE)+VLOOKUP(Youts[[#This Row],[Código]],Projeção[#All],6,FALSE)+VLOOKUP(Youts[[#This Row],[Código]],Projeção[#All],5,FALSE)+VLOOKUP(Youts[[#This Row],[Código]],Projeção[#All],4,FALSE)+VLOOKUP(Youts[[#This Row],[Código]],Projeção[#All],3,FALSE)</f>
        <v>0</v>
      </c>
      <c r="Y181" s="39">
        <f>IFERROR(VLOOKUP(Youts[[#This Row],[Código]],Venda_12meses[],2,FALSE),0)</f>
        <v>0</v>
      </c>
      <c r="Z181" s="44" t="str">
        <f>IFERROR(Youts[[#This Row],[V. 12 meses]]/Youts[[#This Row],[Proj. de V. 12 meses]],"")</f>
        <v/>
      </c>
      <c r="AA181" s="22"/>
    </row>
  </sheetData>
  <mergeCells count="29">
    <mergeCell ref="N1:N5"/>
    <mergeCell ref="A1:A5"/>
    <mergeCell ref="B1:B5"/>
    <mergeCell ref="C1:C5"/>
    <mergeCell ref="D1:D5"/>
    <mergeCell ref="E1:E5"/>
    <mergeCell ref="F1:F5"/>
    <mergeCell ref="G1:G5"/>
    <mergeCell ref="H1:H5"/>
    <mergeCell ref="I1:I5"/>
    <mergeCell ref="L1:L5"/>
    <mergeCell ref="M1:M5"/>
    <mergeCell ref="AA1:AA5"/>
    <mergeCell ref="R2:T2"/>
    <mergeCell ref="R3:R5"/>
    <mergeCell ref="S3:S5"/>
    <mergeCell ref="T3:T5"/>
    <mergeCell ref="Z3:Z5"/>
    <mergeCell ref="O1:O5"/>
    <mergeCell ref="P1:P5"/>
    <mergeCell ref="R1:T1"/>
    <mergeCell ref="U1:W2"/>
    <mergeCell ref="X1:Z2"/>
    <mergeCell ref="U3:U5"/>
    <mergeCell ref="V3:V5"/>
    <mergeCell ref="W3:W5"/>
    <mergeCell ref="X3:X5"/>
    <mergeCell ref="Y3:Y5"/>
    <mergeCell ref="Q3:Q5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20A994C4-C7FC-496E-A675-8C883BA6F17F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 gte="0">
                <xm:f>1.1000000000000001</xm:f>
              </x14:cfvo>
              <x14:cfIcon iconSet="3TrafficLights2" iconId="0"/>
              <x14:cfIcon iconSet="3TrafficLights2" iconId="2"/>
              <x14:cfIcon iconSet="3TrafficLights2" iconId="1"/>
            </x14:iconSet>
          </x14:cfRule>
          <xm:sqref>T7:T181 W7:W181 Z7:Z181</xm:sqref>
        </x14:conditionalFormatting>
        <x14:conditionalFormatting xmlns:xm="http://schemas.microsoft.com/office/excel/2006/main">
          <x14:cfRule type="iconSet" priority="1" id="{CCA16E3F-D84F-4851-AA0F-934E136BCE01}">
            <x14:iconSet iconSet="3Flags" custom="1">
              <x14:cfvo type="percent">
                <xm:f>0</xm:f>
              </x14:cfvo>
              <x14:cfvo type="num">
                <xm:f>-30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Flags" iconId="0"/>
            </x14:iconSet>
          </x14:cfRule>
          <xm:sqref>P7:P181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Vegetal</vt:lpstr>
      <vt:lpstr>Olfa</vt:lpstr>
      <vt:lpstr>Fellowes</vt:lpstr>
      <vt:lpstr>Fellowes-Consumíveis</vt:lpstr>
      <vt:lpstr>Fellowes - Componentes</vt:lpstr>
      <vt:lpstr>Rapid</vt:lpstr>
      <vt:lpstr>Rapid - Componente</vt:lpstr>
      <vt:lpstr>Esselte</vt:lpstr>
      <vt:lpstr>Youts</vt:lpstr>
      <vt:lpstr>Tarifold</vt:lpstr>
      <vt:lpstr>JK e Haubold</vt:lpstr>
      <vt:lpstr>Saldo</vt:lpstr>
      <vt:lpstr>Projeção</vt:lpstr>
      <vt:lpstr>Vendas</vt:lpstr>
      <vt:lpstr>Importação</vt:lpstr>
      <vt:lpstr>Consolidada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Spinelli Oliveira</dc:creator>
  <cp:lastModifiedBy>Luiz Roberto Ramos Nogueira Junior</cp:lastModifiedBy>
  <cp:lastPrinted>2017-01-23T19:35:23Z</cp:lastPrinted>
  <dcterms:created xsi:type="dcterms:W3CDTF">2016-03-03T11:34:57Z</dcterms:created>
  <dcterms:modified xsi:type="dcterms:W3CDTF">2017-10-05T14:37:28Z</dcterms:modified>
</cp:coreProperties>
</file>